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omments1.xml" ContentType="application/vnd.openxmlformats-officedocument.spreadsheetml.comments+xml"/>
  <Override PartName="/xl/charts/chartEx3.xml" ContentType="application/vnd.ms-office.chartex+xml"/>
  <Override PartName="/xl/charts/style5.xml" ContentType="application/vnd.ms-office.chartstyle+xml"/>
  <Override PartName="/xl/charts/colors5.xml" ContentType="application/vnd.ms-office.chartcolorstyle+xml"/>
  <Override PartName="/xl/charts/chartEx4.xml" ContentType="application/vnd.ms-office.chartex+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tables/table1.xml" ContentType="application/vnd.openxmlformats-officedocument.spreadsheetml.table+xml"/>
  <Override PartName="/xl/comments2.xml" ContentType="application/vnd.openxmlformats-officedocument.spreadsheetml.comments+xml"/>
  <Override PartName="/xl/drawings/drawing6.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drawings/drawing7.xml" ContentType="application/vnd.openxmlformats-officedocument.drawing+xml"/>
  <Override PartName="/xl/tables/table4.xml" ContentType="application/vnd.openxmlformats-officedocument.spreadsheetml.table+xml"/>
  <Override PartName="/xl/comments4.xml" ContentType="application/vnd.openxmlformats-officedocument.spreadsheetml.comments+xml"/>
  <Override PartName="/xl/drawings/drawing8.xml" ContentType="application/vnd.openxmlformats-officedocument.drawing+xml"/>
  <Override PartName="/xl/tables/table5.xml" ContentType="application/vnd.openxmlformats-officedocument.spreadsheetml.table+xml"/>
  <Override PartName="/xl/comments5.xml" ContentType="application/vnd.openxmlformats-officedocument.spreadsheetml.comments+xml"/>
  <Override PartName="/xl/drawings/drawing9.xml" ContentType="application/vnd.openxmlformats-officedocument.drawing+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comments6.xml" ContentType="application/vnd.openxmlformats-officedocument.spreadsheetml.comments+xml"/>
  <Override PartName="/xl/drawings/drawing10.xml" ContentType="application/vnd.openxmlformats-officedocument.drawing+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tables/table99.xml" ContentType="application/vnd.openxmlformats-officedocument.spreadsheetml.table+xml"/>
  <Override PartName="/xl/tables/table100.xml" ContentType="application/vnd.openxmlformats-officedocument.spreadsheetml.table+xml"/>
  <Override PartName="/xl/tables/table101.xml" ContentType="application/vnd.openxmlformats-officedocument.spreadsheetml.table+xml"/>
  <Override PartName="/xl/tables/table102.xml" ContentType="application/vnd.openxmlformats-officedocument.spreadsheetml.table+xml"/>
  <Override PartName="/xl/tables/table103.xml" ContentType="application/vnd.openxmlformats-officedocument.spreadsheetml.table+xml"/>
  <Override PartName="/xl/tables/table104.xml" ContentType="application/vnd.openxmlformats-officedocument.spreadsheetml.table+xml"/>
  <Override PartName="/xl/tables/table105.xml" ContentType="application/vnd.openxmlformats-officedocument.spreadsheetml.table+xml"/>
  <Override PartName="/xl/tables/table106.xml" ContentType="application/vnd.openxmlformats-officedocument.spreadsheetml.table+xml"/>
  <Override PartName="/xl/tables/table107.xml" ContentType="application/vnd.openxmlformats-officedocument.spreadsheetml.table+xml"/>
  <Override PartName="/xl/tables/table108.xml" ContentType="application/vnd.openxmlformats-officedocument.spreadsheetml.table+xml"/>
  <Override PartName="/xl/tables/table109.xml" ContentType="application/vnd.openxmlformats-officedocument.spreadsheetml.table+xml"/>
  <Override PartName="/xl/tables/table110.xml" ContentType="application/vnd.openxmlformats-officedocument.spreadsheetml.table+xml"/>
  <Override PartName="/xl/tables/table111.xml" ContentType="application/vnd.openxmlformats-officedocument.spreadsheetml.table+xml"/>
  <Override PartName="/xl/tables/table112.xml" ContentType="application/vnd.openxmlformats-officedocument.spreadsheetml.table+xml"/>
  <Override PartName="/xl/tables/table113.xml" ContentType="application/vnd.openxmlformats-officedocument.spreadsheetml.table+xml"/>
  <Override PartName="/xl/tables/table114.xml" ContentType="application/vnd.openxmlformats-officedocument.spreadsheetml.table+xml"/>
  <Override PartName="/xl/tables/table115.xml" ContentType="application/vnd.openxmlformats-officedocument.spreadsheetml.table+xml"/>
  <Override PartName="/xl/tables/table116.xml" ContentType="application/vnd.openxmlformats-officedocument.spreadsheetml.table+xml"/>
  <Override PartName="/xl/tables/table117.xml" ContentType="application/vnd.openxmlformats-officedocument.spreadsheetml.table+xml"/>
  <Override PartName="/xl/tables/table118.xml" ContentType="application/vnd.openxmlformats-officedocument.spreadsheetml.table+xml"/>
  <Override PartName="/xl/tables/table119.xml" ContentType="application/vnd.openxmlformats-officedocument.spreadsheetml.table+xml"/>
  <Override PartName="/xl/comments7.xml" ContentType="application/vnd.openxmlformats-officedocument.spreadsheetml.comments+xml"/>
  <Override PartName="/xl/drawings/drawing11.xml" ContentType="application/vnd.openxmlformats-officedocument.drawing+xml"/>
  <Override PartName="/xl/tables/table120.xml" ContentType="application/vnd.openxmlformats-officedocument.spreadsheetml.table+xml"/>
  <Override PartName="/xl/tables/table121.xml" ContentType="application/vnd.openxmlformats-officedocument.spreadsheetml.table+xml"/>
  <Override PartName="/xl/tables/table122.xml" ContentType="application/vnd.openxmlformats-officedocument.spreadsheetml.table+xml"/>
  <Override PartName="/xl/tables/table123.xml" ContentType="application/vnd.openxmlformats-officedocument.spreadsheetml.table+xml"/>
  <Override PartName="/xl/tables/table124.xml" ContentType="application/vnd.openxmlformats-officedocument.spreadsheetml.table+xml"/>
  <Override PartName="/xl/tables/table125.xml" ContentType="application/vnd.openxmlformats-officedocument.spreadsheetml.table+xml"/>
  <Override PartName="/xl/tables/table126.xml" ContentType="application/vnd.openxmlformats-officedocument.spreadsheetml.table+xml"/>
  <Override PartName="/xl/tables/table127.xml" ContentType="application/vnd.openxmlformats-officedocument.spreadsheetml.table+xml"/>
  <Override PartName="/xl/tables/table128.xml" ContentType="application/vnd.openxmlformats-officedocument.spreadsheetml.table+xml"/>
  <Override PartName="/xl/tables/table129.xml" ContentType="application/vnd.openxmlformats-officedocument.spreadsheetml.table+xml"/>
  <Override PartName="/xl/tables/table130.xml" ContentType="application/vnd.openxmlformats-officedocument.spreadsheetml.table+xml"/>
  <Override PartName="/xl/tables/table131.xml" ContentType="application/vnd.openxmlformats-officedocument.spreadsheetml.table+xml"/>
  <Override PartName="/xl/tables/table132.xml" ContentType="application/vnd.openxmlformats-officedocument.spreadsheetml.table+xml"/>
  <Override PartName="/xl/tables/table133.xml" ContentType="application/vnd.openxmlformats-officedocument.spreadsheetml.table+xml"/>
  <Override PartName="/xl/tables/table134.xml" ContentType="application/vnd.openxmlformats-officedocument.spreadsheetml.table+xml"/>
  <Override PartName="/xl/tables/table135.xml" ContentType="application/vnd.openxmlformats-officedocument.spreadsheetml.table+xml"/>
  <Override PartName="/xl/tables/table136.xml" ContentType="application/vnd.openxmlformats-officedocument.spreadsheetml.table+xml"/>
  <Override PartName="/xl/tables/table137.xml" ContentType="application/vnd.openxmlformats-officedocument.spreadsheetml.table+xml"/>
  <Override PartName="/xl/tables/table138.xml" ContentType="application/vnd.openxmlformats-officedocument.spreadsheetml.table+xml"/>
  <Override PartName="/xl/tables/table139.xml" ContentType="application/vnd.openxmlformats-officedocument.spreadsheetml.table+xml"/>
  <Override PartName="/xl/tables/table140.xml" ContentType="application/vnd.openxmlformats-officedocument.spreadsheetml.table+xml"/>
  <Override PartName="/xl/tables/table141.xml" ContentType="application/vnd.openxmlformats-officedocument.spreadsheetml.table+xml"/>
  <Override PartName="/xl/tables/table142.xml" ContentType="application/vnd.openxmlformats-officedocument.spreadsheetml.table+xml"/>
  <Override PartName="/xl/tables/table143.xml" ContentType="application/vnd.openxmlformats-officedocument.spreadsheetml.table+xml"/>
  <Override PartName="/xl/tables/table144.xml" ContentType="application/vnd.openxmlformats-officedocument.spreadsheetml.table+xml"/>
  <Override PartName="/xl/tables/table145.xml" ContentType="application/vnd.openxmlformats-officedocument.spreadsheetml.table+xml"/>
  <Override PartName="/xl/tables/table146.xml" ContentType="application/vnd.openxmlformats-officedocument.spreadsheetml.table+xml"/>
  <Override PartName="/xl/tables/table147.xml" ContentType="application/vnd.openxmlformats-officedocument.spreadsheetml.table+xml"/>
  <Override PartName="/xl/tables/table148.xml" ContentType="application/vnd.openxmlformats-officedocument.spreadsheetml.table+xml"/>
  <Override PartName="/xl/tables/table149.xml" ContentType="application/vnd.openxmlformats-officedocument.spreadsheetml.table+xml"/>
  <Override PartName="/xl/tables/table150.xml" ContentType="application/vnd.openxmlformats-officedocument.spreadsheetml.table+xml"/>
  <Override PartName="/xl/tables/table151.xml" ContentType="application/vnd.openxmlformats-officedocument.spreadsheetml.table+xml"/>
  <Override PartName="/xl/tables/table152.xml" ContentType="application/vnd.openxmlformats-officedocument.spreadsheetml.table+xml"/>
  <Override PartName="/xl/tables/table153.xml" ContentType="application/vnd.openxmlformats-officedocument.spreadsheetml.table+xml"/>
  <Override PartName="/xl/tables/table154.xml" ContentType="application/vnd.openxmlformats-officedocument.spreadsheetml.table+xml"/>
  <Override PartName="/xl/tables/table155.xml" ContentType="application/vnd.openxmlformats-officedocument.spreadsheetml.table+xml"/>
  <Override PartName="/xl/tables/table156.xml" ContentType="application/vnd.openxmlformats-officedocument.spreadsheetml.table+xml"/>
  <Override PartName="/xl/tables/table157.xml" ContentType="application/vnd.openxmlformats-officedocument.spreadsheetml.table+xml"/>
  <Override PartName="/xl/tables/table158.xml" ContentType="application/vnd.openxmlformats-officedocument.spreadsheetml.table+xml"/>
  <Override PartName="/xl/tables/table159.xml" ContentType="application/vnd.openxmlformats-officedocument.spreadsheetml.table+xml"/>
  <Override PartName="/xl/tables/table160.xml" ContentType="application/vnd.openxmlformats-officedocument.spreadsheetml.table+xml"/>
  <Override PartName="/xl/tables/table161.xml" ContentType="application/vnd.openxmlformats-officedocument.spreadsheetml.table+xml"/>
  <Override PartName="/xl/tables/table162.xml" ContentType="application/vnd.openxmlformats-officedocument.spreadsheetml.table+xml"/>
  <Override PartName="/xl/tables/table163.xml" ContentType="application/vnd.openxmlformats-officedocument.spreadsheetml.table+xml"/>
  <Override PartName="/xl/tables/table164.xml" ContentType="application/vnd.openxmlformats-officedocument.spreadsheetml.table+xml"/>
  <Override PartName="/xl/tables/table165.xml" ContentType="application/vnd.openxmlformats-officedocument.spreadsheetml.table+xml"/>
  <Override PartName="/xl/tables/table166.xml" ContentType="application/vnd.openxmlformats-officedocument.spreadsheetml.table+xml"/>
  <Override PartName="/xl/tables/table167.xml" ContentType="application/vnd.openxmlformats-officedocument.spreadsheetml.table+xml"/>
  <Override PartName="/xl/tables/table168.xml" ContentType="application/vnd.openxmlformats-officedocument.spreadsheetml.table+xml"/>
  <Override PartName="/xl/tables/table169.xml" ContentType="application/vnd.openxmlformats-officedocument.spreadsheetml.table+xml"/>
  <Override PartName="/xl/tables/table170.xml" ContentType="application/vnd.openxmlformats-officedocument.spreadsheetml.table+xml"/>
  <Override PartName="/xl/tables/table171.xml" ContentType="application/vnd.openxmlformats-officedocument.spreadsheetml.table+xml"/>
  <Override PartName="/xl/tables/table172.xml" ContentType="application/vnd.openxmlformats-officedocument.spreadsheetml.table+xml"/>
  <Override PartName="/xl/tables/table173.xml" ContentType="application/vnd.openxmlformats-officedocument.spreadsheetml.table+xml"/>
  <Override PartName="/xl/tables/table174.xml" ContentType="application/vnd.openxmlformats-officedocument.spreadsheetml.table+xml"/>
  <Override PartName="/xl/tables/table175.xml" ContentType="application/vnd.openxmlformats-officedocument.spreadsheetml.table+xml"/>
  <Override PartName="/xl/tables/table176.xml" ContentType="application/vnd.openxmlformats-officedocument.spreadsheetml.tab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chartEx5.xml" ContentType="application/vnd.ms-office.chartex+xml"/>
  <Override PartName="/xl/charts/style9.xml" ContentType="application/vnd.ms-office.chartstyle+xml"/>
  <Override PartName="/xl/charts/colors9.xml" ContentType="application/vnd.ms-office.chartcolorstyle+xml"/>
  <Override PartName="/xl/charts/chartEx6.xml" ContentType="application/vnd.ms-office.chartex+xml"/>
  <Override PartName="/xl/charts/style10.xml" ContentType="application/vnd.ms-office.chartstyle+xml"/>
  <Override PartName="/xl/charts/colors10.xml" ContentType="application/vnd.ms-office.chartcolorstyle+xml"/>
  <Override PartName="/xl/drawings/drawing13.xml" ContentType="application/vnd.openxmlformats-officedocument.drawing+xml"/>
  <Override PartName="/xl/drawings/drawing14.xml" ContentType="application/vnd.openxmlformats-officedocument.drawing+xml"/>
  <Override PartName="/xl/tables/table177.xml" ContentType="application/vnd.openxmlformats-officedocument.spreadsheetml.table+xml"/>
  <Override PartName="/xl/drawings/drawing15.xml" ContentType="application/vnd.openxmlformats-officedocument.drawing+xml"/>
  <Override PartName="/xl/tables/table178.xml" ContentType="application/vnd.openxmlformats-officedocument.spreadsheetml.table+xml"/>
  <Override PartName="/xl/drawings/drawing16.xml" ContentType="application/vnd.openxmlformats-officedocument.drawing+xml"/>
  <Override PartName="/xl/tables/table179.xml" ContentType="application/vnd.openxmlformats-officedocument.spreadsheetml.table+xml"/>
  <Override PartName="/xl/drawings/drawing17.xml" ContentType="application/vnd.openxmlformats-officedocument.drawing+xml"/>
  <Override PartName="/xl/tables/table180.xml" ContentType="application/vnd.openxmlformats-officedocument.spreadsheetml.table+xml"/>
  <Override PartName="/xl/drawings/drawing18.xml" ContentType="application/vnd.openxmlformats-officedocument.drawing+xml"/>
  <Override PartName="/xl/tables/table181.xml" ContentType="application/vnd.openxmlformats-officedocument.spreadsheetml.table+xml"/>
  <Override PartName="/xl/drawings/drawing19.xml" ContentType="application/vnd.openxmlformats-officedocument.drawing+xml"/>
  <Override PartName="/xl/tables/table182.xml" ContentType="application/vnd.openxmlformats-officedocument.spreadsheetml.table+xml"/>
  <Override PartName="/xl/drawings/drawing20.xml" ContentType="application/vnd.openxmlformats-officedocument.drawing+xml"/>
  <Override PartName="/xl/tables/table183.xml" ContentType="application/vnd.openxmlformats-officedocument.spreadsheetml.table+xml"/>
  <Override PartName="/xl/drawings/drawing21.xml" ContentType="application/vnd.openxmlformats-officedocument.drawing+xml"/>
  <Override PartName="/xl/tables/table184.xml" ContentType="application/vnd.openxmlformats-officedocument.spreadsheetml.table+xml"/>
  <Override PartName="/xl/drawings/drawing22.xml" ContentType="application/vnd.openxmlformats-officedocument.drawing+xml"/>
  <Override PartName="/xl/tables/table185.xml" ContentType="application/vnd.openxmlformats-officedocument.spreadsheetml.table+xml"/>
  <Override PartName="/xl/drawings/drawing23.xml" ContentType="application/vnd.openxmlformats-officedocument.drawing+xml"/>
  <Override PartName="/xl/tables/table186.xml" ContentType="application/vnd.openxmlformats-officedocument.spreadsheetml.table+xml"/>
  <Override PartName="/xl/drawings/drawing24.xml" ContentType="application/vnd.openxmlformats-officedocument.drawing+xml"/>
  <Override PartName="/xl/tables/table187.xml" ContentType="application/vnd.openxmlformats-officedocument.spreadsheetml.table+xml"/>
  <Override PartName="/xl/drawings/drawing25.xml" ContentType="application/vnd.openxmlformats-officedocument.drawing+xml"/>
  <Override PartName="/xl/tables/table188.xml" ContentType="application/vnd.openxmlformats-officedocument.spreadsheetml.table+xml"/>
  <Override PartName="/xl/drawings/drawing26.xml" ContentType="application/vnd.openxmlformats-officedocument.drawing+xml"/>
  <Override PartName="/xl/tables/table189.xml" ContentType="application/vnd.openxmlformats-officedocument.spreadsheetml.table+xml"/>
  <Override PartName="/xl/drawings/drawing27.xml" ContentType="application/vnd.openxmlformats-officedocument.drawing+xml"/>
  <Override PartName="/xl/tables/table190.xml" ContentType="application/vnd.openxmlformats-officedocument.spreadsheetml.table+xml"/>
  <Override PartName="/xl/drawings/drawing28.xml" ContentType="application/vnd.openxmlformats-officedocument.drawing+xml"/>
  <Override PartName="/xl/tables/table191.xml" ContentType="application/vnd.openxmlformats-officedocument.spreadsheetml.table+xml"/>
  <Override PartName="/xl/drawings/drawing29.xml" ContentType="application/vnd.openxmlformats-officedocument.drawing+xml"/>
  <Override PartName="/xl/tables/table192.xml" ContentType="application/vnd.openxmlformats-officedocument.spreadsheetml.table+xml"/>
  <Override PartName="/xl/drawings/drawing30.xml" ContentType="application/vnd.openxmlformats-officedocument.drawing+xml"/>
  <Override PartName="/xl/tables/table193.xml" ContentType="application/vnd.openxmlformats-officedocument.spreadsheetml.table+xml"/>
  <Override PartName="/xl/drawings/drawing31.xml" ContentType="application/vnd.openxmlformats-officedocument.drawing+xml"/>
  <Override PartName="/xl/tables/table194.xml" ContentType="application/vnd.openxmlformats-officedocument.spreadsheetml.table+xml"/>
  <Override PartName="/xl/drawings/drawing32.xml" ContentType="application/vnd.openxmlformats-officedocument.drawing+xml"/>
  <Override PartName="/xl/tables/table195.xml" ContentType="application/vnd.openxmlformats-officedocument.spreadsheetml.table+xml"/>
  <Override PartName="/xl/drawings/drawing33.xml" ContentType="application/vnd.openxmlformats-officedocument.drawing+xml"/>
  <Override PartName="/xl/tables/table196.xml" ContentType="application/vnd.openxmlformats-officedocument.spreadsheetml.table+xml"/>
  <Override PartName="/xl/drawings/drawing34.xml" ContentType="application/vnd.openxmlformats-officedocument.drawing+xml"/>
  <Override PartName="/xl/tables/table197.xml" ContentType="application/vnd.openxmlformats-officedocument.spreadsheetml.table+xml"/>
  <Override PartName="/xl/drawings/drawing35.xml" ContentType="application/vnd.openxmlformats-officedocument.drawing+xml"/>
  <Override PartName="/xl/tables/table198.xml" ContentType="application/vnd.openxmlformats-officedocument.spreadsheetml.table+xml"/>
  <Override PartName="/xl/drawings/drawing36.xml" ContentType="application/vnd.openxmlformats-officedocument.drawing+xml"/>
  <Override PartName="/xl/tables/table199.xml" ContentType="application/vnd.openxmlformats-officedocument.spreadsheetml.table+xml"/>
  <Override PartName="/xl/drawings/drawing37.xml" ContentType="application/vnd.openxmlformats-officedocument.drawing+xml"/>
  <Override PartName="/xl/tables/table200.xml" ContentType="application/vnd.openxmlformats-officedocument.spreadsheetml.table+xml"/>
  <Override PartName="/xl/drawings/drawing38.xml" ContentType="application/vnd.openxmlformats-officedocument.drawing+xml"/>
  <Override PartName="/xl/tables/table201.xml" ContentType="application/vnd.openxmlformats-officedocument.spreadsheetml.table+xml"/>
  <Override PartName="/xl/drawings/drawing39.xml" ContentType="application/vnd.openxmlformats-officedocument.drawing+xml"/>
  <Override PartName="/xl/tables/table202.xml" ContentType="application/vnd.openxmlformats-officedocument.spreadsheetml.table+xml"/>
  <Override PartName="/xl/drawings/drawing40.xml" ContentType="application/vnd.openxmlformats-officedocument.drawing+xml"/>
  <Override PartName="/xl/tables/table203.xml" ContentType="application/vnd.openxmlformats-officedocument.spreadsheetml.table+xml"/>
  <Override PartName="/xl/drawings/drawing41.xml" ContentType="application/vnd.openxmlformats-officedocument.drawing+xml"/>
  <Override PartName="/xl/tables/table204.xml" ContentType="application/vnd.openxmlformats-officedocument.spreadsheetml.table+xml"/>
  <Override PartName="/xl/drawings/drawing42.xml" ContentType="application/vnd.openxmlformats-officedocument.drawing+xml"/>
  <Override PartName="/xl/tables/table205.xml" ContentType="application/vnd.openxmlformats-officedocument.spreadsheetml.table+xml"/>
  <Override PartName="/xl/drawings/drawing43.xml" ContentType="application/vnd.openxmlformats-officedocument.drawing+xml"/>
  <Override PartName="/xl/tables/table206.xml" ContentType="application/vnd.openxmlformats-officedocument.spreadsheetml.table+xml"/>
  <Override PartName="/xl/drawings/drawing44.xml" ContentType="application/vnd.openxmlformats-officedocument.drawing+xml"/>
  <Override PartName="/xl/tables/table207.xml" ContentType="application/vnd.openxmlformats-officedocument.spreadsheetml.table+xml"/>
  <Override PartName="/xl/drawings/drawing45.xml" ContentType="application/vnd.openxmlformats-officedocument.drawing+xml"/>
  <Override PartName="/xl/tables/table208.xml" ContentType="application/vnd.openxmlformats-officedocument.spreadsheetml.table+xml"/>
  <Override PartName="/xl/drawings/drawing46.xml" ContentType="application/vnd.openxmlformats-officedocument.drawing+xml"/>
  <Override PartName="/xl/tables/table209.xml" ContentType="application/vnd.openxmlformats-officedocument.spreadsheetml.table+xml"/>
  <Override PartName="/xl/drawings/drawing47.xml" ContentType="application/vnd.openxmlformats-officedocument.drawing+xml"/>
  <Override PartName="/xl/tables/table210.xml" ContentType="application/vnd.openxmlformats-officedocument.spreadsheetml.table+xml"/>
  <Override PartName="/xl/drawings/drawing48.xml" ContentType="application/vnd.openxmlformats-officedocument.drawing+xml"/>
  <Override PartName="/xl/tables/table211.xml" ContentType="application/vnd.openxmlformats-officedocument.spreadsheetml.table+xml"/>
  <Override PartName="/xl/drawings/drawing49.xml" ContentType="application/vnd.openxmlformats-officedocument.drawing+xml"/>
  <Override PartName="/xl/tables/table212.xml" ContentType="application/vnd.openxmlformats-officedocument.spreadsheetml.table+xml"/>
  <Override PartName="/xl/drawings/drawing50.xml" ContentType="application/vnd.openxmlformats-officedocument.drawing+xml"/>
  <Override PartName="/xl/tables/table213.xml" ContentType="application/vnd.openxmlformats-officedocument.spreadsheetml.table+xml"/>
  <Override PartName="/xl/drawings/drawing51.xml" ContentType="application/vnd.openxmlformats-officedocument.drawing+xml"/>
  <Override PartName="/xl/tables/table214.xml" ContentType="application/vnd.openxmlformats-officedocument.spreadsheetml.table+xml"/>
  <Override PartName="/xl/drawings/drawing52.xml" ContentType="application/vnd.openxmlformats-officedocument.drawing+xml"/>
  <Override PartName="/xl/tables/table215.xml" ContentType="application/vnd.openxmlformats-officedocument.spreadsheetml.table+xml"/>
  <Override PartName="/xl/drawings/drawing53.xml" ContentType="application/vnd.openxmlformats-officedocument.drawing+xml"/>
  <Override PartName="/xl/tables/table216.xml" ContentType="application/vnd.openxmlformats-officedocument.spreadsheetml.table+xml"/>
  <Override PartName="/xl/drawings/drawing54.xml" ContentType="application/vnd.openxmlformats-officedocument.drawing+xml"/>
  <Override PartName="/xl/tables/table217.xml" ContentType="application/vnd.openxmlformats-officedocument.spreadsheetml.table+xml"/>
  <Override PartName="/xl/drawings/drawing55.xml" ContentType="application/vnd.openxmlformats-officedocument.drawing+xml"/>
  <Override PartName="/xl/tables/table218.xml" ContentType="application/vnd.openxmlformats-officedocument.spreadsheetml.table+xml"/>
  <Override PartName="/xl/drawings/drawing56.xml" ContentType="application/vnd.openxmlformats-officedocument.drawing+xml"/>
  <Override PartName="/xl/tables/table219.xml" ContentType="application/vnd.openxmlformats-officedocument.spreadsheetml.table+xml"/>
  <Override PartName="/xl/drawings/drawing57.xml" ContentType="application/vnd.openxmlformats-officedocument.drawing+xml"/>
  <Override PartName="/xl/tables/table220.xml" ContentType="application/vnd.openxmlformats-officedocument.spreadsheetml.table+xml"/>
  <Override PartName="/xl/drawings/drawing58.xml" ContentType="application/vnd.openxmlformats-officedocument.drawing+xml"/>
  <Override PartName="/xl/tables/table221.xml" ContentType="application/vnd.openxmlformats-officedocument.spreadsheetml.table+xml"/>
  <Override PartName="/xl/drawings/drawing59.xml" ContentType="application/vnd.openxmlformats-officedocument.drawing+xml"/>
  <Override PartName="/xl/tables/table222.xml" ContentType="application/vnd.openxmlformats-officedocument.spreadsheetml.table+xml"/>
  <Override PartName="/xl/drawings/drawing60.xml" ContentType="application/vnd.openxmlformats-officedocument.drawing+xml"/>
  <Override PartName="/xl/tables/table223.xml" ContentType="application/vnd.openxmlformats-officedocument.spreadsheetml.table+xml"/>
  <Override PartName="/xl/drawings/drawing61.xml" ContentType="application/vnd.openxmlformats-officedocument.drawing+xml"/>
  <Override PartName="/xl/tables/table224.xml" ContentType="application/vnd.openxmlformats-officedocument.spreadsheetml.table+xml"/>
  <Override PartName="/xl/drawings/drawing62.xml" ContentType="application/vnd.openxmlformats-officedocument.drawing+xml"/>
  <Override PartName="/xl/tables/table225.xml" ContentType="application/vnd.openxmlformats-officedocument.spreadsheetml.table+xml"/>
  <Override PartName="/xl/drawings/drawing63.xml" ContentType="application/vnd.openxmlformats-officedocument.drawing+xml"/>
  <Override PartName="/xl/tables/table226.xml" ContentType="application/vnd.openxmlformats-officedocument.spreadsheetml.table+xml"/>
  <Override PartName="/xl/drawings/drawing64.xml" ContentType="application/vnd.openxmlformats-officedocument.drawing+xml"/>
  <Override PartName="/xl/tables/table227.xml" ContentType="application/vnd.openxmlformats-officedocument.spreadsheetml.table+xml"/>
  <Override PartName="/xl/drawings/drawing65.xml" ContentType="application/vnd.openxmlformats-officedocument.drawing+xml"/>
  <Override PartName="/xl/tables/table228.xml" ContentType="application/vnd.openxmlformats-officedocument.spreadsheetml.table+xml"/>
  <Override PartName="/xl/drawings/drawing66.xml" ContentType="application/vnd.openxmlformats-officedocument.drawing+xml"/>
  <Override PartName="/xl/tables/table229.xml" ContentType="application/vnd.openxmlformats-officedocument.spreadsheetml.table+xml"/>
  <Override PartName="/xl/drawings/drawing67.xml" ContentType="application/vnd.openxmlformats-officedocument.drawing+xml"/>
  <Override PartName="/xl/tables/table230.xml" ContentType="application/vnd.openxmlformats-officedocument.spreadsheetml.table+xml"/>
  <Override PartName="/xl/drawings/drawing68.xml" ContentType="application/vnd.openxmlformats-officedocument.drawing+xml"/>
  <Override PartName="/xl/tables/table231.xml" ContentType="application/vnd.openxmlformats-officedocument.spreadsheetml.table+xml"/>
  <Override PartName="/xl/drawings/drawing69.xml" ContentType="application/vnd.openxmlformats-officedocument.drawing+xml"/>
  <Override PartName="/xl/tables/table232.xml" ContentType="application/vnd.openxmlformats-officedocument.spreadsheetml.table+xml"/>
  <Override PartName="/xl/drawings/drawing70.xml" ContentType="application/vnd.openxmlformats-officedocument.drawing+xml"/>
  <Override PartName="/xl/tables/table233.xml" ContentType="application/vnd.openxmlformats-officedocument.spreadsheetml.table+xml"/>
  <Override PartName="/xl/drawings/drawing71.xml" ContentType="application/vnd.openxmlformats-officedocument.drawing+xml"/>
  <Override PartName="/xl/tables/table234.xml" ContentType="application/vnd.openxmlformats-officedocument.spreadsheetml.table+xml"/>
  <Override PartName="/xl/drawings/drawing72.xml" ContentType="application/vnd.openxmlformats-officedocument.drawing+xml"/>
  <Override PartName="/xl/tables/table235.xml" ContentType="application/vnd.openxmlformats-officedocument.spreadsheetml.table+xml"/>
  <Override PartName="/xl/drawings/drawing73.xml" ContentType="application/vnd.openxmlformats-officedocument.drawing+xml"/>
  <Override PartName="/xl/tables/table236.xml" ContentType="application/vnd.openxmlformats-officedocument.spreadsheetml.table+xml"/>
  <Override PartName="/xl/drawings/drawing74.xml" ContentType="application/vnd.openxmlformats-officedocument.drawing+xml"/>
  <Override PartName="/xl/tables/table237.xml" ContentType="application/vnd.openxmlformats-officedocument.spreadsheetml.table+xml"/>
  <Override PartName="/xl/drawings/drawing75.xml" ContentType="application/vnd.openxmlformats-officedocument.drawing+xml"/>
  <Override PartName="/xl/tables/table238.xml" ContentType="application/vnd.openxmlformats-officedocument.spreadsheetml.table+xml"/>
  <Override PartName="/xl/drawings/drawing76.xml" ContentType="application/vnd.openxmlformats-officedocument.drawing+xml"/>
  <Override PartName="/xl/tables/table239.xml" ContentType="application/vnd.openxmlformats-officedocument.spreadsheetml.table+xml"/>
  <Override PartName="/xl/drawings/drawing77.xml" ContentType="application/vnd.openxmlformats-officedocument.drawing+xml"/>
  <Override PartName="/xl/tables/table240.xml" ContentType="application/vnd.openxmlformats-officedocument.spreadsheetml.table+xml"/>
  <Override PartName="/xl/drawings/drawing78.xml" ContentType="application/vnd.openxmlformats-officedocument.drawing+xml"/>
  <Override PartName="/xl/tables/table241.xml" ContentType="application/vnd.openxmlformats-officedocument.spreadsheetml.table+xml"/>
  <Override PartName="/xl/drawings/drawing79.xml" ContentType="application/vnd.openxmlformats-officedocument.drawing+xml"/>
  <Override PartName="/xl/tables/table242.xml" ContentType="application/vnd.openxmlformats-officedocument.spreadsheetml.table+xml"/>
  <Override PartName="/xl/drawings/drawing80.xml" ContentType="application/vnd.openxmlformats-officedocument.drawing+xml"/>
  <Override PartName="/xl/tables/table243.xml" ContentType="application/vnd.openxmlformats-officedocument.spreadsheetml.table+xml"/>
  <Override PartName="/xl/drawings/drawing81.xml" ContentType="application/vnd.openxmlformats-officedocument.drawing+xml"/>
  <Override PartName="/xl/tables/table244.xml" ContentType="application/vnd.openxmlformats-officedocument.spreadsheetml.table+xml"/>
  <Override PartName="/xl/drawings/drawing82.xml" ContentType="application/vnd.openxmlformats-officedocument.drawing+xml"/>
  <Override PartName="/xl/tables/table245.xml" ContentType="application/vnd.openxmlformats-officedocument.spreadsheetml.table+xml"/>
  <Override PartName="/xl/drawings/drawing83.xml" ContentType="application/vnd.openxmlformats-officedocument.drawing+xml"/>
  <Override PartName="/xl/tables/table246.xml" ContentType="application/vnd.openxmlformats-officedocument.spreadsheetml.table+xml"/>
  <Override PartName="/xl/drawings/drawing84.xml" ContentType="application/vnd.openxmlformats-officedocument.drawing+xml"/>
  <Override PartName="/xl/tables/table247.xml" ContentType="application/vnd.openxmlformats-officedocument.spreadsheetml.table+xml"/>
  <Override PartName="/xl/drawings/drawing85.xml" ContentType="application/vnd.openxmlformats-officedocument.drawing+xml"/>
  <Override PartName="/xl/tables/table248.xml" ContentType="application/vnd.openxmlformats-officedocument.spreadsheetml.table+xml"/>
  <Override PartName="/xl/drawings/drawing86.xml" ContentType="application/vnd.openxmlformats-officedocument.drawing+xml"/>
  <Override PartName="/xl/tables/table249.xml" ContentType="application/vnd.openxmlformats-officedocument.spreadsheetml.table+xml"/>
  <Override PartName="/xl/drawings/drawing87.xml" ContentType="application/vnd.openxmlformats-officedocument.drawing+xml"/>
  <Override PartName="/xl/tables/table250.xml" ContentType="application/vnd.openxmlformats-officedocument.spreadsheetml.table+xml"/>
  <Override PartName="/xl/drawings/drawing88.xml" ContentType="application/vnd.openxmlformats-officedocument.drawing+xml"/>
  <Override PartName="/xl/tables/table251.xml" ContentType="application/vnd.openxmlformats-officedocument.spreadsheetml.table+xml"/>
  <Override PartName="/xl/drawings/drawing89.xml" ContentType="application/vnd.openxmlformats-officedocument.drawing+xml"/>
  <Override PartName="/xl/tables/table252.xml" ContentType="application/vnd.openxmlformats-officedocument.spreadsheetml.table+xml"/>
  <Override PartName="/xl/drawings/drawing90.xml" ContentType="application/vnd.openxmlformats-officedocument.drawing+xml"/>
  <Override PartName="/xl/tables/table253.xml" ContentType="application/vnd.openxmlformats-officedocument.spreadsheetml.table+xml"/>
  <Override PartName="/xl/drawings/drawing91.xml" ContentType="application/vnd.openxmlformats-officedocument.drawing+xml"/>
  <Override PartName="/xl/tables/table254.xml" ContentType="application/vnd.openxmlformats-officedocument.spreadsheetml.table+xml"/>
  <Override PartName="/xl/drawings/drawing92.xml" ContentType="application/vnd.openxmlformats-officedocument.drawing+xml"/>
  <Override PartName="/xl/tables/table255.xml" ContentType="application/vnd.openxmlformats-officedocument.spreadsheetml.table+xml"/>
  <Override PartName="/xl/drawings/drawing93.xml" ContentType="application/vnd.openxmlformats-officedocument.drawing+xml"/>
  <Override PartName="/xl/tables/table256.xml" ContentType="application/vnd.openxmlformats-officedocument.spreadsheetml.table+xml"/>
  <Override PartName="/xl/drawings/drawing94.xml" ContentType="application/vnd.openxmlformats-officedocument.drawing+xml"/>
  <Override PartName="/xl/tables/table257.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hidePivotFieldList="1" defaultThemeVersion="166925"/>
  <mc:AlternateContent xmlns:mc="http://schemas.openxmlformats.org/markup-compatibility/2006">
    <mc:Choice Requires="x15">
      <x15ac:absPath xmlns:x15ac="http://schemas.microsoft.com/office/spreadsheetml/2010/11/ac" url="C:\Users\USER\Downloads\Telegram Desktop\"/>
    </mc:Choice>
  </mc:AlternateContent>
  <xr:revisionPtr revIDLastSave="0" documentId="13_ncr:8001_{D099A65F-D739-4AD3-8E23-44C71E448CAC}" xr6:coauthVersionLast="47" xr6:coauthVersionMax="47" xr10:uidLastSave="{00000000-0000-0000-0000-000000000000}"/>
  <bookViews>
    <workbookView xWindow="1605" yWindow="540" windowWidth="32790" windowHeight="20415" tabRatio="810" firstSheet="3" activeTab="3" xr2:uid="{0AE1248A-45DA-45CF-9886-0D0BD00AA832}"/>
  </bookViews>
  <sheets>
    <sheet name="INGRESO DE DATOS" sheetId="156" r:id="rId1"/>
    <sheet name="DASH" sheetId="63" r:id="rId2"/>
    <sheet name="PORTADA " sheetId="1" r:id="rId3"/>
    <sheet name="OFERTA" sheetId="7" r:id="rId4"/>
    <sheet name="MAQUINARIA Y EQUIPO" sheetId="2" r:id="rId5"/>
    <sheet name="FACTOR PRESTACIONAL" sheetId="5" r:id="rId6"/>
    <sheet name="MANO DE OBRA " sheetId="3" r:id="rId7"/>
    <sheet name="MATERIALES" sheetId="4" r:id="rId8"/>
    <sheet name="ADMINISTRACION ELECTRICA" sheetId="157" r:id="rId9"/>
    <sheet name="ADMINISTRACION MECANICA " sheetId="158" r:id="rId10"/>
    <sheet name="ADMINISTRACION GENERAL TUPEY" sheetId="6" r:id="rId11"/>
    <sheet name="TABLAS" sheetId="155" r:id="rId12"/>
    <sheet name="L.MATERAILES" sheetId="58" r:id="rId13"/>
    <sheet name="APU REF. " sheetId="9" r:id="rId14"/>
    <sheet name="1" sheetId="70" r:id="rId15"/>
    <sheet name="2" sheetId="71" r:id="rId16"/>
    <sheet name="3" sheetId="72" r:id="rId17"/>
    <sheet name="4" sheetId="73" r:id="rId18"/>
    <sheet name="5" sheetId="74" r:id="rId19"/>
    <sheet name="6" sheetId="75" r:id="rId20"/>
    <sheet name="7" sheetId="76" r:id="rId21"/>
    <sheet name="8" sheetId="77" r:id="rId22"/>
    <sheet name="9" sheetId="78" r:id="rId23"/>
    <sheet name="10" sheetId="79" r:id="rId24"/>
    <sheet name="11" sheetId="80" r:id="rId25"/>
    <sheet name="12" sheetId="81" r:id="rId26"/>
    <sheet name="13" sheetId="82" r:id="rId27"/>
    <sheet name="14" sheetId="83" r:id="rId28"/>
    <sheet name="15" sheetId="84" r:id="rId29"/>
    <sheet name="16" sheetId="85" r:id="rId30"/>
    <sheet name="17" sheetId="86" r:id="rId31"/>
    <sheet name="18" sheetId="87" r:id="rId32"/>
    <sheet name="19" sheetId="88" r:id="rId33"/>
    <sheet name="20" sheetId="89" r:id="rId34"/>
    <sheet name="21" sheetId="90" r:id="rId35"/>
    <sheet name="22" sheetId="91" r:id="rId36"/>
    <sheet name="23" sheetId="92" r:id="rId37"/>
    <sheet name="24" sheetId="93" r:id="rId38"/>
    <sheet name="25" sheetId="94" r:id="rId39"/>
    <sheet name="26" sheetId="95" r:id="rId40"/>
    <sheet name="27" sheetId="96" r:id="rId41"/>
    <sheet name="28" sheetId="97" r:id="rId42"/>
    <sheet name="29" sheetId="98" r:id="rId43"/>
    <sheet name="30" sheetId="99" r:id="rId44"/>
    <sheet name="31" sheetId="100" r:id="rId45"/>
    <sheet name="32" sheetId="102" r:id="rId46"/>
    <sheet name="33" sheetId="103" r:id="rId47"/>
    <sheet name="34" sheetId="104" r:id="rId48"/>
    <sheet name="35" sheetId="105" r:id="rId49"/>
    <sheet name="36" sheetId="106" r:id="rId50"/>
    <sheet name="37" sheetId="107" r:id="rId51"/>
    <sheet name="38" sheetId="108" r:id="rId52"/>
    <sheet name="39" sheetId="109" r:id="rId53"/>
    <sheet name="40" sheetId="110" r:id="rId54"/>
    <sheet name="41" sheetId="115" r:id="rId55"/>
    <sheet name="42" sheetId="116" r:id="rId56"/>
    <sheet name="43" sheetId="117" r:id="rId57"/>
    <sheet name="44" sheetId="118" r:id="rId58"/>
    <sheet name="45" sheetId="119" r:id="rId59"/>
    <sheet name="46" sheetId="120" r:id="rId60"/>
    <sheet name="47" sheetId="121" r:id="rId61"/>
    <sheet name="48" sheetId="122" r:id="rId62"/>
    <sheet name="49" sheetId="123" r:id="rId63"/>
    <sheet name="50" sheetId="124" r:id="rId64"/>
    <sheet name="51" sheetId="125" r:id="rId65"/>
    <sheet name="52" sheetId="126" r:id="rId66"/>
    <sheet name="53" sheetId="127" r:id="rId67"/>
    <sheet name="54" sheetId="128" r:id="rId68"/>
    <sheet name="55" sheetId="129" r:id="rId69"/>
    <sheet name="56" sheetId="130" r:id="rId70"/>
    <sheet name="57" sheetId="131" r:id="rId71"/>
    <sheet name="58" sheetId="132" r:id="rId72"/>
    <sheet name="59" sheetId="133" r:id="rId73"/>
    <sheet name="60" sheetId="134" r:id="rId74"/>
    <sheet name="61" sheetId="135" r:id="rId75"/>
    <sheet name="62" sheetId="136" r:id="rId76"/>
    <sheet name="63" sheetId="137" r:id="rId77"/>
    <sheet name="64" sheetId="138" r:id="rId78"/>
    <sheet name="65" sheetId="139" r:id="rId79"/>
    <sheet name="66" sheetId="140" r:id="rId80"/>
    <sheet name="67" sheetId="141" r:id="rId81"/>
    <sheet name="68" sheetId="142" r:id="rId82"/>
    <sheet name="69" sheetId="143" r:id="rId83"/>
    <sheet name="70" sheetId="144" r:id="rId84"/>
    <sheet name="71" sheetId="145" r:id="rId85"/>
    <sheet name="72" sheetId="146" r:id="rId86"/>
    <sheet name="73" sheetId="147" r:id="rId87"/>
    <sheet name="74" sheetId="148" r:id="rId88"/>
    <sheet name="75" sheetId="149" r:id="rId89"/>
    <sheet name="76" sheetId="150" r:id="rId90"/>
    <sheet name="77" sheetId="151" r:id="rId91"/>
    <sheet name="78" sheetId="152" r:id="rId92"/>
    <sheet name="79" sheetId="153" r:id="rId93"/>
    <sheet name="80" sheetId="154" r:id="rId94"/>
  </sheets>
  <externalReferences>
    <externalReference r:id="rId95"/>
  </externalReferences>
  <definedNames>
    <definedName name="_xlnm._FilterDatabase" localSheetId="3" hidden="1">OFERTA!$A$5:$AL$215</definedName>
    <definedName name="_xlchart.v5.0" hidden="1">TABLAS!$C$85:$D$85</definedName>
    <definedName name="_xlchart.v5.1" hidden="1">TABLAS!$C$86:$D$87</definedName>
    <definedName name="_xlchart.v5.10" hidden="1">TABLAS!$E$85</definedName>
    <definedName name="_xlchart.v5.11" hidden="1">TABLAS!$E$86:$E$87</definedName>
    <definedName name="_xlchart.v5.12" hidden="1">TABLAS!$C$92:$D$92</definedName>
    <definedName name="_xlchart.v5.13" hidden="1">TABLAS!$C$93:$D$93</definedName>
    <definedName name="_xlchart.v5.14" hidden="1">TABLAS!$E$92</definedName>
    <definedName name="_xlchart.v5.15" hidden="1">TABLAS!$E$93</definedName>
    <definedName name="_xlchart.v5.16" hidden="1">TABLAS!$C$85:$D$85</definedName>
    <definedName name="_xlchart.v5.17" hidden="1">TABLAS!$C$86:$D$87</definedName>
    <definedName name="_xlchart.v5.18" hidden="1">TABLAS!$E$85</definedName>
    <definedName name="_xlchart.v5.19" hidden="1">TABLAS!$E$86:$E$87</definedName>
    <definedName name="_xlchart.v5.2" hidden="1">TABLAS!$E$85</definedName>
    <definedName name="_xlchart.v5.20" hidden="1">TABLAS!$C$92:$D$92</definedName>
    <definedName name="_xlchart.v5.21" hidden="1">TABLAS!$C$93:$D$93</definedName>
    <definedName name="_xlchart.v5.22" hidden="1">TABLAS!$E$92</definedName>
    <definedName name="_xlchart.v5.23" hidden="1">TABLAS!$E$93</definedName>
    <definedName name="_xlchart.v5.3" hidden="1">TABLAS!$E$86:$E$87</definedName>
    <definedName name="_xlchart.v5.4" hidden="1">TABLAS!$C$92:$D$92</definedName>
    <definedName name="_xlchart.v5.5" hidden="1">TABLAS!$C$93:$D$93</definedName>
    <definedName name="_xlchart.v5.6" hidden="1">TABLAS!$E$92</definedName>
    <definedName name="_xlchart.v5.7" hidden="1">TABLAS!$E$93</definedName>
    <definedName name="_xlchart.v5.8" hidden="1">TABLAS!$C$85:$D$85</definedName>
    <definedName name="_xlchart.v5.9" hidden="1">TABLAS!$C$86:$D$87</definedName>
    <definedName name="ADMINISTRACION">OFERTA!$D$221</definedName>
    <definedName name="ALOJA_ALIME">'FACTOR PRESTACIONAL'!$E$44</definedName>
    <definedName name="ALOJAMIENTO_NO_OPERATIVOS">'FACTOR PRESTACIONAL'!$K$44</definedName>
    <definedName name="CANT_PROYECTO" localSheetId="14">OFERTA!$E$5:$E$213</definedName>
    <definedName name="CANT_PROYECTO" localSheetId="23">OFERTA!$E$5:$E$213</definedName>
    <definedName name="CANT_PROYECTO" localSheetId="24">OFERTA!$E$5:$E$213</definedName>
    <definedName name="CANT_PROYECTO" localSheetId="25">OFERTA!$E$5:$E$213</definedName>
    <definedName name="CANT_PROYECTO" localSheetId="26">OFERTA!$E$5:$E$213</definedName>
    <definedName name="CANT_PROYECTO" localSheetId="27">OFERTA!$E$5:$E$213</definedName>
    <definedName name="CANT_PROYECTO" localSheetId="28">OFERTA!$E$5:$E$213</definedName>
    <definedName name="CANT_PROYECTO" localSheetId="29">OFERTA!$E$5:$E$213</definedName>
    <definedName name="CANT_PROYECTO" localSheetId="30">OFERTA!$E$5:$E$213</definedName>
    <definedName name="CANT_PROYECTO" localSheetId="31">OFERTA!$E$5:$E$213</definedName>
    <definedName name="CANT_PROYECTO" localSheetId="32">OFERTA!$E$5:$E$213</definedName>
    <definedName name="CANT_PROYECTO" localSheetId="15">OFERTA!$E$5:$E$213</definedName>
    <definedName name="CANT_PROYECTO" localSheetId="33">OFERTA!$E$5:$E$213</definedName>
    <definedName name="CANT_PROYECTO" localSheetId="34">OFERTA!$E$5:$E$213</definedName>
    <definedName name="CANT_PROYECTO" localSheetId="35">OFERTA!$E$5:$E$213</definedName>
    <definedName name="CANT_PROYECTO" localSheetId="36">OFERTA!$E$5:$E$213</definedName>
    <definedName name="CANT_PROYECTO" localSheetId="37">OFERTA!$E$5:$E$213</definedName>
    <definedName name="CANT_PROYECTO" localSheetId="38">OFERTA!$E$5:$E$213</definedName>
    <definedName name="CANT_PROYECTO" localSheetId="39">OFERTA!$E$5:$E$213</definedName>
    <definedName name="CANT_PROYECTO" localSheetId="40">OFERTA!$E$5:$E$213</definedName>
    <definedName name="CANT_PROYECTO" localSheetId="41">OFERTA!$E$5:$E$213</definedName>
    <definedName name="CANT_PROYECTO" localSheetId="42">OFERTA!$E$5:$E$213</definedName>
    <definedName name="CANT_PROYECTO" localSheetId="16">OFERTA!$E$5:$E$213</definedName>
    <definedName name="CANT_PROYECTO" localSheetId="43">OFERTA!$E$5:$E$213</definedName>
    <definedName name="CANT_PROYECTO" localSheetId="44">OFERTA!$E$5:$E$213</definedName>
    <definedName name="CANT_PROYECTO" localSheetId="45">OFERTA!$E$5:$E$213</definedName>
    <definedName name="CANT_PROYECTO" localSheetId="46">OFERTA!$E$5:$E$213</definedName>
    <definedName name="CANT_PROYECTO" localSheetId="47">OFERTA!$E$5:$E$213</definedName>
    <definedName name="CANT_PROYECTO" localSheetId="48">OFERTA!$E$5:$E$213</definedName>
    <definedName name="CANT_PROYECTO" localSheetId="49">OFERTA!$E$5:$E$213</definedName>
    <definedName name="CANT_PROYECTO" localSheetId="50">OFERTA!$E$5:$E$213</definedName>
    <definedName name="CANT_PROYECTO" localSheetId="51">OFERTA!$E$5:$E$213</definedName>
    <definedName name="CANT_PROYECTO" localSheetId="52">OFERTA!$E$5:$E$213</definedName>
    <definedName name="CANT_PROYECTO" localSheetId="17">OFERTA!$E$5:$E$213</definedName>
    <definedName name="CANT_PROYECTO" localSheetId="53">OFERTA!$E$5:$E$213</definedName>
    <definedName name="CANT_PROYECTO" localSheetId="54">OFERTA!$E$5:$E$213</definedName>
    <definedName name="CANT_PROYECTO" localSheetId="55">OFERTA!$E$5:$E$213</definedName>
    <definedName name="CANT_PROYECTO" localSheetId="56">OFERTA!$E$5:$E$213</definedName>
    <definedName name="CANT_PROYECTO" localSheetId="57">OFERTA!$E$5:$E$213</definedName>
    <definedName name="CANT_PROYECTO" localSheetId="58">OFERTA!$E$5:$E$213</definedName>
    <definedName name="CANT_PROYECTO" localSheetId="59">OFERTA!$E$5:$E$213</definedName>
    <definedName name="CANT_PROYECTO" localSheetId="60">OFERTA!$E$5:$E$213</definedName>
    <definedName name="CANT_PROYECTO" localSheetId="61">OFERTA!$E$5:$E$213</definedName>
    <definedName name="CANT_PROYECTO" localSheetId="62">OFERTA!$E$5:$E$213</definedName>
    <definedName name="CANT_PROYECTO" localSheetId="18">OFERTA!$E$5:$E$213</definedName>
    <definedName name="CANT_PROYECTO" localSheetId="63">OFERTA!$E$5:$E$213</definedName>
    <definedName name="CANT_PROYECTO" localSheetId="64">OFERTA!$E$5:$E$213</definedName>
    <definedName name="CANT_PROYECTO" localSheetId="65">OFERTA!$E$5:$E$213</definedName>
    <definedName name="CANT_PROYECTO" localSheetId="66">OFERTA!$E$5:$E$213</definedName>
    <definedName name="CANT_PROYECTO" localSheetId="67">OFERTA!$E$5:$E$213</definedName>
    <definedName name="CANT_PROYECTO" localSheetId="68">OFERTA!$E$5:$E$213</definedName>
    <definedName name="CANT_PROYECTO" localSheetId="69">OFERTA!$E$5:$E$213</definedName>
    <definedName name="CANT_PROYECTO" localSheetId="70">OFERTA!$E$5:$E$213</definedName>
    <definedName name="CANT_PROYECTO" localSheetId="71">OFERTA!$E$5:$E$213</definedName>
    <definedName name="CANT_PROYECTO" localSheetId="72">OFERTA!$E$5:$E$213</definedName>
    <definedName name="CANT_PROYECTO" localSheetId="19">OFERTA!$E$5:$E$213</definedName>
    <definedName name="CANT_PROYECTO" localSheetId="73">OFERTA!$E$5:$E$213</definedName>
    <definedName name="CANT_PROYECTO" localSheetId="74">OFERTA!$E$5:$E$213</definedName>
    <definedName name="CANT_PROYECTO" localSheetId="75">OFERTA!$E$5:$E$213</definedName>
    <definedName name="CANT_PROYECTO" localSheetId="76">OFERTA!$E$5:$E$213</definedName>
    <definedName name="CANT_PROYECTO" localSheetId="77">OFERTA!$E$5:$E$213</definedName>
    <definedName name="CANT_PROYECTO" localSheetId="78">OFERTA!$E$5:$E$213</definedName>
    <definedName name="CANT_PROYECTO" localSheetId="79">OFERTA!$E$5:$E$213</definedName>
    <definedName name="CANT_PROYECTO" localSheetId="80">OFERTA!$E$5:$E$213</definedName>
    <definedName name="CANT_PROYECTO" localSheetId="81">OFERTA!$E$5:$E$213</definedName>
    <definedName name="CANT_PROYECTO" localSheetId="82">OFERTA!$E$5:$E$213</definedName>
    <definedName name="CANT_PROYECTO" localSheetId="20">OFERTA!$E$5:$E$213</definedName>
    <definedName name="CANT_PROYECTO" localSheetId="83">OFERTA!$E$5:$E$213</definedName>
    <definedName name="CANT_PROYECTO" localSheetId="84">OFERTA!$E$5:$E$213</definedName>
    <definedName name="CANT_PROYECTO" localSheetId="85">OFERTA!$E$5:$E$213</definedName>
    <definedName name="CANT_PROYECTO" localSheetId="86">OFERTA!$E$5:$E$213</definedName>
    <definedName name="CANT_PROYECTO" localSheetId="87">OFERTA!$E$5:$E$213</definedName>
    <definedName name="CANT_PROYECTO" localSheetId="88">OFERTA!$E$5:$E$213</definedName>
    <definedName name="CANT_PROYECTO" localSheetId="89">OFERTA!$E$5:$E$213</definedName>
    <definedName name="CANT_PROYECTO" localSheetId="90">OFERTA!$E$5:$E$213</definedName>
    <definedName name="CANT_PROYECTO" localSheetId="91">OFERTA!$E$5:$E$213</definedName>
    <definedName name="CANT_PROYECTO" localSheetId="92">OFERTA!$E$5:$E$213</definedName>
    <definedName name="CANT_PROYECTO" localSheetId="21">OFERTA!$E$5:$E$213</definedName>
    <definedName name="CANT_PROYECTO" localSheetId="93">OFERTA!$E$5:$E$213</definedName>
    <definedName name="CANT_PROYECTO" localSheetId="22">OFERTA!$E$5:$E$213</definedName>
    <definedName name="CANT_PROYECTO">OFERTA!$E$5:$E$213</definedName>
    <definedName name="CIUDAD">'PORTADA '!$E$4</definedName>
    <definedName name="CONSUMO_COMBUSTIBLE_H" localSheetId="14">Tabla1[[#All],[CONSUMO COMBUSTIBLE HORA  (UNIT HOUR VALUE)]]</definedName>
    <definedName name="CONSUMO_COMBUSTIBLE_H" localSheetId="23">Tabla1[[#All],[CONSUMO COMBUSTIBLE HORA  (UNIT HOUR VALUE)]]</definedName>
    <definedName name="CONSUMO_COMBUSTIBLE_H" localSheetId="24">Tabla1[[#All],[CONSUMO COMBUSTIBLE HORA  (UNIT HOUR VALUE)]]</definedName>
    <definedName name="CONSUMO_COMBUSTIBLE_H" localSheetId="25">Tabla1[[#All],[CONSUMO COMBUSTIBLE HORA  (UNIT HOUR VALUE)]]</definedName>
    <definedName name="CONSUMO_COMBUSTIBLE_H" localSheetId="26">Tabla1[[#All],[CONSUMO COMBUSTIBLE HORA  (UNIT HOUR VALUE)]]</definedName>
    <definedName name="CONSUMO_COMBUSTIBLE_H" localSheetId="27">Tabla1[[#All],[CONSUMO COMBUSTIBLE HORA  (UNIT HOUR VALUE)]]</definedName>
    <definedName name="CONSUMO_COMBUSTIBLE_H" localSheetId="28">Tabla1[[#All],[CONSUMO COMBUSTIBLE HORA  (UNIT HOUR VALUE)]]</definedName>
    <definedName name="CONSUMO_COMBUSTIBLE_H" localSheetId="29">Tabla1[[#All],[CONSUMO COMBUSTIBLE HORA  (UNIT HOUR VALUE)]]</definedName>
    <definedName name="CONSUMO_COMBUSTIBLE_H" localSheetId="30">Tabla1[[#All],[CONSUMO COMBUSTIBLE HORA  (UNIT HOUR VALUE)]]</definedName>
    <definedName name="CONSUMO_COMBUSTIBLE_H" localSheetId="31">Tabla1[[#All],[CONSUMO COMBUSTIBLE HORA  (UNIT HOUR VALUE)]]</definedName>
    <definedName name="CONSUMO_COMBUSTIBLE_H" localSheetId="32">Tabla1[[#All],[CONSUMO COMBUSTIBLE HORA  (UNIT HOUR VALUE)]]</definedName>
    <definedName name="CONSUMO_COMBUSTIBLE_H" localSheetId="15">Tabla1[[#All],[CONSUMO COMBUSTIBLE HORA  (UNIT HOUR VALUE)]]</definedName>
    <definedName name="CONSUMO_COMBUSTIBLE_H" localSheetId="33">Tabla1[[#All],[CONSUMO COMBUSTIBLE HORA  (UNIT HOUR VALUE)]]</definedName>
    <definedName name="CONSUMO_COMBUSTIBLE_H" localSheetId="34">Tabla1[[#All],[CONSUMO COMBUSTIBLE HORA  (UNIT HOUR VALUE)]]</definedName>
    <definedName name="CONSUMO_COMBUSTIBLE_H" localSheetId="35">Tabla1[[#All],[CONSUMO COMBUSTIBLE HORA  (UNIT HOUR VALUE)]]</definedName>
    <definedName name="CONSUMO_COMBUSTIBLE_H" localSheetId="36">Tabla1[[#All],[CONSUMO COMBUSTIBLE HORA  (UNIT HOUR VALUE)]]</definedName>
    <definedName name="CONSUMO_COMBUSTIBLE_H" localSheetId="37">Tabla1[[#All],[CONSUMO COMBUSTIBLE HORA  (UNIT HOUR VALUE)]]</definedName>
    <definedName name="CONSUMO_COMBUSTIBLE_H" localSheetId="38">Tabla1[[#All],[CONSUMO COMBUSTIBLE HORA  (UNIT HOUR VALUE)]]</definedName>
    <definedName name="CONSUMO_COMBUSTIBLE_H" localSheetId="39">Tabla1[[#All],[CONSUMO COMBUSTIBLE HORA  (UNIT HOUR VALUE)]]</definedName>
    <definedName name="CONSUMO_COMBUSTIBLE_H" localSheetId="40">Tabla1[[#All],[CONSUMO COMBUSTIBLE HORA  (UNIT HOUR VALUE)]]</definedName>
    <definedName name="CONSUMO_COMBUSTIBLE_H" localSheetId="41">Tabla1[[#All],[CONSUMO COMBUSTIBLE HORA  (UNIT HOUR VALUE)]]</definedName>
    <definedName name="CONSUMO_COMBUSTIBLE_H" localSheetId="42">Tabla1[[#All],[CONSUMO COMBUSTIBLE HORA  (UNIT HOUR VALUE)]]</definedName>
    <definedName name="CONSUMO_COMBUSTIBLE_H" localSheetId="16">Tabla1[[#All],[CONSUMO COMBUSTIBLE HORA  (UNIT HOUR VALUE)]]</definedName>
    <definedName name="CONSUMO_COMBUSTIBLE_H" localSheetId="43">Tabla1[[#All],[CONSUMO COMBUSTIBLE HORA  (UNIT HOUR VALUE)]]</definedName>
    <definedName name="CONSUMO_COMBUSTIBLE_H" localSheetId="44">Tabla1[[#All],[CONSUMO COMBUSTIBLE HORA  (UNIT HOUR VALUE)]]</definedName>
    <definedName name="CONSUMO_COMBUSTIBLE_H" localSheetId="45">Tabla1[[#All],[CONSUMO COMBUSTIBLE HORA  (UNIT HOUR VALUE)]]</definedName>
    <definedName name="CONSUMO_COMBUSTIBLE_H" localSheetId="46">Tabla1[[#All],[CONSUMO COMBUSTIBLE HORA  (UNIT HOUR VALUE)]]</definedName>
    <definedName name="CONSUMO_COMBUSTIBLE_H" localSheetId="47">Tabla1[[#All],[CONSUMO COMBUSTIBLE HORA  (UNIT HOUR VALUE)]]</definedName>
    <definedName name="CONSUMO_COMBUSTIBLE_H" localSheetId="48">Tabla1[[#All],[CONSUMO COMBUSTIBLE HORA  (UNIT HOUR VALUE)]]</definedName>
    <definedName name="CONSUMO_COMBUSTIBLE_H" localSheetId="49">Tabla1[[#All],[CONSUMO COMBUSTIBLE HORA  (UNIT HOUR VALUE)]]</definedName>
    <definedName name="CONSUMO_COMBUSTIBLE_H" localSheetId="50">Tabla1[[#All],[CONSUMO COMBUSTIBLE HORA  (UNIT HOUR VALUE)]]</definedName>
    <definedName name="CONSUMO_COMBUSTIBLE_H" localSheetId="51">Tabla1[[#All],[CONSUMO COMBUSTIBLE HORA  (UNIT HOUR VALUE)]]</definedName>
    <definedName name="CONSUMO_COMBUSTIBLE_H" localSheetId="52">Tabla1[[#All],[CONSUMO COMBUSTIBLE HORA  (UNIT HOUR VALUE)]]</definedName>
    <definedName name="CONSUMO_COMBUSTIBLE_H" localSheetId="17">Tabla1[[#All],[CONSUMO COMBUSTIBLE HORA  (UNIT HOUR VALUE)]]</definedName>
    <definedName name="CONSUMO_COMBUSTIBLE_H" localSheetId="53">Tabla1[[#All],[CONSUMO COMBUSTIBLE HORA  (UNIT HOUR VALUE)]]</definedName>
    <definedName name="CONSUMO_COMBUSTIBLE_H" localSheetId="54">Tabla1[[#All],[CONSUMO COMBUSTIBLE HORA  (UNIT HOUR VALUE)]]</definedName>
    <definedName name="CONSUMO_COMBUSTIBLE_H" localSheetId="55">Tabla1[[#All],[CONSUMO COMBUSTIBLE HORA  (UNIT HOUR VALUE)]]</definedName>
    <definedName name="CONSUMO_COMBUSTIBLE_H" localSheetId="56">Tabla1[[#All],[CONSUMO COMBUSTIBLE HORA  (UNIT HOUR VALUE)]]</definedName>
    <definedName name="CONSUMO_COMBUSTIBLE_H" localSheetId="57">Tabla1[[#All],[CONSUMO COMBUSTIBLE HORA  (UNIT HOUR VALUE)]]</definedName>
    <definedName name="CONSUMO_COMBUSTIBLE_H" localSheetId="58">Tabla1[[#All],[CONSUMO COMBUSTIBLE HORA  (UNIT HOUR VALUE)]]</definedName>
    <definedName name="CONSUMO_COMBUSTIBLE_H" localSheetId="59">Tabla1[[#All],[CONSUMO COMBUSTIBLE HORA  (UNIT HOUR VALUE)]]</definedName>
    <definedName name="CONSUMO_COMBUSTIBLE_H" localSheetId="60">Tabla1[[#All],[CONSUMO COMBUSTIBLE HORA  (UNIT HOUR VALUE)]]</definedName>
    <definedName name="CONSUMO_COMBUSTIBLE_H" localSheetId="61">Tabla1[[#All],[CONSUMO COMBUSTIBLE HORA  (UNIT HOUR VALUE)]]</definedName>
    <definedName name="CONSUMO_COMBUSTIBLE_H" localSheetId="62">Tabla1[[#All],[CONSUMO COMBUSTIBLE HORA  (UNIT HOUR VALUE)]]</definedName>
    <definedName name="CONSUMO_COMBUSTIBLE_H" localSheetId="18">Tabla1[[#All],[CONSUMO COMBUSTIBLE HORA  (UNIT HOUR VALUE)]]</definedName>
    <definedName name="CONSUMO_COMBUSTIBLE_H" localSheetId="63">Tabla1[[#All],[CONSUMO COMBUSTIBLE HORA  (UNIT HOUR VALUE)]]</definedName>
    <definedName name="CONSUMO_COMBUSTIBLE_H" localSheetId="64">Tabla1[[#All],[CONSUMO COMBUSTIBLE HORA  (UNIT HOUR VALUE)]]</definedName>
    <definedName name="CONSUMO_COMBUSTIBLE_H" localSheetId="65">Tabla1[[#All],[CONSUMO COMBUSTIBLE HORA  (UNIT HOUR VALUE)]]</definedName>
    <definedName name="CONSUMO_COMBUSTIBLE_H" localSheetId="66">Tabla1[[#All],[CONSUMO COMBUSTIBLE HORA  (UNIT HOUR VALUE)]]</definedName>
    <definedName name="CONSUMO_COMBUSTIBLE_H" localSheetId="67">Tabla1[[#All],[CONSUMO COMBUSTIBLE HORA  (UNIT HOUR VALUE)]]</definedName>
    <definedName name="CONSUMO_COMBUSTIBLE_H" localSheetId="68">Tabla1[[#All],[CONSUMO COMBUSTIBLE HORA  (UNIT HOUR VALUE)]]</definedName>
    <definedName name="CONSUMO_COMBUSTIBLE_H" localSheetId="69">Tabla1[[#All],[CONSUMO COMBUSTIBLE HORA  (UNIT HOUR VALUE)]]</definedName>
    <definedName name="CONSUMO_COMBUSTIBLE_H" localSheetId="70">Tabla1[[#All],[CONSUMO COMBUSTIBLE HORA  (UNIT HOUR VALUE)]]</definedName>
    <definedName name="CONSUMO_COMBUSTIBLE_H" localSheetId="71">Tabla1[[#All],[CONSUMO COMBUSTIBLE HORA  (UNIT HOUR VALUE)]]</definedName>
    <definedName name="CONSUMO_COMBUSTIBLE_H" localSheetId="72">Tabla1[[#All],[CONSUMO COMBUSTIBLE HORA  (UNIT HOUR VALUE)]]</definedName>
    <definedName name="CONSUMO_COMBUSTIBLE_H" localSheetId="19">Tabla1[[#All],[CONSUMO COMBUSTIBLE HORA  (UNIT HOUR VALUE)]]</definedName>
    <definedName name="CONSUMO_COMBUSTIBLE_H" localSheetId="73">Tabla1[[#All],[CONSUMO COMBUSTIBLE HORA  (UNIT HOUR VALUE)]]</definedName>
    <definedName name="CONSUMO_COMBUSTIBLE_H" localSheetId="74">Tabla1[[#All],[CONSUMO COMBUSTIBLE HORA  (UNIT HOUR VALUE)]]</definedName>
    <definedName name="CONSUMO_COMBUSTIBLE_H" localSheetId="75">Tabla1[[#All],[CONSUMO COMBUSTIBLE HORA  (UNIT HOUR VALUE)]]</definedName>
    <definedName name="CONSUMO_COMBUSTIBLE_H" localSheetId="76">Tabla1[[#All],[CONSUMO COMBUSTIBLE HORA  (UNIT HOUR VALUE)]]</definedName>
    <definedName name="CONSUMO_COMBUSTIBLE_H" localSheetId="77">Tabla1[[#All],[CONSUMO COMBUSTIBLE HORA  (UNIT HOUR VALUE)]]</definedName>
    <definedName name="CONSUMO_COMBUSTIBLE_H" localSheetId="78">Tabla1[[#All],[CONSUMO COMBUSTIBLE HORA  (UNIT HOUR VALUE)]]</definedName>
    <definedName name="CONSUMO_COMBUSTIBLE_H" localSheetId="79">Tabla1[[#All],[CONSUMO COMBUSTIBLE HORA  (UNIT HOUR VALUE)]]</definedName>
    <definedName name="CONSUMO_COMBUSTIBLE_H" localSheetId="80">Tabla1[[#All],[CONSUMO COMBUSTIBLE HORA  (UNIT HOUR VALUE)]]</definedName>
    <definedName name="CONSUMO_COMBUSTIBLE_H" localSheetId="81">Tabla1[[#All],[CONSUMO COMBUSTIBLE HORA  (UNIT HOUR VALUE)]]</definedName>
    <definedName name="CONSUMO_COMBUSTIBLE_H" localSheetId="82">Tabla1[[#All],[CONSUMO COMBUSTIBLE HORA  (UNIT HOUR VALUE)]]</definedName>
    <definedName name="CONSUMO_COMBUSTIBLE_H" localSheetId="20">Tabla1[[#All],[CONSUMO COMBUSTIBLE HORA  (UNIT HOUR VALUE)]]</definedName>
    <definedName name="CONSUMO_COMBUSTIBLE_H" localSheetId="83">Tabla1[[#All],[CONSUMO COMBUSTIBLE HORA  (UNIT HOUR VALUE)]]</definedName>
    <definedName name="CONSUMO_COMBUSTIBLE_H" localSheetId="84">Tabla1[[#All],[CONSUMO COMBUSTIBLE HORA  (UNIT HOUR VALUE)]]</definedName>
    <definedName name="CONSUMO_COMBUSTIBLE_H" localSheetId="85">Tabla1[[#All],[CONSUMO COMBUSTIBLE HORA  (UNIT HOUR VALUE)]]</definedName>
    <definedName name="CONSUMO_COMBUSTIBLE_H" localSheetId="86">Tabla1[[#All],[CONSUMO COMBUSTIBLE HORA  (UNIT HOUR VALUE)]]</definedName>
    <definedName name="CONSUMO_COMBUSTIBLE_H" localSheetId="87">Tabla1[[#All],[CONSUMO COMBUSTIBLE HORA  (UNIT HOUR VALUE)]]</definedName>
    <definedName name="CONSUMO_COMBUSTIBLE_H" localSheetId="88">Tabla1[[#All],[CONSUMO COMBUSTIBLE HORA  (UNIT HOUR VALUE)]]</definedName>
    <definedName name="CONSUMO_COMBUSTIBLE_H" localSheetId="89">Tabla1[[#All],[CONSUMO COMBUSTIBLE HORA  (UNIT HOUR VALUE)]]</definedName>
    <definedName name="CONSUMO_COMBUSTIBLE_H" localSheetId="90">Tabla1[[#All],[CONSUMO COMBUSTIBLE HORA  (UNIT HOUR VALUE)]]</definedName>
    <definedName name="CONSUMO_COMBUSTIBLE_H" localSheetId="91">Tabla1[[#All],[CONSUMO COMBUSTIBLE HORA  (UNIT HOUR VALUE)]]</definedName>
    <definedName name="CONSUMO_COMBUSTIBLE_H" localSheetId="92">Tabla1[[#All],[CONSUMO COMBUSTIBLE HORA  (UNIT HOUR VALUE)]]</definedName>
    <definedName name="CONSUMO_COMBUSTIBLE_H" localSheetId="21">Tabla1[[#All],[CONSUMO COMBUSTIBLE HORA  (UNIT HOUR VALUE)]]</definedName>
    <definedName name="CONSUMO_COMBUSTIBLE_H" localSheetId="93">Tabla1[[#All],[CONSUMO COMBUSTIBLE HORA  (UNIT HOUR VALUE)]]</definedName>
    <definedName name="CONSUMO_COMBUSTIBLE_H" localSheetId="22">Tabla1[[#All],[CONSUMO COMBUSTIBLE HORA  (UNIT HOUR VALUE)]]</definedName>
    <definedName name="CONSUMO_COMBUSTIBLE_H" localSheetId="8">Tabla1[[#All],[CONSUMO COMBUSTIBLE HORA  (UNIT HOUR VALUE)]]</definedName>
    <definedName name="CONSUMO_COMBUSTIBLE_H" localSheetId="9">Tabla1[[#All],[CONSUMO COMBUSTIBLE HORA  (UNIT HOUR VALUE)]]</definedName>
    <definedName name="CONSUMO_COMBUSTIBLE_H">Tabla1[[#All],[CONSUMO COMBUSTIBLE HORA  (UNIT HOUR VALUE)]]</definedName>
    <definedName name="COSTO_DIRECTO_OPTIMO">OFERTA!$V$216</definedName>
    <definedName name="COSTO_OFERTA">DASH!$G$4</definedName>
    <definedName name="DEPARTAMENTO_COMUNA">'PORTADA '!$E$5</definedName>
    <definedName name="DESCRIP_ITEM" localSheetId="14">OFERTA!$C$5:$C$213</definedName>
    <definedName name="DESCRIP_ITEM" localSheetId="23">OFERTA!$C$5:$C$213</definedName>
    <definedName name="DESCRIP_ITEM" localSheetId="24">OFERTA!$C$5:$C$213</definedName>
    <definedName name="DESCRIP_ITEM" localSheetId="25">OFERTA!$C$5:$C$213</definedName>
    <definedName name="DESCRIP_ITEM" localSheetId="26">OFERTA!$C$5:$C$213</definedName>
    <definedName name="DESCRIP_ITEM" localSheetId="27">OFERTA!$C$5:$C$213</definedName>
    <definedName name="DESCRIP_ITEM" localSheetId="28">OFERTA!$C$5:$C$213</definedName>
    <definedName name="DESCRIP_ITEM" localSheetId="29">OFERTA!$C$5:$C$213</definedName>
    <definedName name="DESCRIP_ITEM" localSheetId="30">OFERTA!$C$5:$C$213</definedName>
    <definedName name="DESCRIP_ITEM" localSheetId="31">OFERTA!$C$5:$C$213</definedName>
    <definedName name="DESCRIP_ITEM" localSheetId="32">OFERTA!$C$5:$C$213</definedName>
    <definedName name="DESCRIP_ITEM" localSheetId="15">OFERTA!$C$5:$C$213</definedName>
    <definedName name="DESCRIP_ITEM" localSheetId="33">OFERTA!$C$5:$C$213</definedName>
    <definedName name="DESCRIP_ITEM" localSheetId="34">OFERTA!$C$5:$C$213</definedName>
    <definedName name="DESCRIP_ITEM" localSheetId="35">OFERTA!$C$5:$C$213</definedName>
    <definedName name="DESCRIP_ITEM" localSheetId="36">OFERTA!$C$5:$C$213</definedName>
    <definedName name="DESCRIP_ITEM" localSheetId="37">OFERTA!$C$5:$C$213</definedName>
    <definedName name="DESCRIP_ITEM" localSheetId="38">OFERTA!$C$5:$C$213</definedName>
    <definedName name="DESCRIP_ITEM" localSheetId="39">OFERTA!$C$5:$C$213</definedName>
    <definedName name="DESCRIP_ITEM" localSheetId="40">OFERTA!$C$5:$C$213</definedName>
    <definedName name="DESCRIP_ITEM" localSheetId="41">OFERTA!$C$5:$C$213</definedName>
    <definedName name="DESCRIP_ITEM" localSheetId="42">OFERTA!$C$5:$C$213</definedName>
    <definedName name="DESCRIP_ITEM" localSheetId="16">OFERTA!$C$5:$C$213</definedName>
    <definedName name="DESCRIP_ITEM" localSheetId="43">OFERTA!$C$5:$C$213</definedName>
    <definedName name="DESCRIP_ITEM" localSheetId="44">OFERTA!$C$5:$C$213</definedName>
    <definedName name="DESCRIP_ITEM" localSheetId="45">OFERTA!$C$5:$C$213</definedName>
    <definedName name="DESCRIP_ITEM" localSheetId="46">OFERTA!$C$5:$C$213</definedName>
    <definedName name="DESCRIP_ITEM" localSheetId="47">OFERTA!$C$5:$C$213</definedName>
    <definedName name="DESCRIP_ITEM" localSheetId="48">OFERTA!$C$5:$C$213</definedName>
    <definedName name="DESCRIP_ITEM" localSheetId="49">OFERTA!$C$5:$C$213</definedName>
    <definedName name="DESCRIP_ITEM" localSheetId="50">OFERTA!$C$5:$C$213</definedName>
    <definedName name="DESCRIP_ITEM" localSheetId="51">OFERTA!$C$5:$C$213</definedName>
    <definedName name="DESCRIP_ITEM" localSheetId="52">OFERTA!$C$5:$C$213</definedName>
    <definedName name="DESCRIP_ITEM" localSheetId="17">OFERTA!$C$5:$C$213</definedName>
    <definedName name="DESCRIP_ITEM" localSheetId="53">OFERTA!$C$5:$C$213</definedName>
    <definedName name="DESCRIP_ITEM" localSheetId="54">OFERTA!$C$5:$C$213</definedName>
    <definedName name="DESCRIP_ITEM" localSheetId="55">OFERTA!$C$5:$C$213</definedName>
    <definedName name="DESCRIP_ITEM" localSheetId="56">OFERTA!$C$5:$C$213</definedName>
    <definedName name="DESCRIP_ITEM" localSheetId="57">OFERTA!$C$5:$C$213</definedName>
    <definedName name="DESCRIP_ITEM" localSheetId="58">OFERTA!$C$5:$C$213</definedName>
    <definedName name="DESCRIP_ITEM" localSheetId="59">OFERTA!$C$5:$C$213</definedName>
    <definedName name="DESCRIP_ITEM" localSheetId="60">OFERTA!$C$5:$C$213</definedName>
    <definedName name="DESCRIP_ITEM" localSheetId="61">OFERTA!$C$5:$C$213</definedName>
    <definedName name="DESCRIP_ITEM" localSheetId="62">OFERTA!$C$5:$C$213</definedName>
    <definedName name="DESCRIP_ITEM" localSheetId="18">OFERTA!$C$5:$C$213</definedName>
    <definedName name="DESCRIP_ITEM" localSheetId="63">OFERTA!$C$5:$C$213</definedName>
    <definedName name="DESCRIP_ITEM" localSheetId="64">OFERTA!$C$5:$C$213</definedName>
    <definedName name="DESCRIP_ITEM" localSheetId="65">OFERTA!$C$5:$C$213</definedName>
    <definedName name="DESCRIP_ITEM" localSheetId="66">OFERTA!$C$5:$C$213</definedName>
    <definedName name="DESCRIP_ITEM" localSheetId="67">OFERTA!$C$5:$C$213</definedName>
    <definedName name="DESCRIP_ITEM" localSheetId="68">OFERTA!$C$5:$C$213</definedName>
    <definedName name="DESCRIP_ITEM" localSheetId="69">OFERTA!$C$5:$C$213</definedName>
    <definedName name="DESCRIP_ITEM" localSheetId="70">OFERTA!$C$5:$C$213</definedName>
    <definedName name="DESCRIP_ITEM" localSheetId="71">OFERTA!$C$5:$C$213</definedName>
    <definedName name="DESCRIP_ITEM" localSheetId="72">OFERTA!$C$5:$C$213</definedName>
    <definedName name="DESCRIP_ITEM" localSheetId="19">OFERTA!$C$5:$C$213</definedName>
    <definedName name="DESCRIP_ITEM" localSheetId="73">OFERTA!$C$5:$C$213</definedName>
    <definedName name="DESCRIP_ITEM" localSheetId="74">OFERTA!$C$5:$C$213</definedName>
    <definedName name="DESCRIP_ITEM" localSheetId="75">OFERTA!$C$5:$C$213</definedName>
    <definedName name="DESCRIP_ITEM" localSheetId="76">OFERTA!$C$5:$C$213</definedName>
    <definedName name="DESCRIP_ITEM" localSheetId="77">OFERTA!$C$5:$C$213</definedName>
    <definedName name="DESCRIP_ITEM" localSheetId="78">OFERTA!$C$5:$C$213</definedName>
    <definedName name="DESCRIP_ITEM" localSheetId="79">OFERTA!$C$5:$C$213</definedName>
    <definedName name="DESCRIP_ITEM" localSheetId="80">OFERTA!$C$5:$C$213</definedName>
    <definedName name="DESCRIP_ITEM" localSheetId="81">OFERTA!$C$5:$C$213</definedName>
    <definedName name="DESCRIP_ITEM" localSheetId="82">OFERTA!$C$5:$C$213</definedName>
    <definedName name="DESCRIP_ITEM" localSheetId="20">OFERTA!$C$5:$C$213</definedName>
    <definedName name="DESCRIP_ITEM" localSheetId="83">OFERTA!$C$5:$C$213</definedName>
    <definedName name="DESCRIP_ITEM" localSheetId="84">OFERTA!$C$5:$C$213</definedName>
    <definedName name="DESCRIP_ITEM" localSheetId="85">OFERTA!$C$5:$C$213</definedName>
    <definedName name="DESCRIP_ITEM" localSheetId="86">OFERTA!$C$5:$C$213</definedName>
    <definedName name="DESCRIP_ITEM" localSheetId="87">OFERTA!$C$5:$C$213</definedName>
    <definedName name="DESCRIP_ITEM" localSheetId="88">OFERTA!$C$5:$C$213</definedName>
    <definedName name="DESCRIP_ITEM" localSheetId="89">OFERTA!$C$5:$C$213</definedName>
    <definedName name="DESCRIP_ITEM" localSheetId="90">OFERTA!$C$5:$C$213</definedName>
    <definedName name="DESCRIP_ITEM" localSheetId="91">OFERTA!$C$5:$C$213</definedName>
    <definedName name="DESCRIP_ITEM" localSheetId="92">OFERTA!$C$5:$C$213</definedName>
    <definedName name="DESCRIP_ITEM" localSheetId="21">OFERTA!$C$5:$C$213</definedName>
    <definedName name="DESCRIP_ITEM" localSheetId="93">OFERTA!$C$5:$C$213</definedName>
    <definedName name="DESCRIP_ITEM" localSheetId="22">OFERTA!$C$5:$C$213</definedName>
    <definedName name="DESCRIP_ITEM">OFERTA!$C$5:$C$213</definedName>
    <definedName name="DESCRIPCION_DE_TABLA1">TABLAS!$A$29</definedName>
    <definedName name="DESCRIPCION_DE_TABLA2">#REF!</definedName>
    <definedName name="DESCRIPCION_DE_TABLA22">TABLAS!$A$10</definedName>
    <definedName name="DESCUENTOS_LEGALES">'FACTOR PRESTACIONAL'!$D$75</definedName>
    <definedName name="DURCION_PROYECTO">'PORTADA '!$E$8</definedName>
    <definedName name="Empresas" localSheetId="14">'1'!$A$104:$A$105</definedName>
    <definedName name="Empresas" localSheetId="23">'10'!$A$103:$A$104</definedName>
    <definedName name="Empresas" localSheetId="24">'11'!$A$103:$A$104</definedName>
    <definedName name="Empresas" localSheetId="25">'12'!$A$103:$A$104</definedName>
    <definedName name="Empresas" localSheetId="26">'13'!$A$103:$A$104</definedName>
    <definedName name="Empresas" localSheetId="27">'14'!$A$103:$A$104</definedName>
    <definedName name="Empresas" localSheetId="28">'15'!$A$103:$A$104</definedName>
    <definedName name="Empresas" localSheetId="29">'16'!$A$103:$A$104</definedName>
    <definedName name="Empresas" localSheetId="30">'17'!$A$103:$A$104</definedName>
    <definedName name="Empresas" localSheetId="31">'18'!$A$104:$A$105</definedName>
    <definedName name="Empresas" localSheetId="32">'19'!$A$102:$A$103</definedName>
    <definedName name="Empresas" localSheetId="15">'2'!$A$103:$A$104</definedName>
    <definedName name="Empresas" localSheetId="33">'20'!$A$103:$A$104</definedName>
    <definedName name="Empresas" localSheetId="34">'21'!$A$103:$A$104</definedName>
    <definedName name="Empresas" localSheetId="35">'22'!$A$103:$A$104</definedName>
    <definedName name="Empresas" localSheetId="36">'23'!$A$103:$A$104</definedName>
    <definedName name="Empresas" localSheetId="37">'24'!$A$103:$A$104</definedName>
    <definedName name="Empresas" localSheetId="38">'25'!$A$103:$A$104</definedName>
    <definedName name="Empresas" localSheetId="39">'26'!$A$103:$A$104</definedName>
    <definedName name="Empresas" localSheetId="40">'27'!$A$103:$A$104</definedName>
    <definedName name="Empresas" localSheetId="41">'28'!$A$103:$A$104</definedName>
    <definedName name="Empresas" localSheetId="42">'29'!$A$103:$A$104</definedName>
    <definedName name="Empresas" localSheetId="16">'3'!$A$104:$A$105</definedName>
    <definedName name="Empresas" localSheetId="43">'30'!$A$103:$A$104</definedName>
    <definedName name="Empresas" localSheetId="44">'31'!$A$103:$A$104</definedName>
    <definedName name="Empresas" localSheetId="45">'32'!$A$103:$A$104</definedName>
    <definedName name="Empresas" localSheetId="46">'33'!$A$103:$A$104</definedName>
    <definedName name="Empresas" localSheetId="47">'34'!$A$103:$A$104</definedName>
    <definedName name="Empresas" localSheetId="48">'35'!$A$103:$A$104</definedName>
    <definedName name="Empresas" localSheetId="49">'36'!$A$103:$A$104</definedName>
    <definedName name="Empresas" localSheetId="50">'37'!$A$103:$A$104</definedName>
    <definedName name="Empresas" localSheetId="51">'38'!$A$103:$A$104</definedName>
    <definedName name="Empresas" localSheetId="52">'39'!$A$103:$A$104</definedName>
    <definedName name="Empresas" localSheetId="17">'4'!$A$103:$A$104</definedName>
    <definedName name="Empresas" localSheetId="53">'40'!$A$103:$A$104</definedName>
    <definedName name="Empresas" localSheetId="54">'41'!$A$103:$A$104</definedName>
    <definedName name="Empresas" localSheetId="55">'42'!$A$103:$A$104</definedName>
    <definedName name="Empresas" localSheetId="56">'43'!$A$103:$A$104</definedName>
    <definedName name="Empresas" localSheetId="57">'44'!$A$103:$A$104</definedName>
    <definedName name="Empresas" localSheetId="58">'45'!$A$103:$A$104</definedName>
    <definedName name="Empresas" localSheetId="59">'46'!$A$103:$A$104</definedName>
    <definedName name="Empresas" localSheetId="60">'47'!$A$103:$A$104</definedName>
    <definedName name="Empresas" localSheetId="61">'48'!$A$103:$A$104</definedName>
    <definedName name="Empresas" localSheetId="62">'49'!$A$103:$A$104</definedName>
    <definedName name="Empresas" localSheetId="18">'5'!$A$104:$A$105</definedName>
    <definedName name="Empresas" localSheetId="63">'50'!$A$103:$A$104</definedName>
    <definedName name="Empresas" localSheetId="64">'51'!$A$103:$A$104</definedName>
    <definedName name="Empresas" localSheetId="65">'52'!$A$103:$A$104</definedName>
    <definedName name="Empresas" localSheetId="66">'53'!$A$103:$A$104</definedName>
    <definedName name="Empresas" localSheetId="67">'54'!$A$103:$A$104</definedName>
    <definedName name="Empresas" localSheetId="68">'55'!$A$103:$A$104</definedName>
    <definedName name="Empresas" localSheetId="69">'56'!$A$103:$A$104</definedName>
    <definedName name="Empresas" localSheetId="70">'57'!$A$103:$A$104</definedName>
    <definedName name="Empresas" localSheetId="71">'58'!$A$103:$A$104</definedName>
    <definedName name="Empresas" localSheetId="72">'59'!$A$103:$A$104</definedName>
    <definedName name="Empresas" localSheetId="19">'6'!$A$103:$A$104</definedName>
    <definedName name="Empresas" localSheetId="73">'60'!$A$103:$A$104</definedName>
    <definedName name="Empresas" localSheetId="74">'61'!$A$103:$A$104</definedName>
    <definedName name="Empresas" localSheetId="75">'62'!$A$103:$A$104</definedName>
    <definedName name="Empresas" localSheetId="76">'63'!$A$103:$A$104</definedName>
    <definedName name="Empresas" localSheetId="77">'64'!$A$103:$A$104</definedName>
    <definedName name="Empresas" localSheetId="78">'65'!$A$103:$A$104</definedName>
    <definedName name="Empresas" localSheetId="79">'66'!$A$103:$A$104</definedName>
    <definedName name="Empresas" localSheetId="80">'67'!$A$103:$A$104</definedName>
    <definedName name="Empresas" localSheetId="81">'68'!$A$103:$A$104</definedName>
    <definedName name="Empresas" localSheetId="82">'69'!$A$103:$A$104</definedName>
    <definedName name="Empresas" localSheetId="20">'7'!$A$103:$A$104</definedName>
    <definedName name="Empresas" localSheetId="83">'70'!$A$103:$A$104</definedName>
    <definedName name="Empresas" localSheetId="84">'71'!$A$103:$A$104</definedName>
    <definedName name="Empresas" localSheetId="85">'72'!$A$103:$A$104</definedName>
    <definedName name="Empresas" localSheetId="86">'73'!$A$103:$A$104</definedName>
    <definedName name="Empresas" localSheetId="87">'74'!$A$103:$A$104</definedName>
    <definedName name="Empresas" localSheetId="88">'75'!$A$103:$A$104</definedName>
    <definedName name="Empresas" localSheetId="89">'76'!$A$103:$A$104</definedName>
    <definedName name="Empresas" localSheetId="90">'77'!$A$103:$A$104</definedName>
    <definedName name="Empresas" localSheetId="91">'78'!$A$103:$A$104</definedName>
    <definedName name="Empresas" localSheetId="92">'79'!$A$103:$A$104</definedName>
    <definedName name="Empresas" localSheetId="21">'8'!$A$103:$A$104</definedName>
    <definedName name="Empresas" localSheetId="93">'80'!$A$103:$A$104</definedName>
    <definedName name="Empresas" localSheetId="22">'9'!$A$103:$A$104</definedName>
    <definedName name="Empresas">'APU REF. '!$A$103:$A$104</definedName>
    <definedName name="EPP_ADMINISTRATIVOS">'FACTOR PRESTACIONAL'!$N$30</definedName>
    <definedName name="EPP_AYUDANTES">'FACTOR PRESTACIONAL'!$G$30</definedName>
    <definedName name="EXAMENES_MEDICO">'FACTOR PRESTACIONAL'!$E$57</definedName>
    <definedName name="F_PRESTACIONAL" localSheetId="14">Tabla2[[#All],[FACTOR PRESTACIONAL]]</definedName>
    <definedName name="F_PRESTACIONAL" localSheetId="23">Tabla2[[#All],[FACTOR PRESTACIONAL]]</definedName>
    <definedName name="F_PRESTACIONAL" localSheetId="24">Tabla2[[#All],[FACTOR PRESTACIONAL]]</definedName>
    <definedName name="F_PRESTACIONAL" localSheetId="25">Tabla2[[#All],[FACTOR PRESTACIONAL]]</definedName>
    <definedName name="F_PRESTACIONAL" localSheetId="26">Tabla2[[#All],[FACTOR PRESTACIONAL]]</definedName>
    <definedName name="F_PRESTACIONAL" localSheetId="27">Tabla2[[#All],[FACTOR PRESTACIONAL]]</definedName>
    <definedName name="F_PRESTACIONAL" localSheetId="28">Tabla2[[#All],[FACTOR PRESTACIONAL]]</definedName>
    <definedName name="F_PRESTACIONAL" localSheetId="29">Tabla2[[#All],[FACTOR PRESTACIONAL]]</definedName>
    <definedName name="F_PRESTACIONAL" localSheetId="30">Tabla2[[#All],[FACTOR PRESTACIONAL]]</definedName>
    <definedName name="F_PRESTACIONAL" localSheetId="31">Tabla2[[#All],[FACTOR PRESTACIONAL]]</definedName>
    <definedName name="F_PRESTACIONAL" localSheetId="32">Tabla2[[#All],[FACTOR PRESTACIONAL]]</definedName>
    <definedName name="F_PRESTACIONAL" localSheetId="15">Tabla2[[#All],[FACTOR PRESTACIONAL]]</definedName>
    <definedName name="F_PRESTACIONAL" localSheetId="33">Tabla2[[#All],[FACTOR PRESTACIONAL]]</definedName>
    <definedName name="F_PRESTACIONAL" localSheetId="34">Tabla2[[#All],[FACTOR PRESTACIONAL]]</definedName>
    <definedName name="F_PRESTACIONAL" localSheetId="35">Tabla2[[#All],[FACTOR PRESTACIONAL]]</definedName>
    <definedName name="F_PRESTACIONAL" localSheetId="36">Tabla2[[#All],[FACTOR PRESTACIONAL]]</definedName>
    <definedName name="F_PRESTACIONAL" localSheetId="37">Tabla2[[#All],[FACTOR PRESTACIONAL]]</definedName>
    <definedName name="F_PRESTACIONAL" localSheetId="38">Tabla2[[#All],[FACTOR PRESTACIONAL]]</definedName>
    <definedName name="F_PRESTACIONAL" localSheetId="39">Tabla2[[#All],[FACTOR PRESTACIONAL]]</definedName>
    <definedName name="F_PRESTACIONAL" localSheetId="40">Tabla2[[#All],[FACTOR PRESTACIONAL]]</definedName>
    <definedName name="F_PRESTACIONAL" localSheetId="41">Tabla2[[#All],[FACTOR PRESTACIONAL]]</definedName>
    <definedName name="F_PRESTACIONAL" localSheetId="42">Tabla2[[#All],[FACTOR PRESTACIONAL]]</definedName>
    <definedName name="F_PRESTACIONAL" localSheetId="16">Tabla2[[#All],[FACTOR PRESTACIONAL]]</definedName>
    <definedName name="F_PRESTACIONAL" localSheetId="43">Tabla2[[#All],[FACTOR PRESTACIONAL]]</definedName>
    <definedName name="F_PRESTACIONAL" localSheetId="44">Tabla2[[#All],[FACTOR PRESTACIONAL]]</definedName>
    <definedName name="F_PRESTACIONAL" localSheetId="45">Tabla2[[#All],[FACTOR PRESTACIONAL]]</definedName>
    <definedName name="F_PRESTACIONAL" localSheetId="46">Tabla2[[#All],[FACTOR PRESTACIONAL]]</definedName>
    <definedName name="F_PRESTACIONAL" localSheetId="47">Tabla2[[#All],[FACTOR PRESTACIONAL]]</definedName>
    <definedName name="F_PRESTACIONAL" localSheetId="48">Tabla2[[#All],[FACTOR PRESTACIONAL]]</definedName>
    <definedName name="F_PRESTACIONAL" localSheetId="49">Tabla2[[#All],[FACTOR PRESTACIONAL]]</definedName>
    <definedName name="F_PRESTACIONAL" localSheetId="50">Tabla2[[#All],[FACTOR PRESTACIONAL]]</definedName>
    <definedName name="F_PRESTACIONAL" localSheetId="51">Tabla2[[#All],[FACTOR PRESTACIONAL]]</definedName>
    <definedName name="F_PRESTACIONAL" localSheetId="52">Tabla2[[#All],[FACTOR PRESTACIONAL]]</definedName>
    <definedName name="F_PRESTACIONAL" localSheetId="17">Tabla2[[#All],[FACTOR PRESTACIONAL]]</definedName>
    <definedName name="F_PRESTACIONAL" localSheetId="53">Tabla2[[#All],[FACTOR PRESTACIONAL]]</definedName>
    <definedName name="F_PRESTACIONAL" localSheetId="54">Tabla2[[#All],[FACTOR PRESTACIONAL]]</definedName>
    <definedName name="F_PRESTACIONAL" localSheetId="55">Tabla2[[#All],[FACTOR PRESTACIONAL]]</definedName>
    <definedName name="F_PRESTACIONAL" localSheetId="56">Tabla2[[#All],[FACTOR PRESTACIONAL]]</definedName>
    <definedName name="F_PRESTACIONAL" localSheetId="57">Tabla2[[#All],[FACTOR PRESTACIONAL]]</definedName>
    <definedName name="F_PRESTACIONAL" localSheetId="58">Tabla2[[#All],[FACTOR PRESTACIONAL]]</definedName>
    <definedName name="F_PRESTACIONAL" localSheetId="59">Tabla2[[#All],[FACTOR PRESTACIONAL]]</definedName>
    <definedName name="F_PRESTACIONAL" localSheetId="60">Tabla2[[#All],[FACTOR PRESTACIONAL]]</definedName>
    <definedName name="F_PRESTACIONAL" localSheetId="61">Tabla2[[#All],[FACTOR PRESTACIONAL]]</definedName>
    <definedName name="F_PRESTACIONAL" localSheetId="62">Tabla2[[#All],[FACTOR PRESTACIONAL]]</definedName>
    <definedName name="F_PRESTACIONAL" localSheetId="18">Tabla2[[#All],[FACTOR PRESTACIONAL]]</definedName>
    <definedName name="F_PRESTACIONAL" localSheetId="63">Tabla2[[#All],[FACTOR PRESTACIONAL]]</definedName>
    <definedName name="F_PRESTACIONAL" localSheetId="64">Tabla2[[#All],[FACTOR PRESTACIONAL]]</definedName>
    <definedName name="F_PRESTACIONAL" localSheetId="65">Tabla2[[#All],[FACTOR PRESTACIONAL]]</definedName>
    <definedName name="F_PRESTACIONAL" localSheetId="66">Tabla2[[#All],[FACTOR PRESTACIONAL]]</definedName>
    <definedName name="F_PRESTACIONAL" localSheetId="67">Tabla2[[#All],[FACTOR PRESTACIONAL]]</definedName>
    <definedName name="F_PRESTACIONAL" localSheetId="68">Tabla2[[#All],[FACTOR PRESTACIONAL]]</definedName>
    <definedName name="F_PRESTACIONAL" localSheetId="69">Tabla2[[#All],[FACTOR PRESTACIONAL]]</definedName>
    <definedName name="F_PRESTACIONAL" localSheetId="70">Tabla2[[#All],[FACTOR PRESTACIONAL]]</definedName>
    <definedName name="F_PRESTACIONAL" localSheetId="71">Tabla2[[#All],[FACTOR PRESTACIONAL]]</definedName>
    <definedName name="F_PRESTACIONAL" localSheetId="72">Tabla2[[#All],[FACTOR PRESTACIONAL]]</definedName>
    <definedName name="F_PRESTACIONAL" localSheetId="19">Tabla2[[#All],[FACTOR PRESTACIONAL]]</definedName>
    <definedName name="F_PRESTACIONAL" localSheetId="73">Tabla2[[#All],[FACTOR PRESTACIONAL]]</definedName>
    <definedName name="F_PRESTACIONAL" localSheetId="74">Tabla2[[#All],[FACTOR PRESTACIONAL]]</definedName>
    <definedName name="F_PRESTACIONAL" localSheetId="75">Tabla2[[#All],[FACTOR PRESTACIONAL]]</definedName>
    <definedName name="F_PRESTACIONAL" localSheetId="76">Tabla2[[#All],[FACTOR PRESTACIONAL]]</definedName>
    <definedName name="F_PRESTACIONAL" localSheetId="77">Tabla2[[#All],[FACTOR PRESTACIONAL]]</definedName>
    <definedName name="F_PRESTACIONAL" localSheetId="78">Tabla2[[#All],[FACTOR PRESTACIONAL]]</definedName>
    <definedName name="F_PRESTACIONAL" localSheetId="79">Tabla2[[#All],[FACTOR PRESTACIONAL]]</definedName>
    <definedName name="F_PRESTACIONAL" localSheetId="80">Tabla2[[#All],[FACTOR PRESTACIONAL]]</definedName>
    <definedName name="F_PRESTACIONAL" localSheetId="81">Tabla2[[#All],[FACTOR PRESTACIONAL]]</definedName>
    <definedName name="F_PRESTACIONAL" localSheetId="82">Tabla2[[#All],[FACTOR PRESTACIONAL]]</definedName>
    <definedName name="F_PRESTACIONAL" localSheetId="20">Tabla2[[#All],[FACTOR PRESTACIONAL]]</definedName>
    <definedName name="F_PRESTACIONAL" localSheetId="83">Tabla2[[#All],[FACTOR PRESTACIONAL]]</definedName>
    <definedName name="F_PRESTACIONAL" localSheetId="84">Tabla2[[#All],[FACTOR PRESTACIONAL]]</definedName>
    <definedName name="F_PRESTACIONAL" localSheetId="85">Tabla2[[#All],[FACTOR PRESTACIONAL]]</definedName>
    <definedName name="F_PRESTACIONAL" localSheetId="86">Tabla2[[#All],[FACTOR PRESTACIONAL]]</definedName>
    <definedName name="F_PRESTACIONAL" localSheetId="87">Tabla2[[#All],[FACTOR PRESTACIONAL]]</definedName>
    <definedName name="F_PRESTACIONAL" localSheetId="88">Tabla2[[#All],[FACTOR PRESTACIONAL]]</definedName>
    <definedName name="F_PRESTACIONAL" localSheetId="89">Tabla2[[#All],[FACTOR PRESTACIONAL]]</definedName>
    <definedName name="F_PRESTACIONAL" localSheetId="90">Tabla2[[#All],[FACTOR PRESTACIONAL]]</definedName>
    <definedName name="F_PRESTACIONAL" localSheetId="91">Tabla2[[#All],[FACTOR PRESTACIONAL]]</definedName>
    <definedName name="F_PRESTACIONAL" localSheetId="92">Tabla2[[#All],[FACTOR PRESTACIONAL]]</definedName>
    <definedName name="F_PRESTACIONAL" localSheetId="21">Tabla2[[#All],[FACTOR PRESTACIONAL]]</definedName>
    <definedName name="F_PRESTACIONAL" localSheetId="93">Tabla2[[#All],[FACTOR PRESTACIONAL]]</definedName>
    <definedName name="F_PRESTACIONAL" localSheetId="22">Tabla2[[#All],[FACTOR PRESTACIONAL]]</definedName>
    <definedName name="F_PRESTACIONAL" localSheetId="8">Tabla2[[#All],[FACTOR PRESTACIONAL]]</definedName>
    <definedName name="F_PRESTACIONAL" localSheetId="9">Tabla2[[#All],[FACTOR PRESTACIONAL]]</definedName>
    <definedName name="F_PRESTACIONAL">Tabla2[[#All],[FACTOR PRESTACIONAL]]</definedName>
    <definedName name="FECHA">'PORTADA '!$E$7</definedName>
    <definedName name="IMPREVISTOS">OFERTA!$D$222</definedName>
    <definedName name="INCIDENCIA_MANO_DE_OBRA">#REF!</definedName>
    <definedName name="ITEM" localSheetId="14">OFERTA!$B$5:$B$213</definedName>
    <definedName name="ITEM" localSheetId="23">OFERTA!$B$5:$B$213</definedName>
    <definedName name="ITEM" localSheetId="24">OFERTA!$B$5:$B$213</definedName>
    <definedName name="ITEM" localSheetId="25">OFERTA!$B$5:$B$213</definedName>
    <definedName name="ITEM" localSheetId="26">OFERTA!$B$5:$B$213</definedName>
    <definedName name="ITEM" localSheetId="27">OFERTA!$B$5:$B$213</definedName>
    <definedName name="ITEM" localSheetId="28">OFERTA!$B$5:$B$213</definedName>
    <definedName name="ITEM" localSheetId="29">OFERTA!$B$5:$B$213</definedName>
    <definedName name="ITEM" localSheetId="30">OFERTA!$B$5:$B$213</definedName>
    <definedName name="ITEM" localSheetId="31">OFERTA!$B$5:$B$213</definedName>
    <definedName name="ITEM" localSheetId="32">OFERTA!$B$5:$B$213</definedName>
    <definedName name="ITEM" localSheetId="15">OFERTA!$B$5:$B$213</definedName>
    <definedName name="ITEM" localSheetId="33">OFERTA!$B$5:$B$213</definedName>
    <definedName name="ITEM" localSheetId="34">OFERTA!$B$5:$B$213</definedName>
    <definedName name="ITEM" localSheetId="35">OFERTA!$B$5:$B$213</definedName>
    <definedName name="ITEM" localSheetId="36">OFERTA!$B$5:$B$213</definedName>
    <definedName name="ITEM" localSheetId="37">OFERTA!$B$5:$B$213</definedName>
    <definedName name="ITEM" localSheetId="38">OFERTA!$B$5:$B$213</definedName>
    <definedName name="ITEM" localSheetId="39">OFERTA!$B$5:$B$213</definedName>
    <definedName name="ITEM" localSheetId="40">OFERTA!$B$5:$B$213</definedName>
    <definedName name="ITEM" localSheetId="41">OFERTA!$B$5:$B$213</definedName>
    <definedName name="ITEM" localSheetId="42">OFERTA!$B$5:$B$213</definedName>
    <definedName name="ITEM" localSheetId="16">OFERTA!$B$5:$B$213</definedName>
    <definedName name="ITEM" localSheetId="43">OFERTA!$B$5:$B$213</definedName>
    <definedName name="ITEM" localSheetId="44">OFERTA!$B$5:$B$213</definedName>
    <definedName name="ITEM" localSheetId="45">OFERTA!$B$5:$B$213</definedName>
    <definedName name="ITEM" localSheetId="46">OFERTA!$B$5:$B$213</definedName>
    <definedName name="ITEM" localSheetId="47">OFERTA!$B$5:$B$213</definedName>
    <definedName name="ITEM" localSheetId="48">OFERTA!$B$5:$B$213</definedName>
    <definedName name="ITEM" localSheetId="49">OFERTA!$B$5:$B$213</definedName>
    <definedName name="ITEM" localSheetId="50">OFERTA!$B$5:$B$213</definedName>
    <definedName name="ITEM" localSheetId="51">OFERTA!$B$5:$B$213</definedName>
    <definedName name="ITEM" localSheetId="52">OFERTA!$B$5:$B$213</definedName>
    <definedName name="ITEM" localSheetId="17">OFERTA!$B$5:$B$213</definedName>
    <definedName name="ITEM" localSheetId="53">OFERTA!$B$5:$B$213</definedName>
    <definedName name="ITEM" localSheetId="54">OFERTA!$B$5:$B$213</definedName>
    <definedName name="ITEM" localSheetId="55">OFERTA!$B$5:$B$213</definedName>
    <definedName name="ITEM" localSheetId="56">OFERTA!$B$5:$B$213</definedName>
    <definedName name="ITEM" localSheetId="57">OFERTA!$B$5:$B$213</definedName>
    <definedName name="ITEM" localSheetId="58">OFERTA!$B$5:$B$213</definedName>
    <definedName name="ITEM" localSheetId="59">OFERTA!$B$5:$B$213</definedName>
    <definedName name="ITEM" localSheetId="60">OFERTA!$B$5:$B$213</definedName>
    <definedName name="ITEM" localSheetId="61">OFERTA!$B$5:$B$213</definedName>
    <definedName name="ITEM" localSheetId="62">OFERTA!$B$5:$B$213</definedName>
    <definedName name="ITEM" localSheetId="18">OFERTA!$B$5:$B$213</definedName>
    <definedName name="ITEM" localSheetId="63">OFERTA!$B$5:$B$213</definedName>
    <definedName name="ITEM" localSheetId="64">OFERTA!$B$5:$B$213</definedName>
    <definedName name="ITEM" localSheetId="65">OFERTA!$B$5:$B$213</definedName>
    <definedName name="ITEM" localSheetId="66">OFERTA!$B$5:$B$213</definedName>
    <definedName name="ITEM" localSheetId="67">OFERTA!$B$5:$B$213</definedName>
    <definedName name="ITEM" localSheetId="68">OFERTA!$B$5:$B$213</definedName>
    <definedName name="ITEM" localSheetId="69">OFERTA!$B$5:$B$213</definedName>
    <definedName name="ITEM" localSheetId="70">OFERTA!$B$5:$B$213</definedName>
    <definedName name="ITEM" localSheetId="71">OFERTA!$B$5:$B$213</definedName>
    <definedName name="ITEM" localSheetId="72">OFERTA!$B$5:$B$213</definedName>
    <definedName name="ITEM" localSheetId="19">OFERTA!$B$5:$B$213</definedName>
    <definedName name="ITEM" localSheetId="73">OFERTA!$B$5:$B$213</definedName>
    <definedName name="ITEM" localSheetId="74">OFERTA!$B$5:$B$213</definedName>
    <definedName name="ITEM" localSheetId="75">OFERTA!$B$5:$B$213</definedName>
    <definedName name="ITEM" localSheetId="76">OFERTA!$B$5:$B$213</definedName>
    <definedName name="ITEM" localSheetId="77">OFERTA!$B$5:$B$213</definedName>
    <definedName name="ITEM" localSheetId="78">OFERTA!$B$5:$B$213</definedName>
    <definedName name="ITEM" localSheetId="79">OFERTA!$B$5:$B$213</definedName>
    <definedName name="ITEM" localSheetId="80">OFERTA!$B$5:$B$213</definedName>
    <definedName name="ITEM" localSheetId="81">OFERTA!$B$5:$B$213</definedName>
    <definedName name="ITEM" localSheetId="82">OFERTA!$B$5:$B$213</definedName>
    <definedName name="ITEM" localSheetId="20">OFERTA!$B$5:$B$213</definedName>
    <definedName name="ITEM" localSheetId="83">OFERTA!$B$5:$B$213</definedName>
    <definedName name="ITEM" localSheetId="84">OFERTA!$B$5:$B$213</definedName>
    <definedName name="ITEM" localSheetId="85">OFERTA!$B$5:$B$213</definedName>
    <definedName name="ITEM" localSheetId="86">OFERTA!$B$5:$B$213</definedName>
    <definedName name="ITEM" localSheetId="87">OFERTA!$B$5:$B$213</definedName>
    <definedName name="ITEM" localSheetId="88">OFERTA!$B$5:$B$213</definedName>
    <definedName name="ITEM" localSheetId="89">OFERTA!$B$5:$B$213</definedName>
    <definedName name="ITEM" localSheetId="90">OFERTA!$B$5:$B$213</definedName>
    <definedName name="ITEM" localSheetId="91">OFERTA!$B$5:$B$213</definedName>
    <definedName name="ITEM" localSheetId="92">OFERTA!$B$5:$B$213</definedName>
    <definedName name="ITEM" localSheetId="21">OFERTA!$B$5:$B$213</definedName>
    <definedName name="ITEM" localSheetId="93">OFERTA!$B$5:$B$213</definedName>
    <definedName name="ITEM" localSheetId="22">OFERTA!$B$5:$B$213</definedName>
    <definedName name="ITEM">OFERTA!$B$5:$B$213</definedName>
    <definedName name="L_MATERIALES" localSheetId="14">Tabla4[[#All],[LISTA DE MATERIALES]]</definedName>
    <definedName name="L_MATERIALES" localSheetId="23">Tabla4[[#All],[LISTA DE MATERIALES]]</definedName>
    <definedName name="L_MATERIALES" localSheetId="24">Tabla4[[#All],[LISTA DE MATERIALES]]</definedName>
    <definedName name="L_MATERIALES" localSheetId="25">Tabla4[[#All],[LISTA DE MATERIALES]]</definedName>
    <definedName name="L_MATERIALES" localSheetId="26">Tabla4[[#All],[LISTA DE MATERIALES]]</definedName>
    <definedName name="L_MATERIALES" localSheetId="27">Tabla4[[#All],[LISTA DE MATERIALES]]</definedName>
    <definedName name="L_MATERIALES" localSheetId="28">Tabla4[[#All],[LISTA DE MATERIALES]]</definedName>
    <definedName name="L_MATERIALES" localSheetId="29">Tabla4[[#All],[LISTA DE MATERIALES]]</definedName>
    <definedName name="L_MATERIALES" localSheetId="30">Tabla4[[#All],[LISTA DE MATERIALES]]</definedName>
    <definedName name="L_MATERIALES" localSheetId="31">Tabla4[[#All],[LISTA DE MATERIALES]]</definedName>
    <definedName name="L_MATERIALES" localSheetId="32">Tabla4[[#All],[LISTA DE MATERIALES]]</definedName>
    <definedName name="L_MATERIALES" localSheetId="15">Tabla4[[#All],[LISTA DE MATERIALES]]</definedName>
    <definedName name="L_MATERIALES" localSheetId="33">Tabla4[[#All],[LISTA DE MATERIALES]]</definedName>
    <definedName name="L_MATERIALES" localSheetId="34">Tabla4[[#All],[LISTA DE MATERIALES]]</definedName>
    <definedName name="L_MATERIALES" localSheetId="35">Tabla4[[#All],[LISTA DE MATERIALES]]</definedName>
    <definedName name="L_MATERIALES" localSheetId="36">Tabla4[[#All],[LISTA DE MATERIALES]]</definedName>
    <definedName name="L_MATERIALES" localSheetId="37">Tabla4[[#All],[LISTA DE MATERIALES]]</definedName>
    <definedName name="L_MATERIALES" localSheetId="38">Tabla4[[#All],[LISTA DE MATERIALES]]</definedName>
    <definedName name="L_MATERIALES" localSheetId="39">Tabla4[[#All],[LISTA DE MATERIALES]]</definedName>
    <definedName name="L_MATERIALES" localSheetId="40">Tabla4[[#All],[LISTA DE MATERIALES]]</definedName>
    <definedName name="L_MATERIALES" localSheetId="41">Tabla4[[#All],[LISTA DE MATERIALES]]</definedName>
    <definedName name="L_MATERIALES" localSheetId="42">Tabla4[[#All],[LISTA DE MATERIALES]]</definedName>
    <definedName name="L_MATERIALES" localSheetId="16">Tabla4[[#All],[LISTA DE MATERIALES]]</definedName>
    <definedName name="L_MATERIALES" localSheetId="43">Tabla4[[#All],[LISTA DE MATERIALES]]</definedName>
    <definedName name="L_MATERIALES" localSheetId="44">Tabla4[[#All],[LISTA DE MATERIALES]]</definedName>
    <definedName name="L_MATERIALES" localSheetId="45">Tabla4[[#All],[LISTA DE MATERIALES]]</definedName>
    <definedName name="L_MATERIALES" localSheetId="46">Tabla4[[#All],[LISTA DE MATERIALES]]</definedName>
    <definedName name="L_MATERIALES" localSheetId="47">Tabla4[[#All],[LISTA DE MATERIALES]]</definedName>
    <definedName name="L_MATERIALES" localSheetId="48">Tabla4[[#All],[LISTA DE MATERIALES]]</definedName>
    <definedName name="L_MATERIALES" localSheetId="49">Tabla4[[#All],[LISTA DE MATERIALES]]</definedName>
    <definedName name="L_MATERIALES" localSheetId="50">Tabla4[[#All],[LISTA DE MATERIALES]]</definedName>
    <definedName name="L_MATERIALES" localSheetId="51">Tabla4[[#All],[LISTA DE MATERIALES]]</definedName>
    <definedName name="L_MATERIALES" localSheetId="52">Tabla4[[#All],[LISTA DE MATERIALES]]</definedName>
    <definedName name="L_MATERIALES" localSheetId="17">Tabla4[[#All],[LISTA DE MATERIALES]]</definedName>
    <definedName name="L_MATERIALES" localSheetId="53">Tabla4[[#All],[LISTA DE MATERIALES]]</definedName>
    <definedName name="L_MATERIALES" localSheetId="54">Tabla4[[#All],[LISTA DE MATERIALES]]</definedName>
    <definedName name="L_MATERIALES" localSheetId="55">Tabla4[[#All],[LISTA DE MATERIALES]]</definedName>
    <definedName name="L_MATERIALES" localSheetId="56">Tabla4[[#All],[LISTA DE MATERIALES]]</definedName>
    <definedName name="L_MATERIALES" localSheetId="57">Tabla4[[#All],[LISTA DE MATERIALES]]</definedName>
    <definedName name="L_MATERIALES" localSheetId="58">Tabla4[[#All],[LISTA DE MATERIALES]]</definedName>
    <definedName name="L_MATERIALES" localSheetId="59">Tabla4[[#All],[LISTA DE MATERIALES]]</definedName>
    <definedName name="L_MATERIALES" localSheetId="60">Tabla4[[#All],[LISTA DE MATERIALES]]</definedName>
    <definedName name="L_MATERIALES" localSheetId="61">Tabla4[[#All],[LISTA DE MATERIALES]]</definedName>
    <definedName name="L_MATERIALES" localSheetId="62">Tabla4[[#All],[LISTA DE MATERIALES]]</definedName>
    <definedName name="L_MATERIALES" localSheetId="18">Tabla4[[#All],[LISTA DE MATERIALES]]</definedName>
    <definedName name="L_MATERIALES" localSheetId="63">Tabla4[[#All],[LISTA DE MATERIALES]]</definedName>
    <definedName name="L_MATERIALES" localSheetId="64">Tabla4[[#All],[LISTA DE MATERIALES]]</definedName>
    <definedName name="L_MATERIALES" localSheetId="65">Tabla4[[#All],[LISTA DE MATERIALES]]</definedName>
    <definedName name="L_MATERIALES" localSheetId="66">Tabla4[[#All],[LISTA DE MATERIALES]]</definedName>
    <definedName name="L_MATERIALES" localSheetId="67">Tabla4[[#All],[LISTA DE MATERIALES]]</definedName>
    <definedName name="L_MATERIALES" localSheetId="68">Tabla4[[#All],[LISTA DE MATERIALES]]</definedName>
    <definedName name="L_MATERIALES" localSheetId="69">Tabla4[[#All],[LISTA DE MATERIALES]]</definedName>
    <definedName name="L_MATERIALES" localSheetId="70">Tabla4[[#All],[LISTA DE MATERIALES]]</definedName>
    <definedName name="L_MATERIALES" localSheetId="71">Tabla4[[#All],[LISTA DE MATERIALES]]</definedName>
    <definedName name="L_MATERIALES" localSheetId="72">Tabla4[[#All],[LISTA DE MATERIALES]]</definedName>
    <definedName name="L_MATERIALES" localSheetId="19">Tabla4[[#All],[LISTA DE MATERIALES]]</definedName>
    <definedName name="L_MATERIALES" localSheetId="73">Tabla4[[#All],[LISTA DE MATERIALES]]</definedName>
    <definedName name="L_MATERIALES" localSheetId="74">Tabla4[[#All],[LISTA DE MATERIALES]]</definedName>
    <definedName name="L_MATERIALES" localSheetId="75">Tabla4[[#All],[LISTA DE MATERIALES]]</definedName>
    <definedName name="L_MATERIALES" localSheetId="76">Tabla4[[#All],[LISTA DE MATERIALES]]</definedName>
    <definedName name="L_MATERIALES" localSheetId="77">Tabla4[[#All],[LISTA DE MATERIALES]]</definedName>
    <definedName name="L_MATERIALES" localSheetId="78">Tabla4[[#All],[LISTA DE MATERIALES]]</definedName>
    <definedName name="L_MATERIALES" localSheetId="79">Tabla4[[#All],[LISTA DE MATERIALES]]</definedName>
    <definedName name="L_MATERIALES" localSheetId="80">Tabla4[[#All],[LISTA DE MATERIALES]]</definedName>
    <definedName name="L_MATERIALES" localSheetId="81">Tabla4[[#All],[LISTA DE MATERIALES]]</definedName>
    <definedName name="L_MATERIALES" localSheetId="82">Tabla4[[#All],[LISTA DE MATERIALES]]</definedName>
    <definedName name="L_MATERIALES" localSheetId="20">Tabla4[[#All],[LISTA DE MATERIALES]]</definedName>
    <definedName name="L_MATERIALES" localSheetId="83">Tabla4[[#All],[LISTA DE MATERIALES]]</definedName>
    <definedName name="L_MATERIALES" localSheetId="84">Tabla4[[#All],[LISTA DE MATERIALES]]</definedName>
    <definedName name="L_MATERIALES" localSheetId="85">Tabla4[[#All],[LISTA DE MATERIALES]]</definedName>
    <definedName name="L_MATERIALES" localSheetId="86">Tabla4[[#All],[LISTA DE MATERIALES]]</definedName>
    <definedName name="L_MATERIALES" localSheetId="87">Tabla4[[#All],[LISTA DE MATERIALES]]</definedName>
    <definedName name="L_MATERIALES" localSheetId="88">Tabla4[[#All],[LISTA DE MATERIALES]]</definedName>
    <definedName name="L_MATERIALES" localSheetId="89">Tabla4[[#All],[LISTA DE MATERIALES]]</definedName>
    <definedName name="L_MATERIALES" localSheetId="90">Tabla4[[#All],[LISTA DE MATERIALES]]</definedName>
    <definedName name="L_MATERIALES" localSheetId="91">Tabla4[[#All],[LISTA DE MATERIALES]]</definedName>
    <definedName name="L_MATERIALES" localSheetId="92">Tabla4[[#All],[LISTA DE MATERIALES]]</definedName>
    <definedName name="L_MATERIALES" localSheetId="21">Tabla4[[#All],[LISTA DE MATERIALES]]</definedName>
    <definedName name="L_MATERIALES" localSheetId="93">Tabla4[[#All],[LISTA DE MATERIALES]]</definedName>
    <definedName name="L_MATERIALES" localSheetId="22">Tabla4[[#All],[LISTA DE MATERIALES]]</definedName>
    <definedName name="L_MATERIALES" localSheetId="8">Tabla4[[#All],[LISTA DE MATERIALES]]</definedName>
    <definedName name="L_MATERIALES" localSheetId="9">Tabla4[[#All],[LISTA DE MATERIALES]]</definedName>
    <definedName name="L_MATERIALES">Tabla4[[#All],[LISTA DE MATERIALES]]</definedName>
    <definedName name="L_PERSONAL" localSheetId="14">Tabla2[[#All],[PERSONAL]]</definedName>
    <definedName name="L_PERSONAL" localSheetId="23">Tabla2[[#All],[PERSONAL]]</definedName>
    <definedName name="L_PERSONAL" localSheetId="24">Tabla2[[#All],[PERSONAL]]</definedName>
    <definedName name="L_PERSONAL" localSheetId="25">Tabla2[[#All],[PERSONAL]]</definedName>
    <definedName name="L_PERSONAL" localSheetId="26">Tabla2[[#All],[PERSONAL]]</definedName>
    <definedName name="L_PERSONAL" localSheetId="27">Tabla2[[#All],[PERSONAL]]</definedName>
    <definedName name="L_PERSONAL" localSheetId="28">Tabla2[[#All],[PERSONAL]]</definedName>
    <definedName name="L_PERSONAL" localSheetId="29">Tabla2[[#All],[PERSONAL]]</definedName>
    <definedName name="L_PERSONAL" localSheetId="30">Tabla2[[#All],[PERSONAL]]</definedName>
    <definedName name="L_PERSONAL" localSheetId="31">Tabla2[[#All],[PERSONAL]]</definedName>
    <definedName name="L_PERSONAL" localSheetId="32">Tabla2[[#All],[PERSONAL]]</definedName>
    <definedName name="L_PERSONAL" localSheetId="15">Tabla2[[#All],[PERSONAL]]</definedName>
    <definedName name="L_PERSONAL" localSheetId="33">Tabla2[[#All],[PERSONAL]]</definedName>
    <definedName name="L_PERSONAL" localSheetId="34">Tabla2[[#All],[PERSONAL]]</definedName>
    <definedName name="L_PERSONAL" localSheetId="35">Tabla2[[#All],[PERSONAL]]</definedName>
    <definedName name="L_PERSONAL" localSheetId="36">Tabla2[[#All],[PERSONAL]]</definedName>
    <definedName name="L_PERSONAL" localSheetId="37">Tabla2[[#All],[PERSONAL]]</definedName>
    <definedName name="L_PERSONAL" localSheetId="38">Tabla2[[#All],[PERSONAL]]</definedName>
    <definedName name="L_PERSONAL" localSheetId="39">Tabla2[[#All],[PERSONAL]]</definedName>
    <definedName name="L_PERSONAL" localSheetId="40">Tabla2[[#All],[PERSONAL]]</definedName>
    <definedName name="L_PERSONAL" localSheetId="41">Tabla2[[#All],[PERSONAL]]</definedName>
    <definedName name="L_PERSONAL" localSheetId="42">Tabla2[[#All],[PERSONAL]]</definedName>
    <definedName name="L_PERSONAL" localSheetId="16">Tabla2[[#All],[PERSONAL]]</definedName>
    <definedName name="L_PERSONAL" localSheetId="43">Tabla2[[#All],[PERSONAL]]</definedName>
    <definedName name="L_PERSONAL" localSheetId="44">Tabla2[[#All],[PERSONAL]]</definedName>
    <definedName name="L_PERSONAL" localSheetId="45">Tabla2[[#All],[PERSONAL]]</definedName>
    <definedName name="L_PERSONAL" localSheetId="46">Tabla2[[#All],[PERSONAL]]</definedName>
    <definedName name="L_PERSONAL" localSheetId="47">Tabla2[[#All],[PERSONAL]]</definedName>
    <definedName name="L_PERSONAL" localSheetId="48">Tabla2[[#All],[PERSONAL]]</definedName>
    <definedName name="L_PERSONAL" localSheetId="49">Tabla2[[#All],[PERSONAL]]</definedName>
    <definedName name="L_PERSONAL" localSheetId="50">Tabla2[[#All],[PERSONAL]]</definedName>
    <definedName name="L_PERSONAL" localSheetId="51">Tabla2[[#All],[PERSONAL]]</definedName>
    <definedName name="L_PERSONAL" localSheetId="52">Tabla2[[#All],[PERSONAL]]</definedName>
    <definedName name="L_PERSONAL" localSheetId="17">Tabla2[[#All],[PERSONAL]]</definedName>
    <definedName name="L_PERSONAL" localSheetId="53">Tabla2[[#All],[PERSONAL]]</definedName>
    <definedName name="L_PERSONAL" localSheetId="54">Tabla2[[#All],[PERSONAL]]</definedName>
    <definedName name="L_PERSONAL" localSheetId="55">Tabla2[[#All],[PERSONAL]]</definedName>
    <definedName name="L_PERSONAL" localSheetId="56">Tabla2[[#All],[PERSONAL]]</definedName>
    <definedName name="L_PERSONAL" localSheetId="57">Tabla2[[#All],[PERSONAL]]</definedName>
    <definedName name="L_PERSONAL" localSheetId="58">Tabla2[[#All],[PERSONAL]]</definedName>
    <definedName name="L_PERSONAL" localSheetId="59">Tabla2[[#All],[PERSONAL]]</definedName>
    <definedName name="L_PERSONAL" localSheetId="60">Tabla2[[#All],[PERSONAL]]</definedName>
    <definedName name="L_PERSONAL" localSheetId="61">Tabla2[[#All],[PERSONAL]]</definedName>
    <definedName name="L_PERSONAL" localSheetId="62">Tabla2[[#All],[PERSONAL]]</definedName>
    <definedName name="L_PERSONAL" localSheetId="18">Tabla2[[#All],[PERSONAL]]</definedName>
    <definedName name="L_PERSONAL" localSheetId="63">Tabla2[[#All],[PERSONAL]]</definedName>
    <definedName name="L_PERSONAL" localSheetId="64">Tabla2[[#All],[PERSONAL]]</definedName>
    <definedName name="L_PERSONAL" localSheetId="65">Tabla2[[#All],[PERSONAL]]</definedName>
    <definedName name="L_PERSONAL" localSheetId="66">Tabla2[[#All],[PERSONAL]]</definedName>
    <definedName name="L_PERSONAL" localSheetId="67">Tabla2[[#All],[PERSONAL]]</definedName>
    <definedName name="L_PERSONAL" localSheetId="68">Tabla2[[#All],[PERSONAL]]</definedName>
    <definedName name="L_PERSONAL" localSheetId="69">Tabla2[[#All],[PERSONAL]]</definedName>
    <definedName name="L_PERSONAL" localSheetId="70">Tabla2[[#All],[PERSONAL]]</definedName>
    <definedName name="L_PERSONAL" localSheetId="71">Tabla2[[#All],[PERSONAL]]</definedName>
    <definedName name="L_PERSONAL" localSheetId="72">Tabla2[[#All],[PERSONAL]]</definedName>
    <definedName name="L_PERSONAL" localSheetId="19">Tabla2[[#All],[PERSONAL]]</definedName>
    <definedName name="L_PERSONAL" localSheetId="73">Tabla2[[#All],[PERSONAL]]</definedName>
    <definedName name="L_PERSONAL" localSheetId="74">Tabla2[[#All],[PERSONAL]]</definedName>
    <definedName name="L_PERSONAL" localSheetId="75">Tabla2[[#All],[PERSONAL]]</definedName>
    <definedName name="L_PERSONAL" localSheetId="76">Tabla2[[#All],[PERSONAL]]</definedName>
    <definedName name="L_PERSONAL" localSheetId="77">Tabla2[[#All],[PERSONAL]]</definedName>
    <definedName name="L_PERSONAL" localSheetId="78">Tabla2[[#All],[PERSONAL]]</definedName>
    <definedName name="L_PERSONAL" localSheetId="79">Tabla2[[#All],[PERSONAL]]</definedName>
    <definedName name="L_PERSONAL" localSheetId="80">Tabla2[[#All],[PERSONAL]]</definedName>
    <definedName name="L_PERSONAL" localSheetId="81">Tabla2[[#All],[PERSONAL]]</definedName>
    <definedName name="L_PERSONAL" localSheetId="82">Tabla2[[#All],[PERSONAL]]</definedName>
    <definedName name="L_PERSONAL" localSheetId="20">Tabla2[[#All],[PERSONAL]]</definedName>
    <definedName name="L_PERSONAL" localSheetId="83">Tabla2[[#All],[PERSONAL]]</definedName>
    <definedName name="L_PERSONAL" localSheetId="84">Tabla2[[#All],[PERSONAL]]</definedName>
    <definedName name="L_PERSONAL" localSheetId="85">Tabla2[[#All],[PERSONAL]]</definedName>
    <definedName name="L_PERSONAL" localSheetId="86">Tabla2[[#All],[PERSONAL]]</definedName>
    <definedName name="L_PERSONAL" localSheetId="87">Tabla2[[#All],[PERSONAL]]</definedName>
    <definedName name="L_PERSONAL" localSheetId="88">Tabla2[[#All],[PERSONAL]]</definedName>
    <definedName name="L_PERSONAL" localSheetId="89">Tabla2[[#All],[PERSONAL]]</definedName>
    <definedName name="L_PERSONAL" localSheetId="90">Tabla2[[#All],[PERSONAL]]</definedName>
    <definedName name="L_PERSONAL" localSheetId="91">Tabla2[[#All],[PERSONAL]]</definedName>
    <definedName name="L_PERSONAL" localSheetId="92">Tabla2[[#All],[PERSONAL]]</definedName>
    <definedName name="L_PERSONAL" localSheetId="21">Tabla2[[#All],[PERSONAL]]</definedName>
    <definedName name="L_PERSONAL" localSheetId="93">Tabla2[[#All],[PERSONAL]]</definedName>
    <definedName name="L_PERSONAL" localSheetId="22">Tabla2[[#All],[PERSONAL]]</definedName>
    <definedName name="L_PERSONAL" localSheetId="8">Tabla2[[#All],[PERSONAL]]</definedName>
    <definedName name="L_PERSONAL" localSheetId="9">Tabla2[[#All],[PERSONAL]]</definedName>
    <definedName name="L_PERSONAL">Tabla2[[#All],[PERSONAL]]</definedName>
    <definedName name="LISTA_MAQUINARIA" localSheetId="14">Tabla1[[#All],[LISTA DE MAQUINARIA]]</definedName>
    <definedName name="LISTA_MAQUINARIA" localSheetId="23">Tabla1[[#All],[LISTA DE MAQUINARIA]]</definedName>
    <definedName name="LISTA_MAQUINARIA" localSheetId="24">Tabla1[[#All],[LISTA DE MAQUINARIA]]</definedName>
    <definedName name="LISTA_MAQUINARIA" localSheetId="25">Tabla1[[#All],[LISTA DE MAQUINARIA]]</definedName>
    <definedName name="LISTA_MAQUINARIA" localSheetId="26">Tabla1[[#All],[LISTA DE MAQUINARIA]]</definedName>
    <definedName name="LISTA_MAQUINARIA" localSheetId="27">Tabla1[[#All],[LISTA DE MAQUINARIA]]</definedName>
    <definedName name="LISTA_MAQUINARIA" localSheetId="28">Tabla1[[#All],[LISTA DE MAQUINARIA]]</definedName>
    <definedName name="LISTA_MAQUINARIA" localSheetId="29">Tabla1[[#All],[LISTA DE MAQUINARIA]]</definedName>
    <definedName name="LISTA_MAQUINARIA" localSheetId="30">Tabla1[[#All],[LISTA DE MAQUINARIA]]</definedName>
    <definedName name="LISTA_MAQUINARIA" localSheetId="31">Tabla1[[#All],[LISTA DE MAQUINARIA]]</definedName>
    <definedName name="LISTA_MAQUINARIA" localSheetId="32">Tabla1[[#All],[LISTA DE MAQUINARIA]]</definedName>
    <definedName name="LISTA_MAQUINARIA" localSheetId="15">Tabla1[[#All],[LISTA DE MAQUINARIA]]</definedName>
    <definedName name="LISTA_MAQUINARIA" localSheetId="33">Tabla1[[#All],[LISTA DE MAQUINARIA]]</definedName>
    <definedName name="LISTA_MAQUINARIA" localSheetId="34">Tabla1[[#All],[LISTA DE MAQUINARIA]]</definedName>
    <definedName name="LISTA_MAQUINARIA" localSheetId="35">Tabla1[[#All],[LISTA DE MAQUINARIA]]</definedName>
    <definedName name="LISTA_MAQUINARIA" localSheetId="36">Tabla1[[#All],[LISTA DE MAQUINARIA]]</definedName>
    <definedName name="LISTA_MAQUINARIA" localSheetId="37">Tabla1[[#All],[LISTA DE MAQUINARIA]]</definedName>
    <definedName name="LISTA_MAQUINARIA" localSheetId="38">Tabla1[[#All],[LISTA DE MAQUINARIA]]</definedName>
    <definedName name="LISTA_MAQUINARIA" localSheetId="39">Tabla1[[#All],[LISTA DE MAQUINARIA]]</definedName>
    <definedName name="LISTA_MAQUINARIA" localSheetId="40">Tabla1[[#All],[LISTA DE MAQUINARIA]]</definedName>
    <definedName name="LISTA_MAQUINARIA" localSheetId="41">Tabla1[[#All],[LISTA DE MAQUINARIA]]</definedName>
    <definedName name="LISTA_MAQUINARIA" localSheetId="42">Tabla1[[#All],[LISTA DE MAQUINARIA]]</definedName>
    <definedName name="LISTA_MAQUINARIA" localSheetId="16">Tabla1[[#All],[LISTA DE MAQUINARIA]]</definedName>
    <definedName name="LISTA_MAQUINARIA" localSheetId="43">Tabla1[[#All],[LISTA DE MAQUINARIA]]</definedName>
    <definedName name="LISTA_MAQUINARIA" localSheetId="44">Tabla1[[#All],[LISTA DE MAQUINARIA]]</definedName>
    <definedName name="LISTA_MAQUINARIA" localSheetId="45">Tabla1[[#All],[LISTA DE MAQUINARIA]]</definedName>
    <definedName name="LISTA_MAQUINARIA" localSheetId="46">Tabla1[[#All],[LISTA DE MAQUINARIA]]</definedName>
    <definedName name="LISTA_MAQUINARIA" localSheetId="47">Tabla1[[#All],[LISTA DE MAQUINARIA]]</definedName>
    <definedName name="LISTA_MAQUINARIA" localSheetId="48">Tabla1[[#All],[LISTA DE MAQUINARIA]]</definedName>
    <definedName name="LISTA_MAQUINARIA" localSheetId="49">Tabla1[[#All],[LISTA DE MAQUINARIA]]</definedName>
    <definedName name="LISTA_MAQUINARIA" localSheetId="50">Tabla1[[#All],[LISTA DE MAQUINARIA]]</definedName>
    <definedName name="LISTA_MAQUINARIA" localSheetId="51">Tabla1[[#All],[LISTA DE MAQUINARIA]]</definedName>
    <definedName name="LISTA_MAQUINARIA" localSheetId="52">Tabla1[[#All],[LISTA DE MAQUINARIA]]</definedName>
    <definedName name="LISTA_MAQUINARIA" localSheetId="17">Tabla1[[#All],[LISTA DE MAQUINARIA]]</definedName>
    <definedName name="LISTA_MAQUINARIA" localSheetId="53">Tabla1[[#All],[LISTA DE MAQUINARIA]]</definedName>
    <definedName name="LISTA_MAQUINARIA" localSheetId="54">Tabla1[[#All],[LISTA DE MAQUINARIA]]</definedName>
    <definedName name="LISTA_MAQUINARIA" localSheetId="55">Tabla1[[#All],[LISTA DE MAQUINARIA]]</definedName>
    <definedName name="LISTA_MAQUINARIA" localSheetId="56">Tabla1[[#All],[LISTA DE MAQUINARIA]]</definedName>
    <definedName name="LISTA_MAQUINARIA" localSheetId="57">Tabla1[[#All],[LISTA DE MAQUINARIA]]</definedName>
    <definedName name="LISTA_MAQUINARIA" localSheetId="58">Tabla1[[#All],[LISTA DE MAQUINARIA]]</definedName>
    <definedName name="LISTA_MAQUINARIA" localSheetId="59">Tabla1[[#All],[LISTA DE MAQUINARIA]]</definedName>
    <definedName name="LISTA_MAQUINARIA" localSheetId="60">Tabla1[[#All],[LISTA DE MAQUINARIA]]</definedName>
    <definedName name="LISTA_MAQUINARIA" localSheetId="61">Tabla1[[#All],[LISTA DE MAQUINARIA]]</definedName>
    <definedName name="LISTA_MAQUINARIA" localSheetId="62">Tabla1[[#All],[LISTA DE MAQUINARIA]]</definedName>
    <definedName name="LISTA_MAQUINARIA" localSheetId="18">Tabla1[[#All],[LISTA DE MAQUINARIA]]</definedName>
    <definedName name="LISTA_MAQUINARIA" localSheetId="63">Tabla1[[#All],[LISTA DE MAQUINARIA]]</definedName>
    <definedName name="LISTA_MAQUINARIA" localSheetId="64">Tabla1[[#All],[LISTA DE MAQUINARIA]]</definedName>
    <definedName name="LISTA_MAQUINARIA" localSheetId="65">Tabla1[[#All],[LISTA DE MAQUINARIA]]</definedName>
    <definedName name="LISTA_MAQUINARIA" localSheetId="66">Tabla1[[#All],[LISTA DE MAQUINARIA]]</definedName>
    <definedName name="LISTA_MAQUINARIA" localSheetId="67">Tabla1[[#All],[LISTA DE MAQUINARIA]]</definedName>
    <definedName name="LISTA_MAQUINARIA" localSheetId="68">Tabla1[[#All],[LISTA DE MAQUINARIA]]</definedName>
    <definedName name="LISTA_MAQUINARIA" localSheetId="69">Tabla1[[#All],[LISTA DE MAQUINARIA]]</definedName>
    <definedName name="LISTA_MAQUINARIA" localSheetId="70">Tabla1[[#All],[LISTA DE MAQUINARIA]]</definedName>
    <definedName name="LISTA_MAQUINARIA" localSheetId="71">Tabla1[[#All],[LISTA DE MAQUINARIA]]</definedName>
    <definedName name="LISTA_MAQUINARIA" localSheetId="72">Tabla1[[#All],[LISTA DE MAQUINARIA]]</definedName>
    <definedName name="LISTA_MAQUINARIA" localSheetId="19">Tabla1[[#All],[LISTA DE MAQUINARIA]]</definedName>
    <definedName name="LISTA_MAQUINARIA" localSheetId="73">Tabla1[[#All],[LISTA DE MAQUINARIA]]</definedName>
    <definedName name="LISTA_MAQUINARIA" localSheetId="74">Tabla1[[#All],[LISTA DE MAQUINARIA]]</definedName>
    <definedName name="LISTA_MAQUINARIA" localSheetId="75">Tabla1[[#All],[LISTA DE MAQUINARIA]]</definedName>
    <definedName name="LISTA_MAQUINARIA" localSheetId="76">Tabla1[[#All],[LISTA DE MAQUINARIA]]</definedName>
    <definedName name="LISTA_MAQUINARIA" localSheetId="77">Tabla1[[#All],[LISTA DE MAQUINARIA]]</definedName>
    <definedName name="LISTA_MAQUINARIA" localSheetId="78">Tabla1[[#All],[LISTA DE MAQUINARIA]]</definedName>
    <definedName name="LISTA_MAQUINARIA" localSheetId="79">Tabla1[[#All],[LISTA DE MAQUINARIA]]</definedName>
    <definedName name="LISTA_MAQUINARIA" localSheetId="80">Tabla1[[#All],[LISTA DE MAQUINARIA]]</definedName>
    <definedName name="LISTA_MAQUINARIA" localSheetId="81">Tabla1[[#All],[LISTA DE MAQUINARIA]]</definedName>
    <definedName name="LISTA_MAQUINARIA" localSheetId="82">Tabla1[[#All],[LISTA DE MAQUINARIA]]</definedName>
    <definedName name="LISTA_MAQUINARIA" localSheetId="20">Tabla1[[#All],[LISTA DE MAQUINARIA]]</definedName>
    <definedName name="LISTA_MAQUINARIA" localSheetId="83">Tabla1[[#All],[LISTA DE MAQUINARIA]]</definedName>
    <definedName name="LISTA_MAQUINARIA" localSheetId="84">Tabla1[[#All],[LISTA DE MAQUINARIA]]</definedName>
    <definedName name="LISTA_MAQUINARIA" localSheetId="85">Tabla1[[#All],[LISTA DE MAQUINARIA]]</definedName>
    <definedName name="LISTA_MAQUINARIA" localSheetId="86">Tabla1[[#All],[LISTA DE MAQUINARIA]]</definedName>
    <definedName name="LISTA_MAQUINARIA" localSheetId="87">Tabla1[[#All],[LISTA DE MAQUINARIA]]</definedName>
    <definedName name="LISTA_MAQUINARIA" localSheetId="88">Tabla1[[#All],[LISTA DE MAQUINARIA]]</definedName>
    <definedName name="LISTA_MAQUINARIA" localSheetId="89">Tabla1[[#All],[LISTA DE MAQUINARIA]]</definedName>
    <definedName name="LISTA_MAQUINARIA" localSheetId="90">Tabla1[[#All],[LISTA DE MAQUINARIA]]</definedName>
    <definedName name="LISTA_MAQUINARIA" localSheetId="91">Tabla1[[#All],[LISTA DE MAQUINARIA]]</definedName>
    <definedName name="LISTA_MAQUINARIA" localSheetId="92">Tabla1[[#All],[LISTA DE MAQUINARIA]]</definedName>
    <definedName name="LISTA_MAQUINARIA" localSheetId="21">Tabla1[[#All],[LISTA DE MAQUINARIA]]</definedName>
    <definedName name="LISTA_MAQUINARIA" localSheetId="93">Tabla1[[#All],[LISTA DE MAQUINARIA]]</definedName>
    <definedName name="LISTA_MAQUINARIA" localSheetId="22">Tabla1[[#All],[LISTA DE MAQUINARIA]]</definedName>
    <definedName name="LISTA_MAQUINARIA" localSheetId="8">Tabla1[[#All],[LISTA DE MAQUINARIA]]</definedName>
    <definedName name="LISTA_MAQUINARIA" localSheetId="9">Tabla1[[#All],[LISTA DE MAQUINARIA]]</definedName>
    <definedName name="LISTA_MAQUINARIA">Tabla1[[#All],[LISTA DE MAQUINARIA]]</definedName>
    <definedName name="M_T" localSheetId="14">'1'!$B$105</definedName>
    <definedName name="M_T" localSheetId="23">'10'!$B$104</definedName>
    <definedName name="M_T" localSheetId="24">'11'!$B$104</definedName>
    <definedName name="M_T" localSheetId="25">'12'!$B$104</definedName>
    <definedName name="M_T" localSheetId="26">'13'!$B$104</definedName>
    <definedName name="M_T" localSheetId="27">'14'!$B$104</definedName>
    <definedName name="M_T" localSheetId="28">'15'!$B$104</definedName>
    <definedName name="M_T" localSheetId="29">'16'!$B$104</definedName>
    <definedName name="M_T" localSheetId="30">'17'!$B$104</definedName>
    <definedName name="M_T" localSheetId="31">'18'!$B$105</definedName>
    <definedName name="M_T" localSheetId="32">'19'!$B$103</definedName>
    <definedName name="M_T" localSheetId="15">'2'!$B$104</definedName>
    <definedName name="M_T" localSheetId="33">'20'!$B$104</definedName>
    <definedName name="M_T" localSheetId="34">'21'!$B$104</definedName>
    <definedName name="M_T" localSheetId="35">'22'!$B$104</definedName>
    <definedName name="M_T" localSheetId="36">'23'!$B$104</definedName>
    <definedName name="M_T" localSheetId="37">'24'!$B$104</definedName>
    <definedName name="M_T" localSheetId="38">'25'!$B$104</definedName>
    <definedName name="M_T" localSheetId="39">'26'!$B$104</definedName>
    <definedName name="M_T" localSheetId="40">'27'!$B$104</definedName>
    <definedName name="M_T" localSheetId="41">'28'!$B$104</definedName>
    <definedName name="M_T" localSheetId="42">'29'!$B$104</definedName>
    <definedName name="M_T" localSheetId="16">'3'!$B$105</definedName>
    <definedName name="M_T" localSheetId="43">'30'!$B$104</definedName>
    <definedName name="M_T" localSheetId="44">'31'!$B$104</definedName>
    <definedName name="M_T" localSheetId="45">'32'!$B$104</definedName>
    <definedName name="M_T" localSheetId="46">'33'!$B$104</definedName>
    <definedName name="M_T" localSheetId="47">'34'!$B$104</definedName>
    <definedName name="M_T" localSheetId="48">'35'!$B$104</definedName>
    <definedName name="M_T" localSheetId="49">'36'!$B$104</definedName>
    <definedName name="M_T" localSheetId="50">'37'!$B$104</definedName>
    <definedName name="M_T" localSheetId="51">'38'!$B$104</definedName>
    <definedName name="M_T" localSheetId="52">'39'!$B$104</definedName>
    <definedName name="M_T" localSheetId="17">'4'!$B$104</definedName>
    <definedName name="M_T" localSheetId="53">'40'!$B$104</definedName>
    <definedName name="M_T" localSheetId="54">'41'!$B$104</definedName>
    <definedName name="M_T" localSheetId="55">'42'!$B$104</definedName>
    <definedName name="M_T" localSheetId="56">'43'!$B$104</definedName>
    <definedName name="M_T" localSheetId="57">'44'!$B$104</definedName>
    <definedName name="M_T" localSheetId="58">'45'!$B$104</definedName>
    <definedName name="M_T" localSheetId="59">'46'!$B$104</definedName>
    <definedName name="M_T" localSheetId="60">'47'!$B$104</definedName>
    <definedName name="M_T" localSheetId="61">'48'!$B$104</definedName>
    <definedName name="M_T" localSheetId="62">'49'!$B$104</definedName>
    <definedName name="M_T" localSheetId="18">'5'!$B$105</definedName>
    <definedName name="M_T" localSheetId="63">'50'!$B$104</definedName>
    <definedName name="M_T" localSheetId="64">'51'!$B$104</definedName>
    <definedName name="M_T" localSheetId="65">'52'!$B$104</definedName>
    <definedName name="M_T" localSheetId="66">'53'!$B$104</definedName>
    <definedName name="M_T" localSheetId="67">'54'!$B$104</definedName>
    <definedName name="M_T" localSheetId="68">'55'!$B$104</definedName>
    <definedName name="M_T" localSheetId="69">'56'!$B$104</definedName>
    <definedName name="M_T" localSheetId="70">'57'!$B$104</definedName>
    <definedName name="M_T" localSheetId="71">'58'!$B$104</definedName>
    <definedName name="M_T" localSheetId="72">'59'!$B$104</definedName>
    <definedName name="M_T" localSheetId="19">'6'!$B$104</definedName>
    <definedName name="M_T" localSheetId="73">'60'!$B$104</definedName>
    <definedName name="M_T" localSheetId="74">'61'!$B$104</definedName>
    <definedName name="M_T" localSheetId="75">'62'!$B$104</definedName>
    <definedName name="M_T" localSheetId="76">'63'!$B$104</definedName>
    <definedName name="M_T" localSheetId="77">'64'!$B$104</definedName>
    <definedName name="M_T" localSheetId="78">'65'!$B$104</definedName>
    <definedName name="M_T" localSheetId="79">'66'!$B$104</definedName>
    <definedName name="M_T" localSheetId="80">'67'!$B$104</definedName>
    <definedName name="M_T" localSheetId="81">'68'!$B$104</definedName>
    <definedName name="M_T" localSheetId="82">'69'!$B$104</definedName>
    <definedName name="M_T" localSheetId="20">'7'!$B$104</definedName>
    <definedName name="M_T" localSheetId="83">'70'!$B$104</definedName>
    <definedName name="M_T" localSheetId="84">'71'!$B$104</definedName>
    <definedName name="M_T" localSheetId="85">'72'!$B$104</definedName>
    <definedName name="M_T" localSheetId="86">'73'!$B$104</definedName>
    <definedName name="M_T" localSheetId="87">'74'!$B$104</definedName>
    <definedName name="M_T" localSheetId="88">'75'!$B$104</definedName>
    <definedName name="M_T" localSheetId="89">'76'!$B$104</definedName>
    <definedName name="M_T" localSheetId="90">'77'!$B$104</definedName>
    <definedName name="M_T" localSheetId="91">'78'!$B$104</definedName>
    <definedName name="M_T" localSheetId="92">'79'!$B$104</definedName>
    <definedName name="M_T" localSheetId="21">'8'!$B$104</definedName>
    <definedName name="M_T" localSheetId="93">'80'!$B$104</definedName>
    <definedName name="M_T" localSheetId="22">'9'!$B$104</definedName>
    <definedName name="M_T">'APU REF. '!$B$104</definedName>
    <definedName name="NOMBRE_DEL_PROYECTO">'PORTADA '!$A$3</definedName>
    <definedName name="OBLIGACIONES_NO_OPERATIVO">'FACTOR PRESTACIONAL'!$D$88</definedName>
    <definedName name="OBLIGACIONES_OPERATIVO">'FACTOR PRESTACIONAL'!$C$88</definedName>
    <definedName name="P_OFERTA" localSheetId="14">OFERTA!$G$216</definedName>
    <definedName name="P_OFERTA" localSheetId="23">OFERTA!$G$216</definedName>
    <definedName name="P_OFERTA" localSheetId="24">OFERTA!$G$216</definedName>
    <definedName name="P_OFERTA" localSheetId="25">OFERTA!$G$216</definedName>
    <definedName name="P_OFERTA" localSheetId="26">OFERTA!$G$216</definedName>
    <definedName name="P_OFERTA" localSheetId="27">OFERTA!$G$216</definedName>
    <definedName name="P_OFERTA" localSheetId="28">OFERTA!$G$216</definedName>
    <definedName name="P_OFERTA" localSheetId="29">OFERTA!$G$216</definedName>
    <definedName name="P_OFERTA" localSheetId="30">OFERTA!$G$216</definedName>
    <definedName name="P_OFERTA" localSheetId="31">OFERTA!$G$216</definedName>
    <definedName name="P_OFERTA" localSheetId="32">OFERTA!$G$216</definedName>
    <definedName name="P_OFERTA" localSheetId="15">OFERTA!$G$216</definedName>
    <definedName name="P_OFERTA" localSheetId="33">OFERTA!$G$216</definedName>
    <definedName name="P_OFERTA" localSheetId="34">OFERTA!$G$216</definedName>
    <definedName name="P_OFERTA" localSheetId="35">OFERTA!$G$216</definedName>
    <definedName name="P_OFERTA" localSheetId="36">OFERTA!$G$216</definedName>
    <definedName name="P_OFERTA" localSheetId="37">OFERTA!$G$216</definedName>
    <definedName name="P_OFERTA" localSheetId="38">OFERTA!$G$216</definedName>
    <definedName name="P_OFERTA" localSheetId="39">OFERTA!$G$216</definedName>
    <definedName name="P_OFERTA" localSheetId="40">OFERTA!$G$216</definedName>
    <definedName name="P_OFERTA" localSheetId="41">OFERTA!$G$216</definedName>
    <definedName name="P_OFERTA" localSheetId="42">OFERTA!$G$216</definedName>
    <definedName name="P_OFERTA" localSheetId="16">OFERTA!$G$216</definedName>
    <definedName name="P_OFERTA" localSheetId="43">OFERTA!$G$216</definedName>
    <definedName name="P_OFERTA" localSheetId="44">OFERTA!$G$216</definedName>
    <definedName name="P_OFERTA" localSheetId="45">OFERTA!$G$216</definedName>
    <definedName name="P_OFERTA" localSheetId="46">OFERTA!$G$216</definedName>
    <definedName name="P_OFERTA" localSheetId="47">OFERTA!$G$216</definedName>
    <definedName name="P_OFERTA" localSheetId="48">OFERTA!$G$216</definedName>
    <definedName name="P_OFERTA" localSheetId="49">OFERTA!$G$216</definedName>
    <definedName name="P_OFERTA" localSheetId="50">OFERTA!$G$216</definedName>
    <definedName name="P_OFERTA" localSheetId="51">OFERTA!$G$216</definedName>
    <definedName name="P_OFERTA" localSheetId="52">OFERTA!$G$216</definedName>
    <definedName name="P_OFERTA" localSheetId="17">OFERTA!$G$216</definedName>
    <definedName name="P_OFERTA" localSheetId="53">OFERTA!$G$216</definedName>
    <definedName name="P_OFERTA" localSheetId="54">OFERTA!$G$216</definedName>
    <definedName name="P_OFERTA" localSheetId="55">OFERTA!$G$216</definedName>
    <definedName name="P_OFERTA" localSheetId="56">OFERTA!$G$216</definedName>
    <definedName name="P_OFERTA" localSheetId="57">OFERTA!$G$216</definedName>
    <definedName name="P_OFERTA" localSheetId="58">OFERTA!$G$216</definedName>
    <definedName name="P_OFERTA" localSheetId="59">OFERTA!$G$216</definedName>
    <definedName name="P_OFERTA" localSheetId="60">OFERTA!$G$216</definedName>
    <definedName name="P_OFERTA" localSheetId="61">OFERTA!$G$216</definedName>
    <definedName name="P_OFERTA" localSheetId="62">OFERTA!$G$216</definedName>
    <definedName name="P_OFERTA" localSheetId="18">OFERTA!$G$216</definedName>
    <definedName name="P_OFERTA" localSheetId="63">OFERTA!$G$216</definedName>
    <definedName name="P_OFERTA" localSheetId="64">OFERTA!$G$216</definedName>
    <definedName name="P_OFERTA" localSheetId="65">OFERTA!$G$216</definedName>
    <definedName name="P_OFERTA" localSheetId="66">OFERTA!$G$216</definedName>
    <definedName name="P_OFERTA" localSheetId="67">OFERTA!$G$216</definedName>
    <definedName name="P_OFERTA" localSheetId="68">OFERTA!$G$216</definedName>
    <definedName name="P_OFERTA" localSheetId="69">OFERTA!$G$216</definedName>
    <definedName name="P_OFERTA" localSheetId="70">OFERTA!$G$216</definedName>
    <definedName name="P_OFERTA" localSheetId="71">OFERTA!$G$216</definedName>
    <definedName name="P_OFERTA" localSheetId="72">OFERTA!$G$216</definedName>
    <definedName name="P_OFERTA" localSheetId="19">OFERTA!$G$216</definedName>
    <definedName name="P_OFERTA" localSheetId="73">OFERTA!$G$216</definedName>
    <definedName name="P_OFERTA" localSheetId="74">OFERTA!$G$216</definedName>
    <definedName name="P_OFERTA" localSheetId="75">OFERTA!$G$216</definedName>
    <definedName name="P_OFERTA" localSheetId="76">OFERTA!$G$216</definedName>
    <definedName name="P_OFERTA" localSheetId="77">OFERTA!$G$216</definedName>
    <definedName name="P_OFERTA" localSheetId="78">OFERTA!$G$216</definedName>
    <definedName name="P_OFERTA" localSheetId="79">OFERTA!$G$216</definedName>
    <definedName name="P_OFERTA" localSheetId="80">OFERTA!$G$216</definedName>
    <definedName name="P_OFERTA" localSheetId="81">OFERTA!$G$216</definedName>
    <definedName name="P_OFERTA" localSheetId="82">OFERTA!$G$216</definedName>
    <definedName name="P_OFERTA" localSheetId="20">OFERTA!$G$216</definedName>
    <definedName name="P_OFERTA" localSheetId="83">OFERTA!$G$216</definedName>
    <definedName name="P_OFERTA" localSheetId="84">OFERTA!$G$216</definedName>
    <definedName name="P_OFERTA" localSheetId="85">OFERTA!$G$216</definedName>
    <definedName name="P_OFERTA" localSheetId="86">OFERTA!$G$216</definedName>
    <definedName name="P_OFERTA" localSheetId="87">OFERTA!$G$216</definedName>
    <definedName name="P_OFERTA" localSheetId="88">OFERTA!$G$216</definedName>
    <definedName name="P_OFERTA" localSheetId="89">OFERTA!$G$216</definedName>
    <definedName name="P_OFERTA" localSheetId="90">OFERTA!$G$216</definedName>
    <definedName name="P_OFERTA" localSheetId="91">OFERTA!$G$216</definedName>
    <definedName name="P_OFERTA" localSheetId="92">OFERTA!$G$216</definedName>
    <definedName name="P_OFERTA" localSheetId="21">OFERTA!$G$216</definedName>
    <definedName name="P_OFERTA" localSheetId="93">OFERTA!$G$216</definedName>
    <definedName name="P_OFERTA" localSheetId="22">OFERTA!$G$216</definedName>
    <definedName name="P_OFERTA">OFERTA!$G$216</definedName>
    <definedName name="PAIS">'PORTADA '!$E$6</definedName>
    <definedName name="PaNel">1</definedName>
    <definedName name="PORCENTAJE_INCIDENCIA">TABLAS!$B$46</definedName>
    <definedName name="PORCENTAJE_INCIDENCIA_ITEM">#REF!</definedName>
    <definedName name="PORCENTAJE_UTILIDAD_PROYECTADA">DASH!$C$14</definedName>
    <definedName name="_xlnm.Print_Area" localSheetId="1">DASH!$A$1:$Q$161</definedName>
    <definedName name="_xlnm.Print_Area" localSheetId="5">'FACTOR PRESTACIONAL'!$A$1:$Q$90</definedName>
    <definedName name="_xlnm.Print_Area" localSheetId="7">MATERIALES!$A$1:$L$244</definedName>
    <definedName name="_xlnm.Print_Area" localSheetId="3">OFERTA!$A$1:$XFA$228</definedName>
    <definedName name="RESULTADO_PROYECTADO">DASH!$C$13</definedName>
    <definedName name="SALARIO_MINIMO_CLP">'MANO DE OBRA '!$B$1</definedName>
    <definedName name="SegmentaciónDeDatos_CAPITULO">#N/A</definedName>
    <definedName name="SegmentaciónDeDatos_CAPITULO1">#N/A</definedName>
    <definedName name="SegmentaciónDeDatos_ITEM">#N/A</definedName>
    <definedName name="SegmentaciónDeDatos_ITEM2">#N/A</definedName>
    <definedName name="Sub_eq1" localSheetId="8">'ADMINISTRACION ELECTRICA'!$H$54</definedName>
    <definedName name="Sub_eq1" localSheetId="9">'ADMINISTRACION MECANICA '!$H$59</definedName>
    <definedName name="Sub_eq1">'ADMINISTRACION GENERAL TUPEY'!$H$59</definedName>
    <definedName name="Sub_eq10" localSheetId="8">'ADMINISTRACION ELECTRICA'!$CS$54</definedName>
    <definedName name="Sub_eq10" localSheetId="9">'ADMINISTRACION MECANICA '!$CS$59</definedName>
    <definedName name="Sub_eq10">'ADMINISTRACION GENERAL TUPEY'!$CS$59</definedName>
    <definedName name="Sub_eq11" localSheetId="8">'ADMINISTRACION ELECTRICA'!$DC$54</definedName>
    <definedName name="Sub_eq11" localSheetId="9">'ADMINISTRACION MECANICA '!$DC$59</definedName>
    <definedName name="Sub_eq11">'ADMINISTRACION GENERAL TUPEY'!$DC$59</definedName>
    <definedName name="Sub_eq12" localSheetId="8">'ADMINISTRACION ELECTRICA'!$DM$54</definedName>
    <definedName name="Sub_eq12" localSheetId="9">'ADMINISTRACION MECANICA '!$DM$59</definedName>
    <definedName name="Sub_eq12">'ADMINISTRACION GENERAL TUPEY'!$DM$59</definedName>
    <definedName name="Sub_eq13" localSheetId="8">'ADMINISTRACION ELECTRICA'!$DW$54</definedName>
    <definedName name="Sub_eq13" localSheetId="9">'ADMINISTRACION MECANICA '!$DW$59</definedName>
    <definedName name="Sub_eq13">'ADMINISTRACION GENERAL TUPEY'!$DW$59</definedName>
    <definedName name="Sub_eq14" localSheetId="8">'ADMINISTRACION ELECTRICA'!$EG$54</definedName>
    <definedName name="Sub_eq14" localSheetId="9">'ADMINISTRACION MECANICA '!$EG$59</definedName>
    <definedName name="Sub_eq14">'ADMINISTRACION GENERAL TUPEY'!$EG$59</definedName>
    <definedName name="Sub_eq15" localSheetId="8">'ADMINISTRACION ELECTRICA'!$EQ$54</definedName>
    <definedName name="Sub_eq15" localSheetId="9">'ADMINISTRACION MECANICA '!$EQ$59</definedName>
    <definedName name="Sub_eq15">'ADMINISTRACION GENERAL TUPEY'!$EQ$59</definedName>
    <definedName name="Sub_eq16" localSheetId="8">'ADMINISTRACION ELECTRICA'!$FA$54</definedName>
    <definedName name="Sub_eq16" localSheetId="9">'ADMINISTRACION MECANICA '!$FA$59</definedName>
    <definedName name="Sub_eq16">'ADMINISTRACION GENERAL TUPEY'!$FA$59</definedName>
    <definedName name="Sub_eq17" localSheetId="8">'ADMINISTRACION ELECTRICA'!$FK$54</definedName>
    <definedName name="Sub_eq17" localSheetId="9">'ADMINISTRACION MECANICA '!$FK$59</definedName>
    <definedName name="Sub_eq17">'ADMINISTRACION GENERAL TUPEY'!$FK$59</definedName>
    <definedName name="Sub_eq18" localSheetId="8">'ADMINISTRACION ELECTRICA'!$FU$54</definedName>
    <definedName name="Sub_eq18" localSheetId="9">'ADMINISTRACION MECANICA '!$FU$59</definedName>
    <definedName name="Sub_eq18">'ADMINISTRACION GENERAL TUPEY'!$FU$59</definedName>
    <definedName name="Sub_eq2" localSheetId="8">'ADMINISTRACION ELECTRICA'!$R$56</definedName>
    <definedName name="Sub_eq2" localSheetId="9">'ADMINISTRACION MECANICA '!$R$63</definedName>
    <definedName name="Sub_eq2">'ADMINISTRACION GENERAL TUPEY'!$R$63</definedName>
    <definedName name="Sub_eq3" localSheetId="8">'ADMINISTRACION ELECTRICA'!$AB$56</definedName>
    <definedName name="Sub_eq3" localSheetId="9">'ADMINISTRACION MECANICA '!$AB$63</definedName>
    <definedName name="Sub_eq3">'ADMINISTRACION GENERAL TUPEY'!$AB$63</definedName>
    <definedName name="Sub_eq4" localSheetId="8">'ADMINISTRACION ELECTRICA'!$AK$56</definedName>
    <definedName name="Sub_eq4" localSheetId="9">'ADMINISTRACION MECANICA '!$AK$63</definedName>
    <definedName name="Sub_eq4">'ADMINISTRACION GENERAL TUPEY'!$AK$63</definedName>
    <definedName name="Sub_eq5" localSheetId="8">'ADMINISTRACION ELECTRICA'!$AU$54</definedName>
    <definedName name="Sub_eq5" localSheetId="9">'ADMINISTRACION MECANICA '!$AU$59</definedName>
    <definedName name="Sub_eq5">'ADMINISTRACION GENERAL TUPEY'!$AU$59</definedName>
    <definedName name="Sub_eq6" localSheetId="8">'ADMINISTRACION ELECTRICA'!$BE$54</definedName>
    <definedName name="Sub_eq6" localSheetId="9">'ADMINISTRACION MECANICA '!$BE$59</definedName>
    <definedName name="Sub_eq6">'ADMINISTRACION GENERAL TUPEY'!$BE$59</definedName>
    <definedName name="Sub_eq7" localSheetId="8">'ADMINISTRACION ELECTRICA'!$BO$54</definedName>
    <definedName name="Sub_eq7" localSheetId="9">'ADMINISTRACION MECANICA '!$BO$59</definedName>
    <definedName name="Sub_eq7">'ADMINISTRACION GENERAL TUPEY'!$BO$59</definedName>
    <definedName name="Sub_eq8" localSheetId="8">'ADMINISTRACION ELECTRICA'!$BY$54</definedName>
    <definedName name="Sub_eq8" localSheetId="9">'ADMINISTRACION MECANICA '!$BY$59</definedName>
    <definedName name="Sub_eq8">'ADMINISTRACION GENERAL TUPEY'!$BY$59</definedName>
    <definedName name="Sub_eq9" localSheetId="8">'ADMINISTRACION ELECTRICA'!$CI$54</definedName>
    <definedName name="Sub_eq9" localSheetId="9">'ADMINISTRACION MECANICA '!$CI$59</definedName>
    <definedName name="Sub_eq9">'ADMINISTRACION GENERAL TUPEY'!$CI$59</definedName>
    <definedName name="Sub_pe1" localSheetId="8">'ADMINISTRACION ELECTRICA'!$G$31</definedName>
    <definedName name="Sub_pe1" localSheetId="9">'ADMINISTRACION MECANICA '!$G$35</definedName>
    <definedName name="Sub_pe1">'ADMINISTRACION GENERAL TUPEY'!$G$35</definedName>
    <definedName name="Sub_pe10" localSheetId="8">'ADMINISTRACION ELECTRICA'!$CR$31</definedName>
    <definedName name="Sub_pe10" localSheetId="9">'ADMINISTRACION MECANICA '!$CR$35</definedName>
    <definedName name="Sub_pe10">'ADMINISTRACION GENERAL TUPEY'!$CR$35</definedName>
    <definedName name="Sub_pe11" localSheetId="8">'ADMINISTRACION ELECTRICA'!$DB$31</definedName>
    <definedName name="Sub_pe11" localSheetId="9">'ADMINISTRACION MECANICA '!$DB$35</definedName>
    <definedName name="Sub_pe11">'ADMINISTRACION GENERAL TUPEY'!$DB$35</definedName>
    <definedName name="Sub_pe12" localSheetId="8">'ADMINISTRACION ELECTRICA'!$DL$31</definedName>
    <definedName name="Sub_pe12" localSheetId="9">'ADMINISTRACION MECANICA '!$DL$35</definedName>
    <definedName name="Sub_pe12">'ADMINISTRACION GENERAL TUPEY'!$DL$35</definedName>
    <definedName name="Sub_pe13" localSheetId="8">'ADMINISTRACION ELECTRICA'!$DV$31</definedName>
    <definedName name="Sub_pe13" localSheetId="9">'ADMINISTRACION MECANICA '!$DV$35</definedName>
    <definedName name="Sub_pe13">'ADMINISTRACION GENERAL TUPEY'!$DV$35</definedName>
    <definedName name="Sub_pe14" localSheetId="8">'ADMINISTRACION ELECTRICA'!$EF$31</definedName>
    <definedName name="Sub_pe14" localSheetId="9">'ADMINISTRACION MECANICA '!$EF$35</definedName>
    <definedName name="Sub_pe14">'ADMINISTRACION GENERAL TUPEY'!$EF$35</definedName>
    <definedName name="Sub_pe15" localSheetId="8">'ADMINISTRACION ELECTRICA'!$EP$31</definedName>
    <definedName name="Sub_pe15" localSheetId="9">'ADMINISTRACION MECANICA '!$EP$35</definedName>
    <definedName name="Sub_pe15">'ADMINISTRACION GENERAL TUPEY'!$EP$35</definedName>
    <definedName name="Sub_pe16" localSheetId="8">'ADMINISTRACION ELECTRICA'!$EZ$31</definedName>
    <definedName name="Sub_pe16" localSheetId="9">'ADMINISTRACION MECANICA '!$EZ$35</definedName>
    <definedName name="Sub_pe16">'ADMINISTRACION GENERAL TUPEY'!$EZ$35</definedName>
    <definedName name="Sub_pe17" localSheetId="8">'ADMINISTRACION ELECTRICA'!$FJ$31</definedName>
    <definedName name="Sub_pe17" localSheetId="9">'ADMINISTRACION MECANICA '!$FJ$35</definedName>
    <definedName name="Sub_pe17">'ADMINISTRACION GENERAL TUPEY'!$FJ$35</definedName>
    <definedName name="Sub_pe18" localSheetId="8">'ADMINISTRACION ELECTRICA'!$FT$31</definedName>
    <definedName name="Sub_pe18" localSheetId="9">'ADMINISTRACION MECANICA '!$FT$35</definedName>
    <definedName name="Sub_pe18">'ADMINISTRACION GENERAL TUPEY'!$FT$35</definedName>
    <definedName name="Sub_pe2" localSheetId="8">'ADMINISTRACION ELECTRICA'!$Q$31</definedName>
    <definedName name="Sub_pe2" localSheetId="9">'ADMINISTRACION MECANICA '!$Q$35</definedName>
    <definedName name="Sub_pe2">'ADMINISTRACION GENERAL TUPEY'!$Q$35</definedName>
    <definedName name="Sub_pe3" localSheetId="8">'ADMINISTRACION ELECTRICA'!$AA$31</definedName>
    <definedName name="Sub_pe3" localSheetId="9">'ADMINISTRACION MECANICA '!$AA$35</definedName>
    <definedName name="Sub_pe3">'ADMINISTRACION GENERAL TUPEY'!$AA$35</definedName>
    <definedName name="Sub_pe4" localSheetId="8">'ADMINISTRACION ELECTRICA'!$AJ$31</definedName>
    <definedName name="Sub_pe4" localSheetId="9">'ADMINISTRACION MECANICA '!$AJ$35</definedName>
    <definedName name="Sub_pe4">'ADMINISTRACION GENERAL TUPEY'!$AJ$35</definedName>
    <definedName name="Sub_pe5" localSheetId="8">'ADMINISTRACION ELECTRICA'!$AT$31</definedName>
    <definedName name="Sub_pe5" localSheetId="9">'ADMINISTRACION MECANICA '!$AT$35</definedName>
    <definedName name="Sub_pe5">'ADMINISTRACION GENERAL TUPEY'!$AT$35</definedName>
    <definedName name="Sub_pe6" localSheetId="8">'ADMINISTRACION ELECTRICA'!$BD$31</definedName>
    <definedName name="Sub_pe6" localSheetId="9">'ADMINISTRACION MECANICA '!$BD$35</definedName>
    <definedName name="Sub_pe6">'ADMINISTRACION GENERAL TUPEY'!$BD$35</definedName>
    <definedName name="Sub_pe7" localSheetId="8">'ADMINISTRACION ELECTRICA'!$BN$31</definedName>
    <definedName name="Sub_pe7" localSheetId="9">'ADMINISTRACION MECANICA '!$BN$35</definedName>
    <definedName name="Sub_pe7">'ADMINISTRACION GENERAL TUPEY'!$BN$35</definedName>
    <definedName name="Sub_pe8" localSheetId="8">'ADMINISTRACION ELECTRICA'!$BX$31</definedName>
    <definedName name="Sub_pe8" localSheetId="9">'ADMINISTRACION MECANICA '!$BX$35</definedName>
    <definedName name="Sub_pe8">'ADMINISTRACION GENERAL TUPEY'!$BX$35</definedName>
    <definedName name="Sub_pe9" localSheetId="8">'ADMINISTRACION ELECTRICA'!$CH$31</definedName>
    <definedName name="Sub_pe9" localSheetId="9">'ADMINISTRACION MECANICA '!$CH$35</definedName>
    <definedName name="Sub_pe9">'ADMINISTRACION GENERAL TUPEY'!$CH$35</definedName>
    <definedName name="Sub_trans1" localSheetId="8">'ADMINISTRACION ELECTRICA'!$F$62</definedName>
    <definedName name="Sub_trans1" localSheetId="9">'ADMINISTRACION MECANICA '!$F$67</definedName>
    <definedName name="Sub_trans1">'ADMINISTRACION GENERAL TUPEY'!$F$67</definedName>
    <definedName name="Sub_trans10" localSheetId="8">'ADMINISTRACION ELECTRICA'!$CQ$62</definedName>
    <definedName name="Sub_trans10" localSheetId="9">'ADMINISTRACION MECANICA '!$CQ$67</definedName>
    <definedName name="Sub_trans10">'ADMINISTRACION GENERAL TUPEY'!$CQ$67</definedName>
    <definedName name="Sub_trans11" localSheetId="8">'ADMINISTRACION ELECTRICA'!$DA$62</definedName>
    <definedName name="Sub_trans11" localSheetId="9">'ADMINISTRACION MECANICA '!$DA$67</definedName>
    <definedName name="Sub_trans11">'ADMINISTRACION GENERAL TUPEY'!$DA$67</definedName>
    <definedName name="Sub_trans12" localSheetId="8">'ADMINISTRACION ELECTRICA'!$DK$62</definedName>
    <definedName name="Sub_trans12" localSheetId="9">'ADMINISTRACION MECANICA '!$DK$67</definedName>
    <definedName name="Sub_trans12">'ADMINISTRACION GENERAL TUPEY'!$DK$67</definedName>
    <definedName name="Sub_trans13" localSheetId="8">'ADMINISTRACION ELECTRICA'!$DU$62</definedName>
    <definedName name="Sub_trans13" localSheetId="9">'ADMINISTRACION MECANICA '!$DU$67</definedName>
    <definedName name="Sub_trans13">'ADMINISTRACION GENERAL TUPEY'!$DU$67</definedName>
    <definedName name="Sub_trans14" localSheetId="8">'ADMINISTRACION ELECTRICA'!$EE$62</definedName>
    <definedName name="Sub_trans14" localSheetId="9">'ADMINISTRACION MECANICA '!$EE$67</definedName>
    <definedName name="Sub_trans14">'ADMINISTRACION GENERAL TUPEY'!$EE$67</definedName>
    <definedName name="Sub_trans15" localSheetId="8">'ADMINISTRACION ELECTRICA'!$EO$62</definedName>
    <definedName name="Sub_trans15" localSheetId="9">'ADMINISTRACION MECANICA '!$EO$67</definedName>
    <definedName name="Sub_trans15">'ADMINISTRACION GENERAL TUPEY'!$EO$67</definedName>
    <definedName name="Sub_trans16" localSheetId="8">'ADMINISTRACION ELECTRICA'!$EY$62</definedName>
    <definedName name="Sub_trans16" localSheetId="9">'ADMINISTRACION MECANICA '!$EY$67</definedName>
    <definedName name="Sub_trans16">'ADMINISTRACION GENERAL TUPEY'!$EY$67</definedName>
    <definedName name="Sub_trans17" localSheetId="8">'ADMINISTRACION ELECTRICA'!$FI$62</definedName>
    <definedName name="Sub_trans17" localSheetId="9">'ADMINISTRACION MECANICA '!$FI$67</definedName>
    <definedName name="Sub_trans17">'ADMINISTRACION GENERAL TUPEY'!$FI$67</definedName>
    <definedName name="Sub_trans18" localSheetId="8">'ADMINISTRACION ELECTRICA'!$FS$62</definedName>
    <definedName name="Sub_trans18" localSheetId="9">'ADMINISTRACION MECANICA '!$FS$67</definedName>
    <definedName name="Sub_trans18">'ADMINISTRACION GENERAL TUPEY'!$FS$67</definedName>
    <definedName name="Sub_trans2" localSheetId="8">'ADMINISTRACION ELECTRICA'!$P$64</definedName>
    <definedName name="Sub_trans2" localSheetId="9">'ADMINISTRACION MECANICA '!$P$71</definedName>
    <definedName name="Sub_trans2">'ADMINISTRACION GENERAL TUPEY'!$P$71</definedName>
    <definedName name="Sub_trans3" localSheetId="8">'ADMINISTRACION ELECTRICA'!$Z$64</definedName>
    <definedName name="Sub_trans3" localSheetId="9">'ADMINISTRACION MECANICA '!$Z$71</definedName>
    <definedName name="Sub_trans3">'ADMINISTRACION GENERAL TUPEY'!$Z$71</definedName>
    <definedName name="Sub_trans4" localSheetId="8">'ADMINISTRACION ELECTRICA'!$AI$64</definedName>
    <definedName name="Sub_trans4" localSheetId="9">'ADMINISTRACION MECANICA '!$AI$71</definedName>
    <definedName name="Sub_trans4">'ADMINISTRACION GENERAL TUPEY'!$AI$71</definedName>
    <definedName name="Sub_trans5" localSheetId="8">'ADMINISTRACION ELECTRICA'!$AS$62</definedName>
    <definedName name="Sub_trans5" localSheetId="9">'ADMINISTRACION MECANICA '!$AS$67</definedName>
    <definedName name="Sub_trans5">'ADMINISTRACION GENERAL TUPEY'!$AS$67</definedName>
    <definedName name="Sub_trans6" localSheetId="8">'ADMINISTRACION ELECTRICA'!$BC$62</definedName>
    <definedName name="Sub_trans6" localSheetId="9">'ADMINISTRACION MECANICA '!$BC$67</definedName>
    <definedName name="Sub_trans6">'ADMINISTRACION GENERAL TUPEY'!$BC$67</definedName>
    <definedName name="Sub_trans7" localSheetId="8">'ADMINISTRACION ELECTRICA'!$BM$62</definedName>
    <definedName name="Sub_trans7" localSheetId="9">'ADMINISTRACION MECANICA '!$BM$67</definedName>
    <definedName name="Sub_trans7">'ADMINISTRACION GENERAL TUPEY'!$BM$67</definedName>
    <definedName name="Sub_trans8" localSheetId="8">'ADMINISTRACION ELECTRICA'!$BW$62</definedName>
    <definedName name="Sub_trans8" localSheetId="9">'ADMINISTRACION MECANICA '!$BW$67</definedName>
    <definedName name="Sub_trans8">'ADMINISTRACION GENERAL TUPEY'!$BW$67</definedName>
    <definedName name="Sub_trans9" localSheetId="8">'ADMINISTRACION ELECTRICA'!$CG$62</definedName>
    <definedName name="Sub_trans9" localSheetId="9">'ADMINISTRACION MECANICA '!$CG$67</definedName>
    <definedName name="Sub_trans9">'ADMINISTRACION GENERAL TUPEY'!$CG$67</definedName>
    <definedName name="Subpe1" localSheetId="8">'ADMINISTRACION ELECTRICA'!$G$31</definedName>
    <definedName name="Subpe1" localSheetId="9">'ADMINISTRACION MECANICA '!$G$35</definedName>
    <definedName name="Subpe1">'ADMINISTRACION GENERAL TUPEY'!$G$35</definedName>
    <definedName name="T_MANODEOBRA" localSheetId="14">Tabla2[#All]</definedName>
    <definedName name="T_MANODEOBRA" localSheetId="23">Tabla2[#All]</definedName>
    <definedName name="T_MANODEOBRA" localSheetId="24">Tabla2[#All]</definedName>
    <definedName name="T_MANODEOBRA" localSheetId="25">Tabla2[#All]</definedName>
    <definedName name="T_MANODEOBRA" localSheetId="26">Tabla2[#All]</definedName>
    <definedName name="T_MANODEOBRA" localSheetId="27">Tabla2[#All]</definedName>
    <definedName name="T_MANODEOBRA" localSheetId="28">Tabla2[#All]</definedName>
    <definedName name="T_MANODEOBRA" localSheetId="29">Tabla2[#All]</definedName>
    <definedName name="T_MANODEOBRA" localSheetId="30">Tabla2[#All]</definedName>
    <definedName name="T_MANODEOBRA" localSheetId="31">Tabla2[#All]</definedName>
    <definedName name="T_MANODEOBRA" localSheetId="32">Tabla2[#All]</definedName>
    <definedName name="T_MANODEOBRA" localSheetId="15">Tabla2[#All]</definedName>
    <definedName name="T_MANODEOBRA" localSheetId="33">Tabla2[#All]</definedName>
    <definedName name="T_MANODEOBRA" localSheetId="34">Tabla2[#All]</definedName>
    <definedName name="T_MANODEOBRA" localSheetId="35">Tabla2[#All]</definedName>
    <definedName name="T_MANODEOBRA" localSheetId="36">Tabla2[#All]</definedName>
    <definedName name="T_MANODEOBRA" localSheetId="37">Tabla2[#All]</definedName>
    <definedName name="T_MANODEOBRA" localSheetId="38">Tabla2[#All]</definedName>
    <definedName name="T_MANODEOBRA" localSheetId="39">Tabla2[#All]</definedName>
    <definedName name="T_MANODEOBRA" localSheetId="40">Tabla2[#All]</definedName>
    <definedName name="T_MANODEOBRA" localSheetId="41">Tabla2[#All]</definedName>
    <definedName name="T_MANODEOBRA" localSheetId="42">Tabla2[#All]</definedName>
    <definedName name="T_MANODEOBRA" localSheetId="16">Tabla2[#All]</definedName>
    <definedName name="T_MANODEOBRA" localSheetId="43">Tabla2[#All]</definedName>
    <definedName name="T_MANODEOBRA" localSheetId="44">Tabla2[#All]</definedName>
    <definedName name="T_MANODEOBRA" localSheetId="45">Tabla2[#All]</definedName>
    <definedName name="T_MANODEOBRA" localSheetId="46">Tabla2[#All]</definedName>
    <definedName name="T_MANODEOBRA" localSheetId="47">Tabla2[#All]</definedName>
    <definedName name="T_MANODEOBRA" localSheetId="48">Tabla2[#All]</definedName>
    <definedName name="T_MANODEOBRA" localSheetId="49">Tabla2[#All]</definedName>
    <definedName name="T_MANODEOBRA" localSheetId="50">Tabla2[#All]</definedName>
    <definedName name="T_MANODEOBRA" localSheetId="51">Tabla2[#All]</definedName>
    <definedName name="T_MANODEOBRA" localSheetId="52">Tabla2[#All]</definedName>
    <definedName name="T_MANODEOBRA" localSheetId="17">Tabla2[#All]</definedName>
    <definedName name="T_MANODEOBRA" localSheetId="53">Tabla2[#All]</definedName>
    <definedName name="T_MANODEOBRA" localSheetId="54">Tabla2[#All]</definedName>
    <definedName name="T_MANODEOBRA" localSheetId="55">Tabla2[#All]</definedName>
    <definedName name="T_MANODEOBRA" localSheetId="56">Tabla2[#All]</definedName>
    <definedName name="T_MANODEOBRA" localSheetId="57">Tabla2[#All]</definedName>
    <definedName name="T_MANODEOBRA" localSheetId="58">Tabla2[#All]</definedName>
    <definedName name="T_MANODEOBRA" localSheetId="59">Tabla2[#All]</definedName>
    <definedName name="T_MANODEOBRA" localSheetId="60">Tabla2[#All]</definedName>
    <definedName name="T_MANODEOBRA" localSheetId="61">Tabla2[#All]</definedName>
    <definedName name="T_MANODEOBRA" localSheetId="62">Tabla2[#All]</definedName>
    <definedName name="T_MANODEOBRA" localSheetId="18">Tabla2[#All]</definedName>
    <definedName name="T_MANODEOBRA" localSheetId="63">Tabla2[#All]</definedName>
    <definedName name="T_MANODEOBRA" localSheetId="64">Tabla2[#All]</definedName>
    <definedName name="T_MANODEOBRA" localSheetId="65">Tabla2[#All]</definedName>
    <definedName name="T_MANODEOBRA" localSheetId="66">Tabla2[#All]</definedName>
    <definedName name="T_MANODEOBRA" localSheetId="67">Tabla2[#All]</definedName>
    <definedName name="T_MANODEOBRA" localSheetId="68">Tabla2[#All]</definedName>
    <definedName name="T_MANODEOBRA" localSheetId="69">Tabla2[#All]</definedName>
    <definedName name="T_MANODEOBRA" localSheetId="70">Tabla2[#All]</definedName>
    <definedName name="T_MANODEOBRA" localSheetId="71">Tabla2[#All]</definedName>
    <definedName name="T_MANODEOBRA" localSheetId="72">Tabla2[#All]</definedName>
    <definedName name="T_MANODEOBRA" localSheetId="19">Tabla2[#All]</definedName>
    <definedName name="T_MANODEOBRA" localSheetId="73">Tabla2[#All]</definedName>
    <definedName name="T_MANODEOBRA" localSheetId="74">Tabla2[#All]</definedName>
    <definedName name="T_MANODEOBRA" localSheetId="75">Tabla2[#All]</definedName>
    <definedName name="T_MANODEOBRA" localSheetId="76">Tabla2[#All]</definedName>
    <definedName name="T_MANODEOBRA" localSheetId="77">Tabla2[#All]</definedName>
    <definedName name="T_MANODEOBRA" localSheetId="78">Tabla2[#All]</definedName>
    <definedName name="T_MANODEOBRA" localSheetId="79">Tabla2[#All]</definedName>
    <definedName name="T_MANODEOBRA" localSheetId="80">Tabla2[#All]</definedName>
    <definedName name="T_MANODEOBRA" localSheetId="81">Tabla2[#All]</definedName>
    <definedName name="T_MANODEOBRA" localSheetId="82">Tabla2[#All]</definedName>
    <definedName name="T_MANODEOBRA" localSheetId="20">Tabla2[#All]</definedName>
    <definedName name="T_MANODEOBRA" localSheetId="83">Tabla2[#All]</definedName>
    <definedName name="T_MANODEOBRA" localSheetId="84">Tabla2[#All]</definedName>
    <definedName name="T_MANODEOBRA" localSheetId="85">Tabla2[#All]</definedName>
    <definedName name="T_MANODEOBRA" localSheetId="86">Tabla2[#All]</definedName>
    <definedName name="T_MANODEOBRA" localSheetId="87">Tabla2[#All]</definedName>
    <definedName name="T_MANODEOBRA" localSheetId="88">Tabla2[#All]</definedName>
    <definedName name="T_MANODEOBRA" localSheetId="89">Tabla2[#All]</definedName>
    <definedName name="T_MANODEOBRA" localSheetId="90">Tabla2[#All]</definedName>
    <definedName name="T_MANODEOBRA" localSheetId="91">Tabla2[#All]</definedName>
    <definedName name="T_MANODEOBRA" localSheetId="92">Tabla2[#All]</definedName>
    <definedName name="T_MANODEOBRA" localSheetId="21">Tabla2[#All]</definedName>
    <definedName name="T_MANODEOBRA" localSheetId="93">Tabla2[#All]</definedName>
    <definedName name="T_MANODEOBRA" localSheetId="22">Tabla2[#All]</definedName>
    <definedName name="T_MANODEOBRA" localSheetId="8">Tabla2[#All]</definedName>
    <definedName name="T_MANODEOBRA" localSheetId="9">Tabla2[#All]</definedName>
    <definedName name="T_MANODEOBRA">Tabla2[#All]</definedName>
    <definedName name="T_MAQUINARIA" localSheetId="14">Tabla1[#All]</definedName>
    <definedName name="T_MAQUINARIA" localSheetId="23">Tabla1[#All]</definedName>
    <definedName name="T_MAQUINARIA" localSheetId="24">Tabla1[#All]</definedName>
    <definedName name="T_MAQUINARIA" localSheetId="25">Tabla1[#All]</definedName>
    <definedName name="T_MAQUINARIA" localSheetId="26">Tabla1[#All]</definedName>
    <definedName name="T_MAQUINARIA" localSheetId="27">Tabla1[#All]</definedName>
    <definedName name="T_MAQUINARIA" localSheetId="28">Tabla1[#All]</definedName>
    <definedName name="T_MAQUINARIA" localSheetId="29">Tabla1[#All]</definedName>
    <definedName name="T_MAQUINARIA" localSheetId="30">Tabla1[#All]</definedName>
    <definedName name="T_MAQUINARIA" localSheetId="31">Tabla1[#All]</definedName>
    <definedName name="T_MAQUINARIA" localSheetId="32">Tabla1[#All]</definedName>
    <definedName name="T_MAQUINARIA" localSheetId="15">Tabla1[#All]</definedName>
    <definedName name="T_MAQUINARIA" localSheetId="33">Tabla1[#All]</definedName>
    <definedName name="T_MAQUINARIA" localSheetId="34">Tabla1[#All]</definedName>
    <definedName name="T_MAQUINARIA" localSheetId="35">Tabla1[#All]</definedName>
    <definedName name="T_MAQUINARIA" localSheetId="36">Tabla1[#All]</definedName>
    <definedName name="T_MAQUINARIA" localSheetId="37">Tabla1[#All]</definedName>
    <definedName name="T_MAQUINARIA" localSheetId="38">Tabla1[#All]</definedName>
    <definedName name="T_MAQUINARIA" localSheetId="39">Tabla1[#All]</definedName>
    <definedName name="T_MAQUINARIA" localSheetId="40">Tabla1[#All]</definedName>
    <definedName name="T_MAQUINARIA" localSheetId="41">Tabla1[#All]</definedName>
    <definedName name="T_MAQUINARIA" localSheetId="42">Tabla1[#All]</definedName>
    <definedName name="T_MAQUINARIA" localSheetId="16">Tabla1[#All]</definedName>
    <definedName name="T_MAQUINARIA" localSheetId="43">Tabla1[#All]</definedName>
    <definedName name="T_MAQUINARIA" localSheetId="44">Tabla1[#All]</definedName>
    <definedName name="T_MAQUINARIA" localSheetId="45">Tabla1[#All]</definedName>
    <definedName name="T_MAQUINARIA" localSheetId="46">Tabla1[#All]</definedName>
    <definedName name="T_MAQUINARIA" localSheetId="47">Tabla1[#All]</definedName>
    <definedName name="T_MAQUINARIA" localSheetId="48">Tabla1[#All]</definedName>
    <definedName name="T_MAQUINARIA" localSheetId="49">Tabla1[#All]</definedName>
    <definedName name="T_MAQUINARIA" localSheetId="50">Tabla1[#All]</definedName>
    <definedName name="T_MAQUINARIA" localSheetId="51">Tabla1[#All]</definedName>
    <definedName name="T_MAQUINARIA" localSheetId="52">Tabla1[#All]</definedName>
    <definedName name="T_MAQUINARIA" localSheetId="17">Tabla1[#All]</definedName>
    <definedName name="T_MAQUINARIA" localSheetId="53">Tabla1[#All]</definedName>
    <definedName name="T_MAQUINARIA" localSheetId="54">Tabla1[#All]</definedName>
    <definedName name="T_MAQUINARIA" localSheetId="55">Tabla1[#All]</definedName>
    <definedName name="T_MAQUINARIA" localSheetId="56">Tabla1[#All]</definedName>
    <definedName name="T_MAQUINARIA" localSheetId="57">Tabla1[#All]</definedName>
    <definedName name="T_MAQUINARIA" localSheetId="58">Tabla1[#All]</definedName>
    <definedName name="T_MAQUINARIA" localSheetId="59">Tabla1[#All]</definedName>
    <definedName name="T_MAQUINARIA" localSheetId="60">Tabla1[#All]</definedName>
    <definedName name="T_MAQUINARIA" localSheetId="61">Tabla1[#All]</definedName>
    <definedName name="T_MAQUINARIA" localSheetId="62">Tabla1[#All]</definedName>
    <definedName name="T_MAQUINARIA" localSheetId="18">Tabla1[#All]</definedName>
    <definedName name="T_MAQUINARIA" localSheetId="63">Tabla1[#All]</definedName>
    <definedName name="T_MAQUINARIA" localSheetId="64">Tabla1[#All]</definedName>
    <definedName name="T_MAQUINARIA" localSheetId="65">Tabla1[#All]</definedName>
    <definedName name="T_MAQUINARIA" localSheetId="66">Tabla1[#All]</definedName>
    <definedName name="T_MAQUINARIA" localSheetId="67">Tabla1[#All]</definedName>
    <definedName name="T_MAQUINARIA" localSheetId="68">Tabla1[#All]</definedName>
    <definedName name="T_MAQUINARIA" localSheetId="69">Tabla1[#All]</definedName>
    <definedName name="T_MAQUINARIA" localSheetId="70">Tabla1[#All]</definedName>
    <definedName name="T_MAQUINARIA" localSheetId="71">Tabla1[#All]</definedName>
    <definedName name="T_MAQUINARIA" localSheetId="72">Tabla1[#All]</definedName>
    <definedName name="T_MAQUINARIA" localSheetId="19">Tabla1[#All]</definedName>
    <definedName name="T_MAQUINARIA" localSheetId="73">Tabla1[#All]</definedName>
    <definedName name="T_MAQUINARIA" localSheetId="74">Tabla1[#All]</definedName>
    <definedName name="T_MAQUINARIA" localSheetId="75">Tabla1[#All]</definedName>
    <definedName name="T_MAQUINARIA" localSheetId="76">Tabla1[#All]</definedName>
    <definedName name="T_MAQUINARIA" localSheetId="77">Tabla1[#All]</definedName>
    <definedName name="T_MAQUINARIA" localSheetId="78">Tabla1[#All]</definedName>
    <definedName name="T_MAQUINARIA" localSheetId="79">Tabla1[#All]</definedName>
    <definedName name="T_MAQUINARIA" localSheetId="80">Tabla1[#All]</definedName>
    <definedName name="T_MAQUINARIA" localSheetId="81">Tabla1[#All]</definedName>
    <definedName name="T_MAQUINARIA" localSheetId="82">Tabla1[#All]</definedName>
    <definedName name="T_MAQUINARIA" localSheetId="20">Tabla1[#All]</definedName>
    <definedName name="T_MAQUINARIA" localSheetId="83">Tabla1[#All]</definedName>
    <definedName name="T_MAQUINARIA" localSheetId="84">Tabla1[#All]</definedName>
    <definedName name="T_MAQUINARIA" localSheetId="85">Tabla1[#All]</definedName>
    <definedName name="T_MAQUINARIA" localSheetId="86">Tabla1[#All]</definedName>
    <definedName name="T_MAQUINARIA" localSheetId="87">Tabla1[#All]</definedName>
    <definedName name="T_MAQUINARIA" localSheetId="88">Tabla1[#All]</definedName>
    <definedName name="T_MAQUINARIA" localSheetId="89">Tabla1[#All]</definedName>
    <definedName name="T_MAQUINARIA" localSheetId="90">Tabla1[#All]</definedName>
    <definedName name="T_MAQUINARIA" localSheetId="91">Tabla1[#All]</definedName>
    <definedName name="T_MAQUINARIA" localSheetId="92">Tabla1[#All]</definedName>
    <definedName name="T_MAQUINARIA" localSheetId="21">Tabla1[#All]</definedName>
    <definedName name="T_MAQUINARIA" localSheetId="93">Tabla1[#All]</definedName>
    <definedName name="T_MAQUINARIA" localSheetId="22">Tabla1[#All]</definedName>
    <definedName name="T_MAQUINARIA" localSheetId="8">Tabla1[#All]</definedName>
    <definedName name="T_MAQUINARIA" localSheetId="9">Tabla1[#All]</definedName>
    <definedName name="T_MAQUINARIA">Tabla1[#All]</definedName>
    <definedName name="T_MATERIALES" localSheetId="14">Tabla4[#All]</definedName>
    <definedName name="T_MATERIALES" localSheetId="23">Tabla4[#All]</definedName>
    <definedName name="T_MATERIALES" localSheetId="24">Tabla4[#All]</definedName>
    <definedName name="T_MATERIALES" localSheetId="25">Tabla4[#All]</definedName>
    <definedName name="T_MATERIALES" localSheetId="26">Tabla4[#All]</definedName>
    <definedName name="T_MATERIALES" localSheetId="27">Tabla4[#All]</definedName>
    <definedName name="T_MATERIALES" localSheetId="28">Tabla4[#All]</definedName>
    <definedName name="T_MATERIALES" localSheetId="29">Tabla4[#All]</definedName>
    <definedName name="T_MATERIALES" localSheetId="30">Tabla4[#All]</definedName>
    <definedName name="T_MATERIALES" localSheetId="31">Tabla4[#All]</definedName>
    <definedName name="T_MATERIALES" localSheetId="32">Tabla4[#All]</definedName>
    <definedName name="T_MATERIALES" localSheetId="15">Tabla4[#All]</definedName>
    <definedName name="T_MATERIALES" localSheetId="33">Tabla4[#All]</definedName>
    <definedName name="T_MATERIALES" localSheetId="34">Tabla4[#All]</definedName>
    <definedName name="T_MATERIALES" localSheetId="35">Tabla4[#All]</definedName>
    <definedName name="T_MATERIALES" localSheetId="36">Tabla4[#All]</definedName>
    <definedName name="T_MATERIALES" localSheetId="37">Tabla4[#All]</definedName>
    <definedName name="T_MATERIALES" localSheetId="38">Tabla4[#All]</definedName>
    <definedName name="T_MATERIALES" localSheetId="39">Tabla4[#All]</definedName>
    <definedName name="T_MATERIALES" localSheetId="40">Tabla4[#All]</definedName>
    <definedName name="T_MATERIALES" localSheetId="41">Tabla4[#All]</definedName>
    <definedName name="T_MATERIALES" localSheetId="42">Tabla4[#All]</definedName>
    <definedName name="T_MATERIALES" localSheetId="16">Tabla4[#All]</definedName>
    <definedName name="T_MATERIALES" localSheetId="43">Tabla4[#All]</definedName>
    <definedName name="T_MATERIALES" localSheetId="44">Tabla4[#All]</definedName>
    <definedName name="T_MATERIALES" localSheetId="45">Tabla4[#All]</definedName>
    <definedName name="T_MATERIALES" localSheetId="46">Tabla4[#All]</definedName>
    <definedName name="T_MATERIALES" localSheetId="47">Tabla4[#All]</definedName>
    <definedName name="T_MATERIALES" localSheetId="48">Tabla4[#All]</definedName>
    <definedName name="T_MATERIALES" localSheetId="49">Tabla4[#All]</definedName>
    <definedName name="T_MATERIALES" localSheetId="50">Tabla4[#All]</definedName>
    <definedName name="T_MATERIALES" localSheetId="51">Tabla4[#All]</definedName>
    <definedName name="T_MATERIALES" localSheetId="52">Tabla4[#All]</definedName>
    <definedName name="T_MATERIALES" localSheetId="17">Tabla4[#All]</definedName>
    <definedName name="T_MATERIALES" localSheetId="53">Tabla4[#All]</definedName>
    <definedName name="T_MATERIALES" localSheetId="54">Tabla4[#All]</definedName>
    <definedName name="T_MATERIALES" localSheetId="55">Tabla4[#All]</definedName>
    <definedName name="T_MATERIALES" localSheetId="56">Tabla4[#All]</definedName>
    <definedName name="T_MATERIALES" localSheetId="57">Tabla4[#All]</definedName>
    <definedName name="T_MATERIALES" localSheetId="58">Tabla4[#All]</definedName>
    <definedName name="T_MATERIALES" localSheetId="59">Tabla4[#All]</definedName>
    <definedName name="T_MATERIALES" localSheetId="60">Tabla4[#All]</definedName>
    <definedName name="T_MATERIALES" localSheetId="61">Tabla4[#All]</definedName>
    <definedName name="T_MATERIALES" localSheetId="62">Tabla4[#All]</definedName>
    <definedName name="T_MATERIALES" localSheetId="18">Tabla4[#All]</definedName>
    <definedName name="T_MATERIALES" localSheetId="63">Tabla4[#All]</definedName>
    <definedName name="T_MATERIALES" localSheetId="64">Tabla4[#All]</definedName>
    <definedName name="T_MATERIALES" localSheetId="65">Tabla4[#All]</definedName>
    <definedName name="T_MATERIALES" localSheetId="66">Tabla4[#All]</definedName>
    <definedName name="T_MATERIALES" localSheetId="67">Tabla4[#All]</definedName>
    <definedName name="T_MATERIALES" localSheetId="68">Tabla4[#All]</definedName>
    <definedName name="T_MATERIALES" localSheetId="69">Tabla4[#All]</definedName>
    <definedName name="T_MATERIALES" localSheetId="70">Tabla4[#All]</definedName>
    <definedName name="T_MATERIALES" localSheetId="71">Tabla4[#All]</definedName>
    <definedName name="T_MATERIALES" localSheetId="72">Tabla4[#All]</definedName>
    <definedName name="T_MATERIALES" localSheetId="19">Tabla4[#All]</definedName>
    <definedName name="T_MATERIALES" localSheetId="73">Tabla4[#All]</definedName>
    <definedName name="T_MATERIALES" localSheetId="74">Tabla4[#All]</definedName>
    <definedName name="T_MATERIALES" localSheetId="75">Tabla4[#All]</definedName>
    <definedName name="T_MATERIALES" localSheetId="76">Tabla4[#All]</definedName>
    <definedName name="T_MATERIALES" localSheetId="77">Tabla4[#All]</definedName>
    <definedName name="T_MATERIALES" localSheetId="78">Tabla4[#All]</definedName>
    <definedName name="T_MATERIALES" localSheetId="79">Tabla4[#All]</definedName>
    <definedName name="T_MATERIALES" localSheetId="80">Tabla4[#All]</definedName>
    <definedName name="T_MATERIALES" localSheetId="81">Tabla4[#All]</definedName>
    <definedName name="T_MATERIALES" localSheetId="82">Tabla4[#All]</definedName>
    <definedName name="T_MATERIALES" localSheetId="20">Tabla4[#All]</definedName>
    <definedName name="T_MATERIALES" localSheetId="83">Tabla4[#All]</definedName>
    <definedName name="T_MATERIALES" localSheetId="84">Tabla4[#All]</definedName>
    <definedName name="T_MATERIALES" localSheetId="85">Tabla4[#All]</definedName>
    <definedName name="T_MATERIALES" localSheetId="86">Tabla4[#All]</definedName>
    <definedName name="T_MATERIALES" localSheetId="87">Tabla4[#All]</definedName>
    <definedName name="T_MATERIALES" localSheetId="88">Tabla4[#All]</definedName>
    <definedName name="T_MATERIALES" localSheetId="89">Tabla4[#All]</definedName>
    <definedName name="T_MATERIALES" localSheetId="90">Tabla4[#All]</definedName>
    <definedName name="T_MATERIALES" localSheetId="91">Tabla4[#All]</definedName>
    <definedName name="T_MATERIALES" localSheetId="92">Tabla4[#All]</definedName>
    <definedName name="T_MATERIALES" localSheetId="21">Tabla4[#All]</definedName>
    <definedName name="T_MATERIALES" localSheetId="93">Tabla4[#All]</definedName>
    <definedName name="T_MATERIALES" localSheetId="22">Tabla4[#All]</definedName>
    <definedName name="T_MATERIALES" localSheetId="8">Tabla4[#All]</definedName>
    <definedName name="T_MATERIALES" localSheetId="9">Tabla4[#All]</definedName>
    <definedName name="T_MATERIALES">Tabla4[#All]</definedName>
    <definedName name="TOTAL_ADMINISTRACION" localSheetId="8">'ADMINISTRACION ELECTRICA'!$E$111</definedName>
    <definedName name="TOTAL_ADMINISTRACION" localSheetId="9">'ADMINISTRACION MECANICA '!$E$116</definedName>
    <definedName name="TOTAL_ADMINISTRACION">'ADMINISTRACION GENERAL TUPEY'!$E$116</definedName>
    <definedName name="TOTAL_GARANTIAS" localSheetId="8">'ADMINISTRACION ELECTRICA'!#REF!</definedName>
    <definedName name="TOTAL_GARANTIAS" localSheetId="9">'ADMINISTRACION MECANICA '!#REF!</definedName>
    <definedName name="TOTAL_GARANTIAS">'ADMINISTRACION GENERAL TUPEY'!#REF!</definedName>
    <definedName name="TOTAL_IMPUESTO" localSheetId="8">'ADMINISTRACION ELECTRICA'!#REF!</definedName>
    <definedName name="TOTAL_IMPUESTO" localSheetId="9">'ADMINISTRACION MECANICA '!#REF!</definedName>
    <definedName name="TOTAL_IMPUESTO">'ADMINISTRACION GENERAL TUPEY'!#REF!</definedName>
    <definedName name="TOTAL_IMPUESTOS" localSheetId="8">'ADMINISTRACION ELECTRICA'!#REF!</definedName>
    <definedName name="TOTAL_IMPUESTOS" localSheetId="9">'ADMINISTRACION MECANICA '!#REF!</definedName>
    <definedName name="TOTAL_IMPUESTOS">'ADMINISTRACION GENERAL TUPEY'!#REF!</definedName>
    <definedName name="TOTAL_OPERACION" localSheetId="8">'ADMINISTRACION ELECTRICA'!#REF!</definedName>
    <definedName name="TOTAL_OPERACION" localSheetId="9">'ADMINISTRACION MECANICA '!#REF!</definedName>
    <definedName name="TOTAL_OPERACION">'ADMINISTRACION GENERAL TUPEY'!#REF!</definedName>
    <definedName name="TOTAL_PERSONAL" localSheetId="8">'ADMINISTRACION ELECTRICA'!#REF!</definedName>
    <definedName name="TOTAL_PERSONAL" localSheetId="9">'ADMINISTRACION MECANICA '!#REF!</definedName>
    <definedName name="TOTAL_PERSONAL">'ADMINISTRACION GENERAL TUPEY'!#REF!</definedName>
    <definedName name="TOTAL_TRANSPORTE" localSheetId="8">'ADMINISTRACION ELECTRICA'!#REF!</definedName>
    <definedName name="TOTAL_TRANSPORTE" localSheetId="9">'ADMINISTRACION MECANICA '!#REF!</definedName>
    <definedName name="TOTAL_TRANSPORTE">'ADMINISTRACION GENERAL TUPEY'!#REF!</definedName>
    <definedName name="TRANSPORTE">'FACTOR PRESTACIONAL'!$E$84</definedName>
    <definedName name="TRANSPORTE_NO_OPERATIVOS">'FACTOR PRESTACIONAL'!$K$84</definedName>
    <definedName name="U_ITEM" localSheetId="14">OFERTA!$D$5:$D$213</definedName>
    <definedName name="U_ITEM" localSheetId="23">OFERTA!$D$5:$D$213</definedName>
    <definedName name="U_ITEM" localSheetId="24">OFERTA!$D$5:$D$213</definedName>
    <definedName name="U_ITEM" localSheetId="25">OFERTA!$D$5:$D$213</definedName>
    <definedName name="U_ITEM" localSheetId="26">OFERTA!$D$5:$D$213</definedName>
    <definedName name="U_ITEM" localSheetId="27">OFERTA!$D$5:$D$213</definedName>
    <definedName name="U_ITEM" localSheetId="28">OFERTA!$D$5:$D$213</definedName>
    <definedName name="U_ITEM" localSheetId="29">OFERTA!$D$5:$D$213</definedName>
    <definedName name="U_ITEM" localSheetId="30">OFERTA!$D$5:$D$213</definedName>
    <definedName name="U_ITEM" localSheetId="31">OFERTA!$D$5:$D$213</definedName>
    <definedName name="U_ITEM" localSheetId="32">OFERTA!$D$5:$D$213</definedName>
    <definedName name="U_ITEM" localSheetId="15">OFERTA!$D$5:$D$213</definedName>
    <definedName name="U_ITEM" localSheetId="33">OFERTA!$D$5:$D$213</definedName>
    <definedName name="U_ITEM" localSheetId="34">OFERTA!$D$5:$D$213</definedName>
    <definedName name="U_ITEM" localSheetId="35">OFERTA!$D$5:$D$213</definedName>
    <definedName name="U_ITEM" localSheetId="36">OFERTA!$D$5:$D$213</definedName>
    <definedName name="U_ITEM" localSheetId="37">OFERTA!$D$5:$D$213</definedName>
    <definedName name="U_ITEM" localSheetId="38">OFERTA!$D$5:$D$213</definedName>
    <definedName name="U_ITEM" localSheetId="39">OFERTA!$D$5:$D$213</definedName>
    <definedName name="U_ITEM" localSheetId="40">OFERTA!$D$5:$D$213</definedName>
    <definedName name="U_ITEM" localSheetId="41">OFERTA!$D$5:$D$213</definedName>
    <definedName name="U_ITEM" localSheetId="42">OFERTA!$D$5:$D$213</definedName>
    <definedName name="U_ITEM" localSheetId="16">OFERTA!$D$5:$D$213</definedName>
    <definedName name="U_ITEM" localSheetId="43">OFERTA!$D$5:$D$213</definedName>
    <definedName name="U_ITEM" localSheetId="44">OFERTA!$D$5:$D$213</definedName>
    <definedName name="U_ITEM" localSheetId="45">OFERTA!$D$5:$D$213</definedName>
    <definedName name="U_ITEM" localSheetId="46">OFERTA!$D$5:$D$213</definedName>
    <definedName name="U_ITEM" localSheetId="47">OFERTA!$D$5:$D$213</definedName>
    <definedName name="U_ITEM" localSheetId="48">OFERTA!$D$5:$D$213</definedName>
    <definedName name="U_ITEM" localSheetId="49">OFERTA!$D$5:$D$213</definedName>
    <definedName name="U_ITEM" localSheetId="50">OFERTA!$D$5:$D$213</definedName>
    <definedName name="U_ITEM" localSheetId="51">OFERTA!$D$5:$D$213</definedName>
    <definedName name="U_ITEM" localSheetId="52">OFERTA!$D$5:$D$213</definedName>
    <definedName name="U_ITEM" localSheetId="17">OFERTA!$D$5:$D$213</definedName>
    <definedName name="U_ITEM" localSheetId="53">OFERTA!$D$5:$D$213</definedName>
    <definedName name="U_ITEM" localSheetId="54">OFERTA!$D$5:$D$213</definedName>
    <definedName name="U_ITEM" localSheetId="55">OFERTA!$D$5:$D$213</definedName>
    <definedName name="U_ITEM" localSheetId="56">OFERTA!$D$5:$D$213</definedName>
    <definedName name="U_ITEM" localSheetId="57">OFERTA!$D$5:$D$213</definedName>
    <definedName name="U_ITEM" localSheetId="58">OFERTA!$D$5:$D$213</definedName>
    <definedName name="U_ITEM" localSheetId="59">OFERTA!$D$5:$D$213</definedName>
    <definedName name="U_ITEM" localSheetId="60">OFERTA!$D$5:$D$213</definedName>
    <definedName name="U_ITEM" localSheetId="61">OFERTA!$D$5:$D$213</definedName>
    <definedName name="U_ITEM" localSheetId="62">OFERTA!$D$5:$D$213</definedName>
    <definedName name="U_ITEM" localSheetId="18">OFERTA!$D$5:$D$213</definedName>
    <definedName name="U_ITEM" localSheetId="63">OFERTA!$D$5:$D$213</definedName>
    <definedName name="U_ITEM" localSheetId="64">OFERTA!$D$5:$D$213</definedName>
    <definedName name="U_ITEM" localSheetId="65">OFERTA!$D$5:$D$213</definedName>
    <definedName name="U_ITEM" localSheetId="66">OFERTA!$D$5:$D$213</definedName>
    <definedName name="U_ITEM" localSheetId="67">OFERTA!$D$5:$D$213</definedName>
    <definedName name="U_ITEM" localSheetId="68">OFERTA!$D$5:$D$213</definedName>
    <definedName name="U_ITEM" localSheetId="69">OFERTA!$D$5:$D$213</definedName>
    <definedName name="U_ITEM" localSheetId="70">OFERTA!$D$5:$D$213</definedName>
    <definedName name="U_ITEM" localSheetId="71">OFERTA!$D$5:$D$213</definedName>
    <definedName name="U_ITEM" localSheetId="72">OFERTA!$D$5:$D$213</definedName>
    <definedName name="U_ITEM" localSheetId="19">OFERTA!$D$5:$D$213</definedName>
    <definedName name="U_ITEM" localSheetId="73">OFERTA!$D$5:$D$213</definedName>
    <definedName name="U_ITEM" localSheetId="74">OFERTA!$D$5:$D$213</definedName>
    <definedName name="U_ITEM" localSheetId="75">OFERTA!$D$5:$D$213</definedName>
    <definedName name="U_ITEM" localSheetId="76">OFERTA!$D$5:$D$213</definedName>
    <definedName name="U_ITEM" localSheetId="77">OFERTA!$D$5:$D$213</definedName>
    <definedName name="U_ITEM" localSheetId="78">OFERTA!$D$5:$D$213</definedName>
    <definedName name="U_ITEM" localSheetId="79">OFERTA!$D$5:$D$213</definedName>
    <definedName name="U_ITEM" localSheetId="80">OFERTA!$D$5:$D$213</definedName>
    <definedName name="U_ITEM" localSheetId="81">OFERTA!$D$5:$D$213</definedName>
    <definedName name="U_ITEM" localSheetId="82">OFERTA!$D$5:$D$213</definedName>
    <definedName name="U_ITEM" localSheetId="20">OFERTA!$D$5:$D$213</definedName>
    <definedName name="U_ITEM" localSheetId="83">OFERTA!$D$5:$D$213</definedName>
    <definedName name="U_ITEM" localSheetId="84">OFERTA!$D$5:$D$213</definedName>
    <definedName name="U_ITEM" localSheetId="85">OFERTA!$D$5:$D$213</definedName>
    <definedName name="U_ITEM" localSheetId="86">OFERTA!$D$5:$D$213</definedName>
    <definedName name="U_ITEM" localSheetId="87">OFERTA!$D$5:$D$213</definedName>
    <definedName name="U_ITEM" localSheetId="88">OFERTA!$D$5:$D$213</definedName>
    <definedName name="U_ITEM" localSheetId="89">OFERTA!$D$5:$D$213</definedName>
    <definedName name="U_ITEM" localSheetId="90">OFERTA!$D$5:$D$213</definedName>
    <definedName name="U_ITEM" localSheetId="91">OFERTA!$D$5:$D$213</definedName>
    <definedName name="U_ITEM" localSheetId="92">OFERTA!$D$5:$D$213</definedName>
    <definedName name="U_ITEM" localSheetId="21">OFERTA!$D$5:$D$213</definedName>
    <definedName name="U_ITEM" localSheetId="93">OFERTA!$D$5:$D$213</definedName>
    <definedName name="U_ITEM" localSheetId="22">OFERTA!$D$5:$D$213</definedName>
    <definedName name="U_ITEM">OFERTA!$D$5:$D$213</definedName>
    <definedName name="U_MANODEOBRA" localSheetId="14">Tabla2[[#All],[UNIDAD ]]</definedName>
    <definedName name="U_MANODEOBRA" localSheetId="23">Tabla2[[#All],[UNIDAD ]]</definedName>
    <definedName name="U_MANODEOBRA" localSheetId="24">Tabla2[[#All],[UNIDAD ]]</definedName>
    <definedName name="U_MANODEOBRA" localSheetId="25">Tabla2[[#All],[UNIDAD ]]</definedName>
    <definedName name="U_MANODEOBRA" localSheetId="26">Tabla2[[#All],[UNIDAD ]]</definedName>
    <definedName name="U_MANODEOBRA" localSheetId="27">Tabla2[[#All],[UNIDAD ]]</definedName>
    <definedName name="U_MANODEOBRA" localSheetId="28">Tabla2[[#All],[UNIDAD ]]</definedName>
    <definedName name="U_MANODEOBRA" localSheetId="29">Tabla2[[#All],[UNIDAD ]]</definedName>
    <definedName name="U_MANODEOBRA" localSheetId="30">Tabla2[[#All],[UNIDAD ]]</definedName>
    <definedName name="U_MANODEOBRA" localSheetId="31">Tabla2[[#All],[UNIDAD ]]</definedName>
    <definedName name="U_MANODEOBRA" localSheetId="32">Tabla2[[#All],[UNIDAD ]]</definedName>
    <definedName name="U_MANODEOBRA" localSheetId="15">Tabla2[[#All],[UNIDAD ]]</definedName>
    <definedName name="U_MANODEOBRA" localSheetId="33">Tabla2[[#All],[UNIDAD ]]</definedName>
    <definedName name="U_MANODEOBRA" localSheetId="34">Tabla2[[#All],[UNIDAD ]]</definedName>
    <definedName name="U_MANODEOBRA" localSheetId="35">Tabla2[[#All],[UNIDAD ]]</definedName>
    <definedName name="U_MANODEOBRA" localSheetId="36">Tabla2[[#All],[UNIDAD ]]</definedName>
    <definedName name="U_MANODEOBRA" localSheetId="37">Tabla2[[#All],[UNIDAD ]]</definedName>
    <definedName name="U_MANODEOBRA" localSheetId="38">Tabla2[[#All],[UNIDAD ]]</definedName>
    <definedName name="U_MANODEOBRA" localSheetId="39">Tabla2[[#All],[UNIDAD ]]</definedName>
    <definedName name="U_MANODEOBRA" localSheetId="40">Tabla2[[#All],[UNIDAD ]]</definedName>
    <definedName name="U_MANODEOBRA" localSheetId="41">Tabla2[[#All],[UNIDAD ]]</definedName>
    <definedName name="U_MANODEOBRA" localSheetId="42">Tabla2[[#All],[UNIDAD ]]</definedName>
    <definedName name="U_MANODEOBRA" localSheetId="16">Tabla2[[#All],[UNIDAD ]]</definedName>
    <definedName name="U_MANODEOBRA" localSheetId="43">Tabla2[[#All],[UNIDAD ]]</definedName>
    <definedName name="U_MANODEOBRA" localSheetId="44">Tabla2[[#All],[UNIDAD ]]</definedName>
    <definedName name="U_MANODEOBRA" localSheetId="45">Tabla2[[#All],[UNIDAD ]]</definedName>
    <definedName name="U_MANODEOBRA" localSheetId="46">Tabla2[[#All],[UNIDAD ]]</definedName>
    <definedName name="U_MANODEOBRA" localSheetId="47">Tabla2[[#All],[UNIDAD ]]</definedName>
    <definedName name="U_MANODEOBRA" localSheetId="48">Tabla2[[#All],[UNIDAD ]]</definedName>
    <definedName name="U_MANODEOBRA" localSheetId="49">Tabla2[[#All],[UNIDAD ]]</definedName>
    <definedName name="U_MANODEOBRA" localSheetId="50">Tabla2[[#All],[UNIDAD ]]</definedName>
    <definedName name="U_MANODEOBRA" localSheetId="51">Tabla2[[#All],[UNIDAD ]]</definedName>
    <definedName name="U_MANODEOBRA" localSheetId="52">Tabla2[[#All],[UNIDAD ]]</definedName>
    <definedName name="U_MANODEOBRA" localSheetId="17">Tabla2[[#All],[UNIDAD ]]</definedName>
    <definedName name="U_MANODEOBRA" localSheetId="53">Tabla2[[#All],[UNIDAD ]]</definedName>
    <definedName name="U_MANODEOBRA" localSheetId="54">Tabla2[[#All],[UNIDAD ]]</definedName>
    <definedName name="U_MANODEOBRA" localSheetId="55">Tabla2[[#All],[UNIDAD ]]</definedName>
    <definedName name="U_MANODEOBRA" localSheetId="56">Tabla2[[#All],[UNIDAD ]]</definedName>
    <definedName name="U_MANODEOBRA" localSheetId="57">Tabla2[[#All],[UNIDAD ]]</definedName>
    <definedName name="U_MANODEOBRA" localSheetId="58">Tabla2[[#All],[UNIDAD ]]</definedName>
    <definedName name="U_MANODEOBRA" localSheetId="59">Tabla2[[#All],[UNIDAD ]]</definedName>
    <definedName name="U_MANODEOBRA" localSheetId="60">Tabla2[[#All],[UNIDAD ]]</definedName>
    <definedName name="U_MANODEOBRA" localSheetId="61">Tabla2[[#All],[UNIDAD ]]</definedName>
    <definedName name="U_MANODEOBRA" localSheetId="62">Tabla2[[#All],[UNIDAD ]]</definedName>
    <definedName name="U_MANODEOBRA" localSheetId="18">Tabla2[[#All],[UNIDAD ]]</definedName>
    <definedName name="U_MANODEOBRA" localSheetId="63">Tabla2[[#All],[UNIDAD ]]</definedName>
    <definedName name="U_MANODEOBRA" localSheetId="64">Tabla2[[#All],[UNIDAD ]]</definedName>
    <definedName name="U_MANODEOBRA" localSheetId="65">Tabla2[[#All],[UNIDAD ]]</definedName>
    <definedName name="U_MANODEOBRA" localSheetId="66">Tabla2[[#All],[UNIDAD ]]</definedName>
    <definedName name="U_MANODEOBRA" localSheetId="67">Tabla2[[#All],[UNIDAD ]]</definedName>
    <definedName name="U_MANODEOBRA" localSheetId="68">Tabla2[[#All],[UNIDAD ]]</definedName>
    <definedName name="U_MANODEOBRA" localSheetId="69">Tabla2[[#All],[UNIDAD ]]</definedName>
    <definedName name="U_MANODEOBRA" localSheetId="70">Tabla2[[#All],[UNIDAD ]]</definedName>
    <definedName name="U_MANODEOBRA" localSheetId="71">Tabla2[[#All],[UNIDAD ]]</definedName>
    <definedName name="U_MANODEOBRA" localSheetId="72">Tabla2[[#All],[UNIDAD ]]</definedName>
    <definedName name="U_MANODEOBRA" localSheetId="19">Tabla2[[#All],[UNIDAD ]]</definedName>
    <definedName name="U_MANODEOBRA" localSheetId="73">Tabla2[[#All],[UNIDAD ]]</definedName>
    <definedName name="U_MANODEOBRA" localSheetId="74">Tabla2[[#All],[UNIDAD ]]</definedName>
    <definedName name="U_MANODEOBRA" localSheetId="75">Tabla2[[#All],[UNIDAD ]]</definedName>
    <definedName name="U_MANODEOBRA" localSheetId="76">Tabla2[[#All],[UNIDAD ]]</definedName>
    <definedName name="U_MANODEOBRA" localSheetId="77">Tabla2[[#All],[UNIDAD ]]</definedName>
    <definedName name="U_MANODEOBRA" localSheetId="78">Tabla2[[#All],[UNIDAD ]]</definedName>
    <definedName name="U_MANODEOBRA" localSheetId="79">Tabla2[[#All],[UNIDAD ]]</definedName>
    <definedName name="U_MANODEOBRA" localSheetId="80">Tabla2[[#All],[UNIDAD ]]</definedName>
    <definedName name="U_MANODEOBRA" localSheetId="81">Tabla2[[#All],[UNIDAD ]]</definedName>
    <definedName name="U_MANODEOBRA" localSheetId="82">Tabla2[[#All],[UNIDAD ]]</definedName>
    <definedName name="U_MANODEOBRA" localSheetId="20">Tabla2[[#All],[UNIDAD ]]</definedName>
    <definedName name="U_MANODEOBRA" localSheetId="83">Tabla2[[#All],[UNIDAD ]]</definedName>
    <definedName name="U_MANODEOBRA" localSheetId="84">Tabla2[[#All],[UNIDAD ]]</definedName>
    <definedName name="U_MANODEOBRA" localSheetId="85">Tabla2[[#All],[UNIDAD ]]</definedName>
    <definedName name="U_MANODEOBRA" localSheetId="86">Tabla2[[#All],[UNIDAD ]]</definedName>
    <definedName name="U_MANODEOBRA" localSheetId="87">Tabla2[[#All],[UNIDAD ]]</definedName>
    <definedName name="U_MANODEOBRA" localSheetId="88">Tabla2[[#All],[UNIDAD ]]</definedName>
    <definedName name="U_MANODEOBRA" localSheetId="89">Tabla2[[#All],[UNIDAD ]]</definedName>
    <definedName name="U_MANODEOBRA" localSheetId="90">Tabla2[[#All],[UNIDAD ]]</definedName>
    <definedName name="U_MANODEOBRA" localSheetId="91">Tabla2[[#All],[UNIDAD ]]</definedName>
    <definedName name="U_MANODEOBRA" localSheetId="92">Tabla2[[#All],[UNIDAD ]]</definedName>
    <definedName name="U_MANODEOBRA" localSheetId="21">Tabla2[[#All],[UNIDAD ]]</definedName>
    <definedName name="U_MANODEOBRA" localSheetId="93">Tabla2[[#All],[UNIDAD ]]</definedName>
    <definedName name="U_MANODEOBRA" localSheetId="22">Tabla2[[#All],[UNIDAD ]]</definedName>
    <definedName name="U_MANODEOBRA" localSheetId="8">Tabla2[[#All],[UNIDAD ]]</definedName>
    <definedName name="U_MANODEOBRA" localSheetId="9">Tabla2[[#All],[UNIDAD ]]</definedName>
    <definedName name="U_MANODEOBRA">Tabla2[[#All],[UNIDAD ]]</definedName>
    <definedName name="U_MAQUINARIA" localSheetId="14">Tabla1[[#All],[UND (UNIT)]]</definedName>
    <definedName name="U_MAQUINARIA" localSheetId="23">Tabla1[[#All],[UND (UNIT)]]</definedName>
    <definedName name="U_MAQUINARIA" localSheetId="24">Tabla1[[#All],[UND (UNIT)]]</definedName>
    <definedName name="U_MAQUINARIA" localSheetId="25">Tabla1[[#All],[UND (UNIT)]]</definedName>
    <definedName name="U_MAQUINARIA" localSheetId="26">Tabla1[[#All],[UND (UNIT)]]</definedName>
    <definedName name="U_MAQUINARIA" localSheetId="27">Tabla1[[#All],[UND (UNIT)]]</definedName>
    <definedName name="U_MAQUINARIA" localSheetId="28">Tabla1[[#All],[UND (UNIT)]]</definedName>
    <definedName name="U_MAQUINARIA" localSheetId="29">Tabla1[[#All],[UND (UNIT)]]</definedName>
    <definedName name="U_MAQUINARIA" localSheetId="30">Tabla1[[#All],[UND (UNIT)]]</definedName>
    <definedName name="U_MAQUINARIA" localSheetId="31">Tabla1[[#All],[UND (UNIT)]]</definedName>
    <definedName name="U_MAQUINARIA" localSheetId="32">Tabla1[[#All],[UND (UNIT)]]</definedName>
    <definedName name="U_MAQUINARIA" localSheetId="15">Tabla1[[#All],[UND (UNIT)]]</definedName>
    <definedName name="U_MAQUINARIA" localSheetId="33">Tabla1[[#All],[UND (UNIT)]]</definedName>
    <definedName name="U_MAQUINARIA" localSheetId="34">Tabla1[[#All],[UND (UNIT)]]</definedName>
    <definedName name="U_MAQUINARIA" localSheetId="35">Tabla1[[#All],[UND (UNIT)]]</definedName>
    <definedName name="U_MAQUINARIA" localSheetId="36">Tabla1[[#All],[UND (UNIT)]]</definedName>
    <definedName name="U_MAQUINARIA" localSheetId="37">Tabla1[[#All],[UND (UNIT)]]</definedName>
    <definedName name="U_MAQUINARIA" localSheetId="38">Tabla1[[#All],[UND (UNIT)]]</definedName>
    <definedName name="U_MAQUINARIA" localSheetId="39">Tabla1[[#All],[UND (UNIT)]]</definedName>
    <definedName name="U_MAQUINARIA" localSheetId="40">Tabla1[[#All],[UND (UNIT)]]</definedName>
    <definedName name="U_MAQUINARIA" localSheetId="41">Tabla1[[#All],[UND (UNIT)]]</definedName>
    <definedName name="U_MAQUINARIA" localSheetId="42">Tabla1[[#All],[UND (UNIT)]]</definedName>
    <definedName name="U_MAQUINARIA" localSheetId="16">Tabla1[[#All],[UND (UNIT)]]</definedName>
    <definedName name="U_MAQUINARIA" localSheetId="43">Tabla1[[#All],[UND (UNIT)]]</definedName>
    <definedName name="U_MAQUINARIA" localSheetId="44">Tabla1[[#All],[UND (UNIT)]]</definedName>
    <definedName name="U_MAQUINARIA" localSheetId="45">Tabla1[[#All],[UND (UNIT)]]</definedName>
    <definedName name="U_MAQUINARIA" localSheetId="46">Tabla1[[#All],[UND (UNIT)]]</definedName>
    <definedName name="U_MAQUINARIA" localSheetId="47">Tabla1[[#All],[UND (UNIT)]]</definedName>
    <definedName name="U_MAQUINARIA" localSheetId="48">Tabla1[[#All],[UND (UNIT)]]</definedName>
    <definedName name="U_MAQUINARIA" localSheetId="49">Tabla1[[#All],[UND (UNIT)]]</definedName>
    <definedName name="U_MAQUINARIA" localSheetId="50">Tabla1[[#All],[UND (UNIT)]]</definedName>
    <definedName name="U_MAQUINARIA" localSheetId="51">Tabla1[[#All],[UND (UNIT)]]</definedName>
    <definedName name="U_MAQUINARIA" localSheetId="52">Tabla1[[#All],[UND (UNIT)]]</definedName>
    <definedName name="U_MAQUINARIA" localSheetId="17">Tabla1[[#All],[UND (UNIT)]]</definedName>
    <definedName name="U_MAQUINARIA" localSheetId="53">Tabla1[[#All],[UND (UNIT)]]</definedName>
    <definedName name="U_MAQUINARIA" localSheetId="54">Tabla1[[#All],[UND (UNIT)]]</definedName>
    <definedName name="U_MAQUINARIA" localSheetId="55">Tabla1[[#All],[UND (UNIT)]]</definedName>
    <definedName name="U_MAQUINARIA" localSheetId="56">Tabla1[[#All],[UND (UNIT)]]</definedName>
    <definedName name="U_MAQUINARIA" localSheetId="57">Tabla1[[#All],[UND (UNIT)]]</definedName>
    <definedName name="U_MAQUINARIA" localSheetId="58">Tabla1[[#All],[UND (UNIT)]]</definedName>
    <definedName name="U_MAQUINARIA" localSheetId="59">Tabla1[[#All],[UND (UNIT)]]</definedName>
    <definedName name="U_MAQUINARIA" localSheetId="60">Tabla1[[#All],[UND (UNIT)]]</definedName>
    <definedName name="U_MAQUINARIA" localSheetId="61">Tabla1[[#All],[UND (UNIT)]]</definedName>
    <definedName name="U_MAQUINARIA" localSheetId="62">Tabla1[[#All],[UND (UNIT)]]</definedName>
    <definedName name="U_MAQUINARIA" localSheetId="18">Tabla1[[#All],[UND (UNIT)]]</definedName>
    <definedName name="U_MAQUINARIA" localSheetId="63">Tabla1[[#All],[UND (UNIT)]]</definedName>
    <definedName name="U_MAQUINARIA" localSheetId="64">Tabla1[[#All],[UND (UNIT)]]</definedName>
    <definedName name="U_MAQUINARIA" localSheetId="65">Tabla1[[#All],[UND (UNIT)]]</definedName>
    <definedName name="U_MAQUINARIA" localSheetId="66">Tabla1[[#All],[UND (UNIT)]]</definedName>
    <definedName name="U_MAQUINARIA" localSheetId="67">Tabla1[[#All],[UND (UNIT)]]</definedName>
    <definedName name="U_MAQUINARIA" localSheetId="68">Tabla1[[#All],[UND (UNIT)]]</definedName>
    <definedName name="U_MAQUINARIA" localSheetId="69">Tabla1[[#All],[UND (UNIT)]]</definedName>
    <definedName name="U_MAQUINARIA" localSheetId="70">Tabla1[[#All],[UND (UNIT)]]</definedName>
    <definedName name="U_MAQUINARIA" localSheetId="71">Tabla1[[#All],[UND (UNIT)]]</definedName>
    <definedName name="U_MAQUINARIA" localSheetId="72">Tabla1[[#All],[UND (UNIT)]]</definedName>
    <definedName name="U_MAQUINARIA" localSheetId="19">Tabla1[[#All],[UND (UNIT)]]</definedName>
    <definedName name="U_MAQUINARIA" localSheetId="73">Tabla1[[#All],[UND (UNIT)]]</definedName>
    <definedName name="U_MAQUINARIA" localSheetId="74">Tabla1[[#All],[UND (UNIT)]]</definedName>
    <definedName name="U_MAQUINARIA" localSheetId="75">Tabla1[[#All],[UND (UNIT)]]</definedName>
    <definedName name="U_MAQUINARIA" localSheetId="76">Tabla1[[#All],[UND (UNIT)]]</definedName>
    <definedName name="U_MAQUINARIA" localSheetId="77">Tabla1[[#All],[UND (UNIT)]]</definedName>
    <definedName name="U_MAQUINARIA" localSheetId="78">Tabla1[[#All],[UND (UNIT)]]</definedName>
    <definedName name="U_MAQUINARIA" localSheetId="79">Tabla1[[#All],[UND (UNIT)]]</definedName>
    <definedName name="U_MAQUINARIA" localSheetId="80">Tabla1[[#All],[UND (UNIT)]]</definedName>
    <definedName name="U_MAQUINARIA" localSheetId="81">Tabla1[[#All],[UND (UNIT)]]</definedName>
    <definedName name="U_MAQUINARIA" localSheetId="82">Tabla1[[#All],[UND (UNIT)]]</definedName>
    <definedName name="U_MAQUINARIA" localSheetId="20">Tabla1[[#All],[UND (UNIT)]]</definedName>
    <definedName name="U_MAQUINARIA" localSheetId="83">Tabla1[[#All],[UND (UNIT)]]</definedName>
    <definedName name="U_MAQUINARIA" localSheetId="84">Tabla1[[#All],[UND (UNIT)]]</definedName>
    <definedName name="U_MAQUINARIA" localSheetId="85">Tabla1[[#All],[UND (UNIT)]]</definedName>
    <definedName name="U_MAQUINARIA" localSheetId="86">Tabla1[[#All],[UND (UNIT)]]</definedName>
    <definedName name="U_MAQUINARIA" localSheetId="87">Tabla1[[#All],[UND (UNIT)]]</definedName>
    <definedName name="U_MAQUINARIA" localSheetId="88">Tabla1[[#All],[UND (UNIT)]]</definedName>
    <definedName name="U_MAQUINARIA" localSheetId="89">Tabla1[[#All],[UND (UNIT)]]</definedName>
    <definedName name="U_MAQUINARIA" localSheetId="90">Tabla1[[#All],[UND (UNIT)]]</definedName>
    <definedName name="U_MAQUINARIA" localSheetId="91">Tabla1[[#All],[UND (UNIT)]]</definedName>
    <definedName name="U_MAQUINARIA" localSheetId="92">Tabla1[[#All],[UND (UNIT)]]</definedName>
    <definedName name="U_MAQUINARIA" localSheetId="21">Tabla1[[#All],[UND (UNIT)]]</definedName>
    <definedName name="U_MAQUINARIA" localSheetId="93">Tabla1[[#All],[UND (UNIT)]]</definedName>
    <definedName name="U_MAQUINARIA" localSheetId="22">Tabla1[[#All],[UND (UNIT)]]</definedName>
    <definedName name="U_MAQUINARIA" localSheetId="8">Tabla1[[#All],[UND (UNIT)]]</definedName>
    <definedName name="U_MAQUINARIA" localSheetId="9">Tabla1[[#All],[UND (UNIT)]]</definedName>
    <definedName name="U_MAQUINARIA">Tabla1[[#All],[UND (UNIT)]]</definedName>
    <definedName name="U_MATERIAL" localSheetId="14">Tabla4[[#All],[UND]]</definedName>
    <definedName name="U_MATERIAL" localSheetId="23">Tabla4[[#All],[UND]]</definedName>
    <definedName name="U_MATERIAL" localSheetId="24">Tabla4[[#All],[UND]]</definedName>
    <definedName name="U_MATERIAL" localSheetId="25">Tabla4[[#All],[UND]]</definedName>
    <definedName name="U_MATERIAL" localSheetId="26">Tabla4[[#All],[UND]]</definedName>
    <definedName name="U_MATERIAL" localSheetId="27">Tabla4[[#All],[UND]]</definedName>
    <definedName name="U_MATERIAL" localSheetId="28">Tabla4[[#All],[UND]]</definedName>
    <definedName name="U_MATERIAL" localSheetId="29">Tabla4[[#All],[UND]]</definedName>
    <definedName name="U_MATERIAL" localSheetId="30">Tabla4[[#All],[UND]]</definedName>
    <definedName name="U_MATERIAL" localSheetId="31">Tabla4[[#All],[UND]]</definedName>
    <definedName name="U_MATERIAL" localSheetId="32">Tabla4[[#All],[UND]]</definedName>
    <definedName name="U_MATERIAL" localSheetId="15">Tabla4[[#All],[UND]]</definedName>
    <definedName name="U_MATERIAL" localSheetId="33">Tabla4[[#All],[UND]]</definedName>
    <definedName name="U_MATERIAL" localSheetId="34">Tabla4[[#All],[UND]]</definedName>
    <definedName name="U_MATERIAL" localSheetId="35">Tabla4[[#All],[UND]]</definedName>
    <definedName name="U_MATERIAL" localSheetId="36">Tabla4[[#All],[UND]]</definedName>
    <definedName name="U_MATERIAL" localSheetId="37">Tabla4[[#All],[UND]]</definedName>
    <definedName name="U_MATERIAL" localSheetId="38">Tabla4[[#All],[UND]]</definedName>
    <definedName name="U_MATERIAL" localSheetId="39">Tabla4[[#All],[UND]]</definedName>
    <definedName name="U_MATERIAL" localSheetId="40">Tabla4[[#All],[UND]]</definedName>
    <definedName name="U_MATERIAL" localSheetId="41">Tabla4[[#All],[UND]]</definedName>
    <definedName name="U_MATERIAL" localSheetId="42">Tabla4[[#All],[UND]]</definedName>
    <definedName name="U_MATERIAL" localSheetId="16">Tabla4[[#All],[UND]]</definedName>
    <definedName name="U_MATERIAL" localSheetId="43">Tabla4[[#All],[UND]]</definedName>
    <definedName name="U_MATERIAL" localSheetId="44">Tabla4[[#All],[UND]]</definedName>
    <definedName name="U_MATERIAL" localSheetId="45">Tabla4[[#All],[UND]]</definedName>
    <definedName name="U_MATERIAL" localSheetId="46">Tabla4[[#All],[UND]]</definedName>
    <definedName name="U_MATERIAL" localSheetId="47">Tabla4[[#All],[UND]]</definedName>
    <definedName name="U_MATERIAL" localSheetId="48">Tabla4[[#All],[UND]]</definedName>
    <definedName name="U_MATERIAL" localSheetId="49">Tabla4[[#All],[UND]]</definedName>
    <definedName name="U_MATERIAL" localSheetId="50">Tabla4[[#All],[UND]]</definedName>
    <definedName name="U_MATERIAL" localSheetId="51">Tabla4[[#All],[UND]]</definedName>
    <definedName name="U_MATERIAL" localSheetId="52">Tabla4[[#All],[UND]]</definedName>
    <definedName name="U_MATERIAL" localSheetId="17">Tabla4[[#All],[UND]]</definedName>
    <definedName name="U_MATERIAL" localSheetId="53">Tabla4[[#All],[UND]]</definedName>
    <definedName name="U_MATERIAL" localSheetId="54">Tabla4[[#All],[UND]]</definedName>
    <definedName name="U_MATERIAL" localSheetId="55">Tabla4[[#All],[UND]]</definedName>
    <definedName name="U_MATERIAL" localSheetId="56">Tabla4[[#All],[UND]]</definedName>
    <definedName name="U_MATERIAL" localSheetId="57">Tabla4[[#All],[UND]]</definedName>
    <definedName name="U_MATERIAL" localSheetId="58">Tabla4[[#All],[UND]]</definedName>
    <definedName name="U_MATERIAL" localSheetId="59">Tabla4[[#All],[UND]]</definedName>
    <definedName name="U_MATERIAL" localSheetId="60">Tabla4[[#All],[UND]]</definedName>
    <definedName name="U_MATERIAL" localSheetId="61">Tabla4[[#All],[UND]]</definedName>
    <definedName name="U_MATERIAL" localSheetId="62">Tabla4[[#All],[UND]]</definedName>
    <definedName name="U_MATERIAL" localSheetId="18">Tabla4[[#All],[UND]]</definedName>
    <definedName name="U_MATERIAL" localSheetId="63">Tabla4[[#All],[UND]]</definedName>
    <definedName name="U_MATERIAL" localSheetId="64">Tabla4[[#All],[UND]]</definedName>
    <definedName name="U_MATERIAL" localSheetId="65">Tabla4[[#All],[UND]]</definedName>
    <definedName name="U_MATERIAL" localSheetId="66">Tabla4[[#All],[UND]]</definedName>
    <definedName name="U_MATERIAL" localSheetId="67">Tabla4[[#All],[UND]]</definedName>
    <definedName name="U_MATERIAL" localSheetId="68">Tabla4[[#All],[UND]]</definedName>
    <definedName name="U_MATERIAL" localSheetId="69">Tabla4[[#All],[UND]]</definedName>
    <definedName name="U_MATERIAL" localSheetId="70">Tabla4[[#All],[UND]]</definedName>
    <definedName name="U_MATERIAL" localSheetId="71">Tabla4[[#All],[UND]]</definedName>
    <definedName name="U_MATERIAL" localSheetId="72">Tabla4[[#All],[UND]]</definedName>
    <definedName name="U_MATERIAL" localSheetId="19">Tabla4[[#All],[UND]]</definedName>
    <definedName name="U_MATERIAL" localSheetId="73">Tabla4[[#All],[UND]]</definedName>
    <definedName name="U_MATERIAL" localSheetId="74">Tabla4[[#All],[UND]]</definedName>
    <definedName name="U_MATERIAL" localSheetId="75">Tabla4[[#All],[UND]]</definedName>
    <definedName name="U_MATERIAL" localSheetId="76">Tabla4[[#All],[UND]]</definedName>
    <definedName name="U_MATERIAL" localSheetId="77">Tabla4[[#All],[UND]]</definedName>
    <definedName name="U_MATERIAL" localSheetId="78">Tabla4[[#All],[UND]]</definedName>
    <definedName name="U_MATERIAL" localSheetId="79">Tabla4[[#All],[UND]]</definedName>
    <definedName name="U_MATERIAL" localSheetId="80">Tabla4[[#All],[UND]]</definedName>
    <definedName name="U_MATERIAL" localSheetId="81">Tabla4[[#All],[UND]]</definedName>
    <definedName name="U_MATERIAL" localSheetId="82">Tabla4[[#All],[UND]]</definedName>
    <definedName name="U_MATERIAL" localSheetId="20">Tabla4[[#All],[UND]]</definedName>
    <definedName name="U_MATERIAL" localSheetId="83">Tabla4[[#All],[UND]]</definedName>
    <definedName name="U_MATERIAL" localSheetId="84">Tabla4[[#All],[UND]]</definedName>
    <definedName name="U_MATERIAL" localSheetId="85">Tabla4[[#All],[UND]]</definedName>
    <definedName name="U_MATERIAL" localSheetId="86">Tabla4[[#All],[UND]]</definedName>
    <definedName name="U_MATERIAL" localSheetId="87">Tabla4[[#All],[UND]]</definedName>
    <definedName name="U_MATERIAL" localSheetId="88">Tabla4[[#All],[UND]]</definedName>
    <definedName name="U_MATERIAL" localSheetId="89">Tabla4[[#All],[UND]]</definedName>
    <definedName name="U_MATERIAL" localSheetId="90">Tabla4[[#All],[UND]]</definedName>
    <definedName name="U_MATERIAL" localSheetId="91">Tabla4[[#All],[UND]]</definedName>
    <definedName name="U_MATERIAL" localSheetId="92">Tabla4[[#All],[UND]]</definedName>
    <definedName name="U_MATERIAL" localSheetId="21">Tabla4[[#All],[UND]]</definedName>
    <definedName name="U_MATERIAL" localSheetId="93">Tabla4[[#All],[UND]]</definedName>
    <definedName name="U_MATERIAL" localSheetId="22">Tabla4[[#All],[UND]]</definedName>
    <definedName name="U_MATERIAL" localSheetId="8">Tabla4[[#All],[UND]]</definedName>
    <definedName name="U_MATERIAL" localSheetId="9">Tabla4[[#All],[UND]]</definedName>
    <definedName name="U_MATERIAL">Tabla4[[#All],[UND]]</definedName>
    <definedName name="UTILIDAD">OFERTA!$D$223</definedName>
    <definedName name="V_COMBUSTIBLE_H" localSheetId="14">Tabla1[[#All],[VALOR COMBUSTIBLE POR HORA (FUEL GALLON VALUE PER HOUR)]]</definedName>
    <definedName name="V_COMBUSTIBLE_H" localSheetId="23">Tabla1[[#All],[VALOR COMBUSTIBLE POR HORA (FUEL GALLON VALUE PER HOUR)]]</definedName>
    <definedName name="V_COMBUSTIBLE_H" localSheetId="24">Tabla1[[#All],[VALOR COMBUSTIBLE POR HORA (FUEL GALLON VALUE PER HOUR)]]</definedName>
    <definedName name="V_COMBUSTIBLE_H" localSheetId="25">Tabla1[[#All],[VALOR COMBUSTIBLE POR HORA (FUEL GALLON VALUE PER HOUR)]]</definedName>
    <definedName name="V_COMBUSTIBLE_H" localSheetId="26">Tabla1[[#All],[VALOR COMBUSTIBLE POR HORA (FUEL GALLON VALUE PER HOUR)]]</definedName>
    <definedName name="V_COMBUSTIBLE_H" localSheetId="27">Tabla1[[#All],[VALOR COMBUSTIBLE POR HORA (FUEL GALLON VALUE PER HOUR)]]</definedName>
    <definedName name="V_COMBUSTIBLE_H" localSheetId="28">Tabla1[[#All],[VALOR COMBUSTIBLE POR HORA (FUEL GALLON VALUE PER HOUR)]]</definedName>
    <definedName name="V_COMBUSTIBLE_H" localSheetId="29">Tabla1[[#All],[VALOR COMBUSTIBLE POR HORA (FUEL GALLON VALUE PER HOUR)]]</definedName>
    <definedName name="V_COMBUSTIBLE_H" localSheetId="30">Tabla1[[#All],[VALOR COMBUSTIBLE POR HORA (FUEL GALLON VALUE PER HOUR)]]</definedName>
    <definedName name="V_COMBUSTIBLE_H" localSheetId="31">Tabla1[[#All],[VALOR COMBUSTIBLE POR HORA (FUEL GALLON VALUE PER HOUR)]]</definedName>
    <definedName name="V_COMBUSTIBLE_H" localSheetId="32">Tabla1[[#All],[VALOR COMBUSTIBLE POR HORA (FUEL GALLON VALUE PER HOUR)]]</definedName>
    <definedName name="V_COMBUSTIBLE_H" localSheetId="15">Tabla1[[#All],[VALOR COMBUSTIBLE POR HORA (FUEL GALLON VALUE PER HOUR)]]</definedName>
    <definedName name="V_COMBUSTIBLE_H" localSheetId="33">Tabla1[[#All],[VALOR COMBUSTIBLE POR HORA (FUEL GALLON VALUE PER HOUR)]]</definedName>
    <definedName name="V_COMBUSTIBLE_H" localSheetId="34">Tabla1[[#All],[VALOR COMBUSTIBLE POR HORA (FUEL GALLON VALUE PER HOUR)]]</definedName>
    <definedName name="V_COMBUSTIBLE_H" localSheetId="35">Tabla1[[#All],[VALOR COMBUSTIBLE POR HORA (FUEL GALLON VALUE PER HOUR)]]</definedName>
    <definedName name="V_COMBUSTIBLE_H" localSheetId="36">Tabla1[[#All],[VALOR COMBUSTIBLE POR HORA (FUEL GALLON VALUE PER HOUR)]]</definedName>
    <definedName name="V_COMBUSTIBLE_H" localSheetId="37">Tabla1[[#All],[VALOR COMBUSTIBLE POR HORA (FUEL GALLON VALUE PER HOUR)]]</definedName>
    <definedName name="V_COMBUSTIBLE_H" localSheetId="38">Tabla1[[#All],[VALOR COMBUSTIBLE POR HORA (FUEL GALLON VALUE PER HOUR)]]</definedName>
    <definedName name="V_COMBUSTIBLE_H" localSheetId="39">Tabla1[[#All],[VALOR COMBUSTIBLE POR HORA (FUEL GALLON VALUE PER HOUR)]]</definedName>
    <definedName name="V_COMBUSTIBLE_H" localSheetId="40">Tabla1[[#All],[VALOR COMBUSTIBLE POR HORA (FUEL GALLON VALUE PER HOUR)]]</definedName>
    <definedName name="V_COMBUSTIBLE_H" localSheetId="41">Tabla1[[#All],[VALOR COMBUSTIBLE POR HORA (FUEL GALLON VALUE PER HOUR)]]</definedName>
    <definedName name="V_COMBUSTIBLE_H" localSheetId="42">Tabla1[[#All],[VALOR COMBUSTIBLE POR HORA (FUEL GALLON VALUE PER HOUR)]]</definedName>
    <definedName name="V_COMBUSTIBLE_H" localSheetId="16">Tabla1[[#All],[VALOR COMBUSTIBLE POR HORA (FUEL GALLON VALUE PER HOUR)]]</definedName>
    <definedName name="V_COMBUSTIBLE_H" localSheetId="43">Tabla1[[#All],[VALOR COMBUSTIBLE POR HORA (FUEL GALLON VALUE PER HOUR)]]</definedName>
    <definedName name="V_COMBUSTIBLE_H" localSheetId="44">Tabla1[[#All],[VALOR COMBUSTIBLE POR HORA (FUEL GALLON VALUE PER HOUR)]]</definedName>
    <definedName name="V_COMBUSTIBLE_H" localSheetId="45">Tabla1[[#All],[VALOR COMBUSTIBLE POR HORA (FUEL GALLON VALUE PER HOUR)]]</definedName>
    <definedName name="V_COMBUSTIBLE_H" localSheetId="46">Tabla1[[#All],[VALOR COMBUSTIBLE POR HORA (FUEL GALLON VALUE PER HOUR)]]</definedName>
    <definedName name="V_COMBUSTIBLE_H" localSheetId="47">Tabla1[[#All],[VALOR COMBUSTIBLE POR HORA (FUEL GALLON VALUE PER HOUR)]]</definedName>
    <definedName name="V_COMBUSTIBLE_H" localSheetId="48">Tabla1[[#All],[VALOR COMBUSTIBLE POR HORA (FUEL GALLON VALUE PER HOUR)]]</definedName>
    <definedName name="V_COMBUSTIBLE_H" localSheetId="49">Tabla1[[#All],[VALOR COMBUSTIBLE POR HORA (FUEL GALLON VALUE PER HOUR)]]</definedName>
    <definedName name="V_COMBUSTIBLE_H" localSheetId="50">Tabla1[[#All],[VALOR COMBUSTIBLE POR HORA (FUEL GALLON VALUE PER HOUR)]]</definedName>
    <definedName name="V_COMBUSTIBLE_H" localSheetId="51">Tabla1[[#All],[VALOR COMBUSTIBLE POR HORA (FUEL GALLON VALUE PER HOUR)]]</definedName>
    <definedName name="V_COMBUSTIBLE_H" localSheetId="52">Tabla1[[#All],[VALOR COMBUSTIBLE POR HORA (FUEL GALLON VALUE PER HOUR)]]</definedName>
    <definedName name="V_COMBUSTIBLE_H" localSheetId="17">Tabla1[[#All],[VALOR COMBUSTIBLE POR HORA (FUEL GALLON VALUE PER HOUR)]]</definedName>
    <definedName name="V_COMBUSTIBLE_H" localSheetId="53">Tabla1[[#All],[VALOR COMBUSTIBLE POR HORA (FUEL GALLON VALUE PER HOUR)]]</definedName>
    <definedName name="V_COMBUSTIBLE_H" localSheetId="54">Tabla1[[#All],[VALOR COMBUSTIBLE POR HORA (FUEL GALLON VALUE PER HOUR)]]</definedName>
    <definedName name="V_COMBUSTIBLE_H" localSheetId="55">Tabla1[[#All],[VALOR COMBUSTIBLE POR HORA (FUEL GALLON VALUE PER HOUR)]]</definedName>
    <definedName name="V_COMBUSTIBLE_H" localSheetId="56">Tabla1[[#All],[VALOR COMBUSTIBLE POR HORA (FUEL GALLON VALUE PER HOUR)]]</definedName>
    <definedName name="V_COMBUSTIBLE_H" localSheetId="57">Tabla1[[#All],[VALOR COMBUSTIBLE POR HORA (FUEL GALLON VALUE PER HOUR)]]</definedName>
    <definedName name="V_COMBUSTIBLE_H" localSheetId="58">Tabla1[[#All],[VALOR COMBUSTIBLE POR HORA (FUEL GALLON VALUE PER HOUR)]]</definedName>
    <definedName name="V_COMBUSTIBLE_H" localSheetId="59">Tabla1[[#All],[VALOR COMBUSTIBLE POR HORA (FUEL GALLON VALUE PER HOUR)]]</definedName>
    <definedName name="V_COMBUSTIBLE_H" localSheetId="60">Tabla1[[#All],[VALOR COMBUSTIBLE POR HORA (FUEL GALLON VALUE PER HOUR)]]</definedName>
    <definedName name="V_COMBUSTIBLE_H" localSheetId="61">Tabla1[[#All],[VALOR COMBUSTIBLE POR HORA (FUEL GALLON VALUE PER HOUR)]]</definedName>
    <definedName name="V_COMBUSTIBLE_H" localSheetId="62">Tabla1[[#All],[VALOR COMBUSTIBLE POR HORA (FUEL GALLON VALUE PER HOUR)]]</definedName>
    <definedName name="V_COMBUSTIBLE_H" localSheetId="18">Tabla1[[#All],[VALOR COMBUSTIBLE POR HORA (FUEL GALLON VALUE PER HOUR)]]</definedName>
    <definedName name="V_COMBUSTIBLE_H" localSheetId="63">Tabla1[[#All],[VALOR COMBUSTIBLE POR HORA (FUEL GALLON VALUE PER HOUR)]]</definedName>
    <definedName name="V_COMBUSTIBLE_H" localSheetId="64">Tabla1[[#All],[VALOR COMBUSTIBLE POR HORA (FUEL GALLON VALUE PER HOUR)]]</definedName>
    <definedName name="V_COMBUSTIBLE_H" localSheetId="65">Tabla1[[#All],[VALOR COMBUSTIBLE POR HORA (FUEL GALLON VALUE PER HOUR)]]</definedName>
    <definedName name="V_COMBUSTIBLE_H" localSheetId="66">Tabla1[[#All],[VALOR COMBUSTIBLE POR HORA (FUEL GALLON VALUE PER HOUR)]]</definedName>
    <definedName name="V_COMBUSTIBLE_H" localSheetId="67">Tabla1[[#All],[VALOR COMBUSTIBLE POR HORA (FUEL GALLON VALUE PER HOUR)]]</definedName>
    <definedName name="V_COMBUSTIBLE_H" localSheetId="68">Tabla1[[#All],[VALOR COMBUSTIBLE POR HORA (FUEL GALLON VALUE PER HOUR)]]</definedName>
    <definedName name="V_COMBUSTIBLE_H" localSheetId="69">Tabla1[[#All],[VALOR COMBUSTIBLE POR HORA (FUEL GALLON VALUE PER HOUR)]]</definedName>
    <definedName name="V_COMBUSTIBLE_H" localSheetId="70">Tabla1[[#All],[VALOR COMBUSTIBLE POR HORA (FUEL GALLON VALUE PER HOUR)]]</definedName>
    <definedName name="V_COMBUSTIBLE_H" localSheetId="71">Tabla1[[#All],[VALOR COMBUSTIBLE POR HORA (FUEL GALLON VALUE PER HOUR)]]</definedName>
    <definedName name="V_COMBUSTIBLE_H" localSheetId="72">Tabla1[[#All],[VALOR COMBUSTIBLE POR HORA (FUEL GALLON VALUE PER HOUR)]]</definedName>
    <definedName name="V_COMBUSTIBLE_H" localSheetId="19">Tabla1[[#All],[VALOR COMBUSTIBLE POR HORA (FUEL GALLON VALUE PER HOUR)]]</definedName>
    <definedName name="V_COMBUSTIBLE_H" localSheetId="73">Tabla1[[#All],[VALOR COMBUSTIBLE POR HORA (FUEL GALLON VALUE PER HOUR)]]</definedName>
    <definedName name="V_COMBUSTIBLE_H" localSheetId="74">Tabla1[[#All],[VALOR COMBUSTIBLE POR HORA (FUEL GALLON VALUE PER HOUR)]]</definedName>
    <definedName name="V_COMBUSTIBLE_H" localSheetId="75">Tabla1[[#All],[VALOR COMBUSTIBLE POR HORA (FUEL GALLON VALUE PER HOUR)]]</definedName>
    <definedName name="V_COMBUSTIBLE_H" localSheetId="76">Tabla1[[#All],[VALOR COMBUSTIBLE POR HORA (FUEL GALLON VALUE PER HOUR)]]</definedName>
    <definedName name="V_COMBUSTIBLE_H" localSheetId="77">Tabla1[[#All],[VALOR COMBUSTIBLE POR HORA (FUEL GALLON VALUE PER HOUR)]]</definedName>
    <definedName name="V_COMBUSTIBLE_H" localSheetId="78">Tabla1[[#All],[VALOR COMBUSTIBLE POR HORA (FUEL GALLON VALUE PER HOUR)]]</definedName>
    <definedName name="V_COMBUSTIBLE_H" localSheetId="79">Tabla1[[#All],[VALOR COMBUSTIBLE POR HORA (FUEL GALLON VALUE PER HOUR)]]</definedName>
    <definedName name="V_COMBUSTIBLE_H" localSheetId="80">Tabla1[[#All],[VALOR COMBUSTIBLE POR HORA (FUEL GALLON VALUE PER HOUR)]]</definedName>
    <definedName name="V_COMBUSTIBLE_H" localSheetId="81">Tabla1[[#All],[VALOR COMBUSTIBLE POR HORA (FUEL GALLON VALUE PER HOUR)]]</definedName>
    <definedName name="V_COMBUSTIBLE_H" localSheetId="82">Tabla1[[#All],[VALOR COMBUSTIBLE POR HORA (FUEL GALLON VALUE PER HOUR)]]</definedName>
    <definedName name="V_COMBUSTIBLE_H" localSheetId="20">Tabla1[[#All],[VALOR COMBUSTIBLE POR HORA (FUEL GALLON VALUE PER HOUR)]]</definedName>
    <definedName name="V_COMBUSTIBLE_H" localSheetId="83">Tabla1[[#All],[VALOR COMBUSTIBLE POR HORA (FUEL GALLON VALUE PER HOUR)]]</definedName>
    <definedName name="V_COMBUSTIBLE_H" localSheetId="84">Tabla1[[#All],[VALOR COMBUSTIBLE POR HORA (FUEL GALLON VALUE PER HOUR)]]</definedName>
    <definedName name="V_COMBUSTIBLE_H" localSheetId="85">Tabla1[[#All],[VALOR COMBUSTIBLE POR HORA (FUEL GALLON VALUE PER HOUR)]]</definedName>
    <definedName name="V_COMBUSTIBLE_H" localSheetId="86">Tabla1[[#All],[VALOR COMBUSTIBLE POR HORA (FUEL GALLON VALUE PER HOUR)]]</definedName>
    <definedName name="V_COMBUSTIBLE_H" localSheetId="87">Tabla1[[#All],[VALOR COMBUSTIBLE POR HORA (FUEL GALLON VALUE PER HOUR)]]</definedName>
    <definedName name="V_COMBUSTIBLE_H" localSheetId="88">Tabla1[[#All],[VALOR COMBUSTIBLE POR HORA (FUEL GALLON VALUE PER HOUR)]]</definedName>
    <definedName name="V_COMBUSTIBLE_H" localSheetId="89">Tabla1[[#All],[VALOR COMBUSTIBLE POR HORA (FUEL GALLON VALUE PER HOUR)]]</definedName>
    <definedName name="V_COMBUSTIBLE_H" localSheetId="90">Tabla1[[#All],[VALOR COMBUSTIBLE POR HORA (FUEL GALLON VALUE PER HOUR)]]</definedName>
    <definedName name="V_COMBUSTIBLE_H" localSheetId="91">Tabla1[[#All],[VALOR COMBUSTIBLE POR HORA (FUEL GALLON VALUE PER HOUR)]]</definedName>
    <definedName name="V_COMBUSTIBLE_H" localSheetId="92">Tabla1[[#All],[VALOR COMBUSTIBLE POR HORA (FUEL GALLON VALUE PER HOUR)]]</definedName>
    <definedName name="V_COMBUSTIBLE_H" localSheetId="21">Tabla1[[#All],[VALOR COMBUSTIBLE POR HORA (FUEL GALLON VALUE PER HOUR)]]</definedName>
    <definedName name="V_COMBUSTIBLE_H" localSheetId="93">Tabla1[[#All],[VALOR COMBUSTIBLE POR HORA (FUEL GALLON VALUE PER HOUR)]]</definedName>
    <definedName name="V_COMBUSTIBLE_H" localSheetId="22">Tabla1[[#All],[VALOR COMBUSTIBLE POR HORA (FUEL GALLON VALUE PER HOUR)]]</definedName>
    <definedName name="V_COMBUSTIBLE_H" localSheetId="8">Tabla1[[#All],[VALOR COMBUSTIBLE POR HORA (FUEL GALLON VALUE PER HOUR)]]</definedName>
    <definedName name="V_COMBUSTIBLE_H" localSheetId="9">Tabla1[[#All],[VALOR COMBUSTIBLE POR HORA (FUEL GALLON VALUE PER HOUR)]]</definedName>
    <definedName name="V_COMBUSTIBLE_H">Tabla1[[#All],[VALOR COMBUSTIBLE POR HORA (FUEL GALLON VALUE PER HOUR)]]</definedName>
    <definedName name="V_GALON" localSheetId="14">Tabla1[[#All],[VALOR GALON COMBUSTIBLE (FUEL GALLON VALUE)]]</definedName>
    <definedName name="V_GALON" localSheetId="23">Tabla1[[#All],[VALOR GALON COMBUSTIBLE (FUEL GALLON VALUE)]]</definedName>
    <definedName name="V_GALON" localSheetId="24">Tabla1[[#All],[VALOR GALON COMBUSTIBLE (FUEL GALLON VALUE)]]</definedName>
    <definedName name="V_GALON" localSheetId="25">Tabla1[[#All],[VALOR GALON COMBUSTIBLE (FUEL GALLON VALUE)]]</definedName>
    <definedName name="V_GALON" localSheetId="26">Tabla1[[#All],[VALOR GALON COMBUSTIBLE (FUEL GALLON VALUE)]]</definedName>
    <definedName name="V_GALON" localSheetId="27">Tabla1[[#All],[VALOR GALON COMBUSTIBLE (FUEL GALLON VALUE)]]</definedName>
    <definedName name="V_GALON" localSheetId="28">Tabla1[[#All],[VALOR GALON COMBUSTIBLE (FUEL GALLON VALUE)]]</definedName>
    <definedName name="V_GALON" localSheetId="29">Tabla1[[#All],[VALOR GALON COMBUSTIBLE (FUEL GALLON VALUE)]]</definedName>
    <definedName name="V_GALON" localSheetId="30">Tabla1[[#All],[VALOR GALON COMBUSTIBLE (FUEL GALLON VALUE)]]</definedName>
    <definedName name="V_GALON" localSheetId="31">Tabla1[[#All],[VALOR GALON COMBUSTIBLE (FUEL GALLON VALUE)]]</definedName>
    <definedName name="V_GALON" localSheetId="32">Tabla1[[#All],[VALOR GALON COMBUSTIBLE (FUEL GALLON VALUE)]]</definedName>
    <definedName name="V_GALON" localSheetId="15">Tabla1[[#All],[VALOR GALON COMBUSTIBLE (FUEL GALLON VALUE)]]</definedName>
    <definedName name="V_GALON" localSheetId="33">Tabla1[[#All],[VALOR GALON COMBUSTIBLE (FUEL GALLON VALUE)]]</definedName>
    <definedName name="V_GALON" localSheetId="34">Tabla1[[#All],[VALOR GALON COMBUSTIBLE (FUEL GALLON VALUE)]]</definedName>
    <definedName name="V_GALON" localSheetId="35">Tabla1[[#All],[VALOR GALON COMBUSTIBLE (FUEL GALLON VALUE)]]</definedName>
    <definedName name="V_GALON" localSheetId="36">Tabla1[[#All],[VALOR GALON COMBUSTIBLE (FUEL GALLON VALUE)]]</definedName>
    <definedName name="V_GALON" localSheetId="37">Tabla1[[#All],[VALOR GALON COMBUSTIBLE (FUEL GALLON VALUE)]]</definedName>
    <definedName name="V_GALON" localSheetId="38">Tabla1[[#All],[VALOR GALON COMBUSTIBLE (FUEL GALLON VALUE)]]</definedName>
    <definedName name="V_GALON" localSheetId="39">Tabla1[[#All],[VALOR GALON COMBUSTIBLE (FUEL GALLON VALUE)]]</definedName>
    <definedName name="V_GALON" localSheetId="40">Tabla1[[#All],[VALOR GALON COMBUSTIBLE (FUEL GALLON VALUE)]]</definedName>
    <definedName name="V_GALON" localSheetId="41">Tabla1[[#All],[VALOR GALON COMBUSTIBLE (FUEL GALLON VALUE)]]</definedName>
    <definedName name="V_GALON" localSheetId="42">Tabla1[[#All],[VALOR GALON COMBUSTIBLE (FUEL GALLON VALUE)]]</definedName>
    <definedName name="V_GALON" localSheetId="16">Tabla1[[#All],[VALOR GALON COMBUSTIBLE (FUEL GALLON VALUE)]]</definedName>
    <definedName name="V_GALON" localSheetId="43">Tabla1[[#All],[VALOR GALON COMBUSTIBLE (FUEL GALLON VALUE)]]</definedName>
    <definedName name="V_GALON" localSheetId="44">Tabla1[[#All],[VALOR GALON COMBUSTIBLE (FUEL GALLON VALUE)]]</definedName>
    <definedName name="V_GALON" localSheetId="45">Tabla1[[#All],[VALOR GALON COMBUSTIBLE (FUEL GALLON VALUE)]]</definedName>
    <definedName name="V_GALON" localSheetId="46">Tabla1[[#All],[VALOR GALON COMBUSTIBLE (FUEL GALLON VALUE)]]</definedName>
    <definedName name="V_GALON" localSheetId="47">Tabla1[[#All],[VALOR GALON COMBUSTIBLE (FUEL GALLON VALUE)]]</definedName>
    <definedName name="V_GALON" localSheetId="48">Tabla1[[#All],[VALOR GALON COMBUSTIBLE (FUEL GALLON VALUE)]]</definedName>
    <definedName name="V_GALON" localSheetId="49">Tabla1[[#All],[VALOR GALON COMBUSTIBLE (FUEL GALLON VALUE)]]</definedName>
    <definedName name="V_GALON" localSheetId="50">Tabla1[[#All],[VALOR GALON COMBUSTIBLE (FUEL GALLON VALUE)]]</definedName>
    <definedName name="V_GALON" localSheetId="51">Tabla1[[#All],[VALOR GALON COMBUSTIBLE (FUEL GALLON VALUE)]]</definedName>
    <definedName name="V_GALON" localSheetId="52">Tabla1[[#All],[VALOR GALON COMBUSTIBLE (FUEL GALLON VALUE)]]</definedName>
    <definedName name="V_GALON" localSheetId="17">Tabla1[[#All],[VALOR GALON COMBUSTIBLE (FUEL GALLON VALUE)]]</definedName>
    <definedName name="V_GALON" localSheetId="53">Tabla1[[#All],[VALOR GALON COMBUSTIBLE (FUEL GALLON VALUE)]]</definedName>
    <definedName name="V_GALON" localSheetId="54">Tabla1[[#All],[VALOR GALON COMBUSTIBLE (FUEL GALLON VALUE)]]</definedName>
    <definedName name="V_GALON" localSheetId="55">Tabla1[[#All],[VALOR GALON COMBUSTIBLE (FUEL GALLON VALUE)]]</definedName>
    <definedName name="V_GALON" localSheetId="56">Tabla1[[#All],[VALOR GALON COMBUSTIBLE (FUEL GALLON VALUE)]]</definedName>
    <definedName name="V_GALON" localSheetId="57">Tabla1[[#All],[VALOR GALON COMBUSTIBLE (FUEL GALLON VALUE)]]</definedName>
    <definedName name="V_GALON" localSheetId="58">Tabla1[[#All],[VALOR GALON COMBUSTIBLE (FUEL GALLON VALUE)]]</definedName>
    <definedName name="V_GALON" localSheetId="59">Tabla1[[#All],[VALOR GALON COMBUSTIBLE (FUEL GALLON VALUE)]]</definedName>
    <definedName name="V_GALON" localSheetId="60">Tabla1[[#All],[VALOR GALON COMBUSTIBLE (FUEL GALLON VALUE)]]</definedName>
    <definedName name="V_GALON" localSheetId="61">Tabla1[[#All],[VALOR GALON COMBUSTIBLE (FUEL GALLON VALUE)]]</definedName>
    <definedName name="V_GALON" localSheetId="62">Tabla1[[#All],[VALOR GALON COMBUSTIBLE (FUEL GALLON VALUE)]]</definedName>
    <definedName name="V_GALON" localSheetId="18">Tabla1[[#All],[VALOR GALON COMBUSTIBLE (FUEL GALLON VALUE)]]</definedName>
    <definedName name="V_GALON" localSheetId="63">Tabla1[[#All],[VALOR GALON COMBUSTIBLE (FUEL GALLON VALUE)]]</definedName>
    <definedName name="V_GALON" localSheetId="64">Tabla1[[#All],[VALOR GALON COMBUSTIBLE (FUEL GALLON VALUE)]]</definedName>
    <definedName name="V_GALON" localSheetId="65">Tabla1[[#All],[VALOR GALON COMBUSTIBLE (FUEL GALLON VALUE)]]</definedName>
    <definedName name="V_GALON" localSheetId="66">Tabla1[[#All],[VALOR GALON COMBUSTIBLE (FUEL GALLON VALUE)]]</definedName>
    <definedName name="V_GALON" localSheetId="67">Tabla1[[#All],[VALOR GALON COMBUSTIBLE (FUEL GALLON VALUE)]]</definedName>
    <definedName name="V_GALON" localSheetId="68">Tabla1[[#All],[VALOR GALON COMBUSTIBLE (FUEL GALLON VALUE)]]</definedName>
    <definedName name="V_GALON" localSheetId="69">Tabla1[[#All],[VALOR GALON COMBUSTIBLE (FUEL GALLON VALUE)]]</definedName>
    <definedName name="V_GALON" localSheetId="70">Tabla1[[#All],[VALOR GALON COMBUSTIBLE (FUEL GALLON VALUE)]]</definedName>
    <definedName name="V_GALON" localSheetId="71">Tabla1[[#All],[VALOR GALON COMBUSTIBLE (FUEL GALLON VALUE)]]</definedName>
    <definedName name="V_GALON" localSheetId="72">Tabla1[[#All],[VALOR GALON COMBUSTIBLE (FUEL GALLON VALUE)]]</definedName>
    <definedName name="V_GALON" localSheetId="19">Tabla1[[#All],[VALOR GALON COMBUSTIBLE (FUEL GALLON VALUE)]]</definedName>
    <definedName name="V_GALON" localSheetId="73">Tabla1[[#All],[VALOR GALON COMBUSTIBLE (FUEL GALLON VALUE)]]</definedName>
    <definedName name="V_GALON" localSheetId="74">Tabla1[[#All],[VALOR GALON COMBUSTIBLE (FUEL GALLON VALUE)]]</definedName>
    <definedName name="V_GALON" localSheetId="75">Tabla1[[#All],[VALOR GALON COMBUSTIBLE (FUEL GALLON VALUE)]]</definedName>
    <definedName name="V_GALON" localSheetId="76">Tabla1[[#All],[VALOR GALON COMBUSTIBLE (FUEL GALLON VALUE)]]</definedName>
    <definedName name="V_GALON" localSheetId="77">Tabla1[[#All],[VALOR GALON COMBUSTIBLE (FUEL GALLON VALUE)]]</definedName>
    <definedName name="V_GALON" localSheetId="78">Tabla1[[#All],[VALOR GALON COMBUSTIBLE (FUEL GALLON VALUE)]]</definedName>
    <definedName name="V_GALON" localSheetId="79">Tabla1[[#All],[VALOR GALON COMBUSTIBLE (FUEL GALLON VALUE)]]</definedName>
    <definedName name="V_GALON" localSheetId="80">Tabla1[[#All],[VALOR GALON COMBUSTIBLE (FUEL GALLON VALUE)]]</definedName>
    <definedName name="V_GALON" localSheetId="81">Tabla1[[#All],[VALOR GALON COMBUSTIBLE (FUEL GALLON VALUE)]]</definedName>
    <definedName name="V_GALON" localSheetId="82">Tabla1[[#All],[VALOR GALON COMBUSTIBLE (FUEL GALLON VALUE)]]</definedName>
    <definedName name="V_GALON" localSheetId="20">Tabla1[[#All],[VALOR GALON COMBUSTIBLE (FUEL GALLON VALUE)]]</definedName>
    <definedName name="V_GALON" localSheetId="83">Tabla1[[#All],[VALOR GALON COMBUSTIBLE (FUEL GALLON VALUE)]]</definedName>
    <definedName name="V_GALON" localSheetId="84">Tabla1[[#All],[VALOR GALON COMBUSTIBLE (FUEL GALLON VALUE)]]</definedName>
    <definedName name="V_GALON" localSheetId="85">Tabla1[[#All],[VALOR GALON COMBUSTIBLE (FUEL GALLON VALUE)]]</definedName>
    <definedName name="V_GALON" localSheetId="86">Tabla1[[#All],[VALOR GALON COMBUSTIBLE (FUEL GALLON VALUE)]]</definedName>
    <definedName name="V_GALON" localSheetId="87">Tabla1[[#All],[VALOR GALON COMBUSTIBLE (FUEL GALLON VALUE)]]</definedName>
    <definedName name="V_GALON" localSheetId="88">Tabla1[[#All],[VALOR GALON COMBUSTIBLE (FUEL GALLON VALUE)]]</definedName>
    <definedName name="V_GALON" localSheetId="89">Tabla1[[#All],[VALOR GALON COMBUSTIBLE (FUEL GALLON VALUE)]]</definedName>
    <definedName name="V_GALON" localSheetId="90">Tabla1[[#All],[VALOR GALON COMBUSTIBLE (FUEL GALLON VALUE)]]</definedName>
    <definedName name="V_GALON" localSheetId="91">Tabla1[[#All],[VALOR GALON COMBUSTIBLE (FUEL GALLON VALUE)]]</definedName>
    <definedName name="V_GALON" localSheetId="92">Tabla1[[#All],[VALOR GALON COMBUSTIBLE (FUEL GALLON VALUE)]]</definedName>
    <definedName name="V_GALON" localSheetId="21">Tabla1[[#All],[VALOR GALON COMBUSTIBLE (FUEL GALLON VALUE)]]</definedName>
    <definedName name="V_GALON" localSheetId="93">Tabla1[[#All],[VALOR GALON COMBUSTIBLE (FUEL GALLON VALUE)]]</definedName>
    <definedName name="V_GALON" localSheetId="22">Tabla1[[#All],[VALOR GALON COMBUSTIBLE (FUEL GALLON VALUE)]]</definedName>
    <definedName name="V_GALON" localSheetId="8">Tabla1[[#All],[VALOR GALON COMBUSTIBLE (FUEL GALLON VALUE)]]</definedName>
    <definedName name="V_GALON" localSheetId="9">Tabla1[[#All],[VALOR GALON COMBUSTIBLE (FUEL GALLON VALUE)]]</definedName>
    <definedName name="V_GALON">Tabla1[[#All],[VALOR GALON COMBUSTIBLE (FUEL GALLON VALUE)]]</definedName>
    <definedName name="V_H_MANODEOBRA" localSheetId="14">Tabla2[[#All],[VALOR HORA]]</definedName>
    <definedName name="V_H_MANODEOBRA" localSheetId="23">Tabla2[[#All],[VALOR HORA]]</definedName>
    <definedName name="V_H_MANODEOBRA" localSheetId="24">Tabla2[[#All],[VALOR HORA]]</definedName>
    <definedName name="V_H_MANODEOBRA" localSheetId="25">Tabla2[[#All],[VALOR HORA]]</definedName>
    <definedName name="V_H_MANODEOBRA" localSheetId="26">Tabla2[[#All],[VALOR HORA]]</definedName>
    <definedName name="V_H_MANODEOBRA" localSheetId="27">Tabla2[[#All],[VALOR HORA]]</definedName>
    <definedName name="V_H_MANODEOBRA" localSheetId="28">Tabla2[[#All],[VALOR HORA]]</definedName>
    <definedName name="V_H_MANODEOBRA" localSheetId="29">Tabla2[[#All],[VALOR HORA]]</definedName>
    <definedName name="V_H_MANODEOBRA" localSheetId="30">Tabla2[[#All],[VALOR HORA]]</definedName>
    <definedName name="V_H_MANODEOBRA" localSheetId="31">Tabla2[[#All],[VALOR HORA]]</definedName>
    <definedName name="V_H_MANODEOBRA" localSheetId="32">Tabla2[[#All],[VALOR HORA]]</definedName>
    <definedName name="V_H_MANODEOBRA" localSheetId="15">Tabla2[[#All],[VALOR HORA]]</definedName>
    <definedName name="V_H_MANODEOBRA" localSheetId="33">Tabla2[[#All],[VALOR HORA]]</definedName>
    <definedName name="V_H_MANODEOBRA" localSheetId="34">Tabla2[[#All],[VALOR HORA]]</definedName>
    <definedName name="V_H_MANODEOBRA" localSheetId="35">Tabla2[[#All],[VALOR HORA]]</definedName>
    <definedName name="V_H_MANODEOBRA" localSheetId="36">Tabla2[[#All],[VALOR HORA]]</definedName>
    <definedName name="V_H_MANODEOBRA" localSheetId="37">Tabla2[[#All],[VALOR HORA]]</definedName>
    <definedName name="V_H_MANODEOBRA" localSheetId="38">Tabla2[[#All],[VALOR HORA]]</definedName>
    <definedName name="V_H_MANODEOBRA" localSheetId="39">Tabla2[[#All],[VALOR HORA]]</definedName>
    <definedName name="V_H_MANODEOBRA" localSheetId="40">Tabla2[[#All],[VALOR HORA]]</definedName>
    <definedName name="V_H_MANODEOBRA" localSheetId="41">Tabla2[[#All],[VALOR HORA]]</definedName>
    <definedName name="V_H_MANODEOBRA" localSheetId="42">Tabla2[[#All],[VALOR HORA]]</definedName>
    <definedName name="V_H_MANODEOBRA" localSheetId="16">Tabla2[[#All],[VALOR HORA]]</definedName>
    <definedName name="V_H_MANODEOBRA" localSheetId="43">Tabla2[[#All],[VALOR HORA]]</definedName>
    <definedName name="V_H_MANODEOBRA" localSheetId="44">Tabla2[[#All],[VALOR HORA]]</definedName>
    <definedName name="V_H_MANODEOBRA" localSheetId="45">Tabla2[[#All],[VALOR HORA]]</definedName>
    <definedName name="V_H_MANODEOBRA" localSheetId="46">Tabla2[[#All],[VALOR HORA]]</definedName>
    <definedName name="V_H_MANODEOBRA" localSheetId="47">Tabla2[[#All],[VALOR HORA]]</definedName>
    <definedName name="V_H_MANODEOBRA" localSheetId="48">Tabla2[[#All],[VALOR HORA]]</definedName>
    <definedName name="V_H_MANODEOBRA" localSheetId="49">Tabla2[[#All],[VALOR HORA]]</definedName>
    <definedName name="V_H_MANODEOBRA" localSheetId="50">Tabla2[[#All],[VALOR HORA]]</definedName>
    <definedName name="V_H_MANODEOBRA" localSheetId="51">Tabla2[[#All],[VALOR HORA]]</definedName>
    <definedName name="V_H_MANODEOBRA" localSheetId="52">Tabla2[[#All],[VALOR HORA]]</definedName>
    <definedName name="V_H_MANODEOBRA" localSheetId="17">Tabla2[[#All],[VALOR HORA]]</definedName>
    <definedName name="V_H_MANODEOBRA" localSheetId="53">Tabla2[[#All],[VALOR HORA]]</definedName>
    <definedName name="V_H_MANODEOBRA" localSheetId="54">Tabla2[[#All],[VALOR HORA]]</definedName>
    <definedName name="V_H_MANODEOBRA" localSheetId="55">Tabla2[[#All],[VALOR HORA]]</definedName>
    <definedName name="V_H_MANODEOBRA" localSheetId="56">Tabla2[[#All],[VALOR HORA]]</definedName>
    <definedName name="V_H_MANODEOBRA" localSheetId="57">Tabla2[[#All],[VALOR HORA]]</definedName>
    <definedName name="V_H_MANODEOBRA" localSheetId="58">Tabla2[[#All],[VALOR HORA]]</definedName>
    <definedName name="V_H_MANODEOBRA" localSheetId="59">Tabla2[[#All],[VALOR HORA]]</definedName>
    <definedName name="V_H_MANODEOBRA" localSheetId="60">Tabla2[[#All],[VALOR HORA]]</definedName>
    <definedName name="V_H_MANODEOBRA" localSheetId="61">Tabla2[[#All],[VALOR HORA]]</definedName>
    <definedName name="V_H_MANODEOBRA" localSheetId="62">Tabla2[[#All],[VALOR HORA]]</definedName>
    <definedName name="V_H_MANODEOBRA" localSheetId="18">Tabla2[[#All],[VALOR HORA]]</definedName>
    <definedName name="V_H_MANODEOBRA" localSheetId="63">Tabla2[[#All],[VALOR HORA]]</definedName>
    <definedName name="V_H_MANODEOBRA" localSheetId="64">Tabla2[[#All],[VALOR HORA]]</definedName>
    <definedName name="V_H_MANODEOBRA" localSheetId="65">Tabla2[[#All],[VALOR HORA]]</definedName>
    <definedName name="V_H_MANODEOBRA" localSheetId="66">Tabla2[[#All],[VALOR HORA]]</definedName>
    <definedName name="V_H_MANODEOBRA" localSheetId="67">Tabla2[[#All],[VALOR HORA]]</definedName>
    <definedName name="V_H_MANODEOBRA" localSheetId="68">Tabla2[[#All],[VALOR HORA]]</definedName>
    <definedName name="V_H_MANODEOBRA" localSheetId="69">Tabla2[[#All],[VALOR HORA]]</definedName>
    <definedName name="V_H_MANODEOBRA" localSheetId="70">Tabla2[[#All],[VALOR HORA]]</definedName>
    <definedName name="V_H_MANODEOBRA" localSheetId="71">Tabla2[[#All],[VALOR HORA]]</definedName>
    <definedName name="V_H_MANODEOBRA" localSheetId="72">Tabla2[[#All],[VALOR HORA]]</definedName>
    <definedName name="V_H_MANODEOBRA" localSheetId="19">Tabla2[[#All],[VALOR HORA]]</definedName>
    <definedName name="V_H_MANODEOBRA" localSheetId="73">Tabla2[[#All],[VALOR HORA]]</definedName>
    <definedName name="V_H_MANODEOBRA" localSheetId="74">Tabla2[[#All],[VALOR HORA]]</definedName>
    <definedName name="V_H_MANODEOBRA" localSheetId="75">Tabla2[[#All],[VALOR HORA]]</definedName>
    <definedName name="V_H_MANODEOBRA" localSheetId="76">Tabla2[[#All],[VALOR HORA]]</definedName>
    <definedName name="V_H_MANODEOBRA" localSheetId="77">Tabla2[[#All],[VALOR HORA]]</definedName>
    <definedName name="V_H_MANODEOBRA" localSheetId="78">Tabla2[[#All],[VALOR HORA]]</definedName>
    <definedName name="V_H_MANODEOBRA" localSheetId="79">Tabla2[[#All],[VALOR HORA]]</definedName>
    <definedName name="V_H_MANODEOBRA" localSheetId="80">Tabla2[[#All],[VALOR HORA]]</definedName>
    <definedName name="V_H_MANODEOBRA" localSheetId="81">Tabla2[[#All],[VALOR HORA]]</definedName>
    <definedName name="V_H_MANODEOBRA" localSheetId="82">Tabla2[[#All],[VALOR HORA]]</definedName>
    <definedName name="V_H_MANODEOBRA" localSheetId="20">Tabla2[[#All],[VALOR HORA]]</definedName>
    <definedName name="V_H_MANODEOBRA" localSheetId="83">Tabla2[[#All],[VALOR HORA]]</definedName>
    <definedName name="V_H_MANODEOBRA" localSheetId="84">Tabla2[[#All],[VALOR HORA]]</definedName>
    <definedName name="V_H_MANODEOBRA" localSheetId="85">Tabla2[[#All],[VALOR HORA]]</definedName>
    <definedName name="V_H_MANODEOBRA" localSheetId="86">Tabla2[[#All],[VALOR HORA]]</definedName>
    <definedName name="V_H_MANODEOBRA" localSheetId="87">Tabla2[[#All],[VALOR HORA]]</definedName>
    <definedName name="V_H_MANODEOBRA" localSheetId="88">Tabla2[[#All],[VALOR HORA]]</definedName>
    <definedName name="V_H_MANODEOBRA" localSheetId="89">Tabla2[[#All],[VALOR HORA]]</definedName>
    <definedName name="V_H_MANODEOBRA" localSheetId="90">Tabla2[[#All],[VALOR HORA]]</definedName>
    <definedName name="V_H_MANODEOBRA" localSheetId="91">Tabla2[[#All],[VALOR HORA]]</definedName>
    <definedName name="V_H_MANODEOBRA" localSheetId="92">Tabla2[[#All],[VALOR HORA]]</definedName>
    <definedName name="V_H_MANODEOBRA" localSheetId="21">Tabla2[[#All],[VALOR HORA]]</definedName>
    <definedName name="V_H_MANODEOBRA" localSheetId="93">Tabla2[[#All],[VALOR HORA]]</definedName>
    <definedName name="V_H_MANODEOBRA" localSheetId="22">Tabla2[[#All],[VALOR HORA]]</definedName>
    <definedName name="V_H_MANODEOBRA" localSheetId="8">Tabla2[[#All],[VALOR HORA]]</definedName>
    <definedName name="V_H_MANODEOBRA" localSheetId="9">Tabla2[[#All],[VALOR HORA]]</definedName>
    <definedName name="V_H_MANODEOBRA">Tabla2[[#All],[VALOR HORA]]</definedName>
    <definedName name="V_MANODEOBRA_MENSUAL" localSheetId="14">Tabla2[[#All],[V MENSUAL ]]</definedName>
    <definedName name="V_MANODEOBRA_MENSUAL" localSheetId="23">Tabla2[[#All],[V MENSUAL ]]</definedName>
    <definedName name="V_MANODEOBRA_MENSUAL" localSheetId="24">Tabla2[[#All],[V MENSUAL ]]</definedName>
    <definedName name="V_MANODEOBRA_MENSUAL" localSheetId="25">Tabla2[[#All],[V MENSUAL ]]</definedName>
    <definedName name="V_MANODEOBRA_MENSUAL" localSheetId="26">Tabla2[[#All],[V MENSUAL ]]</definedName>
    <definedName name="V_MANODEOBRA_MENSUAL" localSheetId="27">Tabla2[[#All],[V MENSUAL ]]</definedName>
    <definedName name="V_MANODEOBRA_MENSUAL" localSheetId="28">Tabla2[[#All],[V MENSUAL ]]</definedName>
    <definedName name="V_MANODEOBRA_MENSUAL" localSheetId="29">Tabla2[[#All],[V MENSUAL ]]</definedName>
    <definedName name="V_MANODEOBRA_MENSUAL" localSheetId="30">Tabla2[[#All],[V MENSUAL ]]</definedName>
    <definedName name="V_MANODEOBRA_MENSUAL" localSheetId="31">Tabla2[[#All],[V MENSUAL ]]</definedName>
    <definedName name="V_MANODEOBRA_MENSUAL" localSheetId="32">Tabla2[[#All],[V MENSUAL ]]</definedName>
    <definedName name="V_MANODEOBRA_MENSUAL" localSheetId="15">Tabla2[[#All],[V MENSUAL ]]</definedName>
    <definedName name="V_MANODEOBRA_MENSUAL" localSheetId="33">Tabla2[[#All],[V MENSUAL ]]</definedName>
    <definedName name="V_MANODEOBRA_MENSUAL" localSheetId="34">Tabla2[[#All],[V MENSUAL ]]</definedName>
    <definedName name="V_MANODEOBRA_MENSUAL" localSheetId="35">Tabla2[[#All],[V MENSUAL ]]</definedName>
    <definedName name="V_MANODEOBRA_MENSUAL" localSheetId="36">Tabla2[[#All],[V MENSUAL ]]</definedName>
    <definedName name="V_MANODEOBRA_MENSUAL" localSheetId="37">Tabla2[[#All],[V MENSUAL ]]</definedName>
    <definedName name="V_MANODEOBRA_MENSUAL" localSheetId="38">Tabla2[[#All],[V MENSUAL ]]</definedName>
    <definedName name="V_MANODEOBRA_MENSUAL" localSheetId="39">Tabla2[[#All],[V MENSUAL ]]</definedName>
    <definedName name="V_MANODEOBRA_MENSUAL" localSheetId="40">Tabla2[[#All],[V MENSUAL ]]</definedName>
    <definedName name="V_MANODEOBRA_MENSUAL" localSheetId="41">Tabla2[[#All],[V MENSUAL ]]</definedName>
    <definedName name="V_MANODEOBRA_MENSUAL" localSheetId="42">Tabla2[[#All],[V MENSUAL ]]</definedName>
    <definedName name="V_MANODEOBRA_MENSUAL" localSheetId="16">Tabla2[[#All],[V MENSUAL ]]</definedName>
    <definedName name="V_MANODEOBRA_MENSUAL" localSheetId="43">Tabla2[[#All],[V MENSUAL ]]</definedName>
    <definedName name="V_MANODEOBRA_MENSUAL" localSheetId="44">Tabla2[[#All],[V MENSUAL ]]</definedName>
    <definedName name="V_MANODEOBRA_MENSUAL" localSheetId="45">Tabla2[[#All],[V MENSUAL ]]</definedName>
    <definedName name="V_MANODEOBRA_MENSUAL" localSheetId="46">Tabla2[[#All],[V MENSUAL ]]</definedName>
    <definedName name="V_MANODEOBRA_MENSUAL" localSheetId="47">Tabla2[[#All],[V MENSUAL ]]</definedName>
    <definedName name="V_MANODEOBRA_MENSUAL" localSheetId="48">Tabla2[[#All],[V MENSUAL ]]</definedName>
    <definedName name="V_MANODEOBRA_MENSUAL" localSheetId="49">Tabla2[[#All],[V MENSUAL ]]</definedName>
    <definedName name="V_MANODEOBRA_MENSUAL" localSheetId="50">Tabla2[[#All],[V MENSUAL ]]</definedName>
    <definedName name="V_MANODEOBRA_MENSUAL" localSheetId="51">Tabla2[[#All],[V MENSUAL ]]</definedName>
    <definedName name="V_MANODEOBRA_MENSUAL" localSheetId="52">Tabla2[[#All],[V MENSUAL ]]</definedName>
    <definedName name="V_MANODEOBRA_MENSUAL" localSheetId="17">Tabla2[[#All],[V MENSUAL ]]</definedName>
    <definedName name="V_MANODEOBRA_MENSUAL" localSheetId="53">Tabla2[[#All],[V MENSUAL ]]</definedName>
    <definedName name="V_MANODEOBRA_MENSUAL" localSheetId="54">Tabla2[[#All],[V MENSUAL ]]</definedName>
    <definedName name="V_MANODEOBRA_MENSUAL" localSheetId="55">Tabla2[[#All],[V MENSUAL ]]</definedName>
    <definedName name="V_MANODEOBRA_MENSUAL" localSheetId="56">Tabla2[[#All],[V MENSUAL ]]</definedName>
    <definedName name="V_MANODEOBRA_MENSUAL" localSheetId="57">Tabla2[[#All],[V MENSUAL ]]</definedName>
    <definedName name="V_MANODEOBRA_MENSUAL" localSheetId="58">Tabla2[[#All],[V MENSUAL ]]</definedName>
    <definedName name="V_MANODEOBRA_MENSUAL" localSheetId="59">Tabla2[[#All],[V MENSUAL ]]</definedName>
    <definedName name="V_MANODEOBRA_MENSUAL" localSheetId="60">Tabla2[[#All],[V MENSUAL ]]</definedName>
    <definedName name="V_MANODEOBRA_MENSUAL" localSheetId="61">Tabla2[[#All],[V MENSUAL ]]</definedName>
    <definedName name="V_MANODEOBRA_MENSUAL" localSheetId="62">Tabla2[[#All],[V MENSUAL ]]</definedName>
    <definedName name="V_MANODEOBRA_MENSUAL" localSheetId="18">Tabla2[[#All],[V MENSUAL ]]</definedName>
    <definedName name="V_MANODEOBRA_MENSUAL" localSheetId="63">Tabla2[[#All],[V MENSUAL ]]</definedName>
    <definedName name="V_MANODEOBRA_MENSUAL" localSheetId="64">Tabla2[[#All],[V MENSUAL ]]</definedName>
    <definedName name="V_MANODEOBRA_MENSUAL" localSheetId="65">Tabla2[[#All],[V MENSUAL ]]</definedName>
    <definedName name="V_MANODEOBRA_MENSUAL" localSheetId="66">Tabla2[[#All],[V MENSUAL ]]</definedName>
    <definedName name="V_MANODEOBRA_MENSUAL" localSheetId="67">Tabla2[[#All],[V MENSUAL ]]</definedName>
    <definedName name="V_MANODEOBRA_MENSUAL" localSheetId="68">Tabla2[[#All],[V MENSUAL ]]</definedName>
    <definedName name="V_MANODEOBRA_MENSUAL" localSheetId="69">Tabla2[[#All],[V MENSUAL ]]</definedName>
    <definedName name="V_MANODEOBRA_MENSUAL" localSheetId="70">Tabla2[[#All],[V MENSUAL ]]</definedName>
    <definedName name="V_MANODEOBRA_MENSUAL" localSheetId="71">Tabla2[[#All],[V MENSUAL ]]</definedName>
    <definedName name="V_MANODEOBRA_MENSUAL" localSheetId="72">Tabla2[[#All],[V MENSUAL ]]</definedName>
    <definedName name="V_MANODEOBRA_MENSUAL" localSheetId="19">Tabla2[[#All],[V MENSUAL ]]</definedName>
    <definedName name="V_MANODEOBRA_MENSUAL" localSheetId="73">Tabla2[[#All],[V MENSUAL ]]</definedName>
    <definedName name="V_MANODEOBRA_MENSUAL" localSheetId="74">Tabla2[[#All],[V MENSUAL ]]</definedName>
    <definedName name="V_MANODEOBRA_MENSUAL" localSheetId="75">Tabla2[[#All],[V MENSUAL ]]</definedName>
    <definedName name="V_MANODEOBRA_MENSUAL" localSheetId="76">Tabla2[[#All],[V MENSUAL ]]</definedName>
    <definedName name="V_MANODEOBRA_MENSUAL" localSheetId="77">Tabla2[[#All],[V MENSUAL ]]</definedName>
    <definedName name="V_MANODEOBRA_MENSUAL" localSheetId="78">Tabla2[[#All],[V MENSUAL ]]</definedName>
    <definedName name="V_MANODEOBRA_MENSUAL" localSheetId="79">Tabla2[[#All],[V MENSUAL ]]</definedName>
    <definedName name="V_MANODEOBRA_MENSUAL" localSheetId="80">Tabla2[[#All],[V MENSUAL ]]</definedName>
    <definedName name="V_MANODEOBRA_MENSUAL" localSheetId="81">Tabla2[[#All],[V MENSUAL ]]</definedName>
    <definedName name="V_MANODEOBRA_MENSUAL" localSheetId="82">Tabla2[[#All],[V MENSUAL ]]</definedName>
    <definedName name="V_MANODEOBRA_MENSUAL" localSheetId="20">Tabla2[[#All],[V MENSUAL ]]</definedName>
    <definedName name="V_MANODEOBRA_MENSUAL" localSheetId="83">Tabla2[[#All],[V MENSUAL ]]</definedName>
    <definedName name="V_MANODEOBRA_MENSUAL" localSheetId="84">Tabla2[[#All],[V MENSUAL ]]</definedName>
    <definedName name="V_MANODEOBRA_MENSUAL" localSheetId="85">Tabla2[[#All],[V MENSUAL ]]</definedName>
    <definedName name="V_MANODEOBRA_MENSUAL" localSheetId="86">Tabla2[[#All],[V MENSUAL ]]</definedName>
    <definedName name="V_MANODEOBRA_MENSUAL" localSheetId="87">Tabla2[[#All],[V MENSUAL ]]</definedName>
    <definedName name="V_MANODEOBRA_MENSUAL" localSheetId="88">Tabla2[[#All],[V MENSUAL ]]</definedName>
    <definedName name="V_MANODEOBRA_MENSUAL" localSheetId="89">Tabla2[[#All],[V MENSUAL ]]</definedName>
    <definedName name="V_MANODEOBRA_MENSUAL" localSheetId="90">Tabla2[[#All],[V MENSUAL ]]</definedName>
    <definedName name="V_MANODEOBRA_MENSUAL" localSheetId="91">Tabla2[[#All],[V MENSUAL ]]</definedName>
    <definedName name="V_MANODEOBRA_MENSUAL" localSheetId="92">Tabla2[[#All],[V MENSUAL ]]</definedName>
    <definedName name="V_MANODEOBRA_MENSUAL" localSheetId="21">Tabla2[[#All],[V MENSUAL ]]</definedName>
    <definedName name="V_MANODEOBRA_MENSUAL" localSheetId="93">Tabla2[[#All],[V MENSUAL ]]</definedName>
    <definedName name="V_MANODEOBRA_MENSUAL" localSheetId="22">Tabla2[[#All],[V MENSUAL ]]</definedName>
    <definedName name="V_MANODEOBRA_MENSUAL" localSheetId="8">Tabla2[[#All],[V MENSUAL ]]</definedName>
    <definedName name="V_MANODEOBRA_MENSUAL" localSheetId="9">Tabla2[[#All],[V MENSUAL ]]</definedName>
    <definedName name="V_MANODEOBRA_MENSUAL">Tabla2[[#All],[V MENSUAL ]]</definedName>
    <definedName name="V_MAQUINARIA" localSheetId="14">Tabla1[[#All],[VALOR TOTAL HORA (TOTAL HOURLY)]]</definedName>
    <definedName name="V_MAQUINARIA" localSheetId="23">Tabla1[[#All],[VALOR TOTAL HORA (TOTAL HOURLY)]]</definedName>
    <definedName name="V_MAQUINARIA" localSheetId="24">Tabla1[[#All],[VALOR TOTAL HORA (TOTAL HOURLY)]]</definedName>
    <definedName name="V_MAQUINARIA" localSheetId="25">Tabla1[[#All],[VALOR TOTAL HORA (TOTAL HOURLY)]]</definedName>
    <definedName name="V_MAQUINARIA" localSheetId="26">Tabla1[[#All],[VALOR TOTAL HORA (TOTAL HOURLY)]]</definedName>
    <definedName name="V_MAQUINARIA" localSheetId="27">Tabla1[[#All],[VALOR TOTAL HORA (TOTAL HOURLY)]]</definedName>
    <definedName name="V_MAQUINARIA" localSheetId="28">Tabla1[[#All],[VALOR TOTAL HORA (TOTAL HOURLY)]]</definedName>
    <definedName name="V_MAQUINARIA" localSheetId="29">Tabla1[[#All],[VALOR TOTAL HORA (TOTAL HOURLY)]]</definedName>
    <definedName name="V_MAQUINARIA" localSheetId="30">Tabla1[[#All],[VALOR TOTAL HORA (TOTAL HOURLY)]]</definedName>
    <definedName name="V_MAQUINARIA" localSheetId="31">Tabla1[[#All],[VALOR TOTAL HORA (TOTAL HOURLY)]]</definedName>
    <definedName name="V_MAQUINARIA" localSheetId="32">Tabla1[[#All],[VALOR TOTAL HORA (TOTAL HOURLY)]]</definedName>
    <definedName name="V_MAQUINARIA" localSheetId="15">Tabla1[[#All],[VALOR TOTAL HORA (TOTAL HOURLY)]]</definedName>
    <definedName name="V_MAQUINARIA" localSheetId="33">Tabla1[[#All],[VALOR TOTAL HORA (TOTAL HOURLY)]]</definedName>
    <definedName name="V_MAQUINARIA" localSheetId="34">Tabla1[[#All],[VALOR TOTAL HORA (TOTAL HOURLY)]]</definedName>
    <definedName name="V_MAQUINARIA" localSheetId="35">Tabla1[[#All],[VALOR TOTAL HORA (TOTAL HOURLY)]]</definedName>
    <definedName name="V_MAQUINARIA" localSheetId="36">Tabla1[[#All],[VALOR TOTAL HORA (TOTAL HOURLY)]]</definedName>
    <definedName name="V_MAQUINARIA" localSheetId="37">Tabla1[[#All],[VALOR TOTAL HORA (TOTAL HOURLY)]]</definedName>
    <definedName name="V_MAQUINARIA" localSheetId="38">Tabla1[[#All],[VALOR TOTAL HORA (TOTAL HOURLY)]]</definedName>
    <definedName name="V_MAQUINARIA" localSheetId="39">Tabla1[[#All],[VALOR TOTAL HORA (TOTAL HOURLY)]]</definedName>
    <definedName name="V_MAQUINARIA" localSheetId="40">Tabla1[[#All],[VALOR TOTAL HORA (TOTAL HOURLY)]]</definedName>
    <definedName name="V_MAQUINARIA" localSheetId="41">Tabla1[[#All],[VALOR TOTAL HORA (TOTAL HOURLY)]]</definedName>
    <definedName name="V_MAQUINARIA" localSheetId="42">Tabla1[[#All],[VALOR TOTAL HORA (TOTAL HOURLY)]]</definedName>
    <definedName name="V_MAQUINARIA" localSheetId="16">Tabla1[[#All],[VALOR TOTAL HORA (TOTAL HOURLY)]]</definedName>
    <definedName name="V_MAQUINARIA" localSheetId="43">Tabla1[[#All],[VALOR TOTAL HORA (TOTAL HOURLY)]]</definedName>
    <definedName name="V_MAQUINARIA" localSheetId="44">Tabla1[[#All],[VALOR TOTAL HORA (TOTAL HOURLY)]]</definedName>
    <definedName name="V_MAQUINARIA" localSheetId="45">Tabla1[[#All],[VALOR TOTAL HORA (TOTAL HOURLY)]]</definedName>
    <definedName name="V_MAQUINARIA" localSheetId="46">Tabla1[[#All],[VALOR TOTAL HORA (TOTAL HOURLY)]]</definedName>
    <definedName name="V_MAQUINARIA" localSheetId="47">Tabla1[[#All],[VALOR TOTAL HORA (TOTAL HOURLY)]]</definedName>
    <definedName name="V_MAQUINARIA" localSheetId="48">Tabla1[[#All],[VALOR TOTAL HORA (TOTAL HOURLY)]]</definedName>
    <definedName name="V_MAQUINARIA" localSheetId="49">Tabla1[[#All],[VALOR TOTAL HORA (TOTAL HOURLY)]]</definedName>
    <definedName name="V_MAQUINARIA" localSheetId="50">Tabla1[[#All],[VALOR TOTAL HORA (TOTAL HOURLY)]]</definedName>
    <definedName name="V_MAQUINARIA" localSheetId="51">Tabla1[[#All],[VALOR TOTAL HORA (TOTAL HOURLY)]]</definedName>
    <definedName name="V_MAQUINARIA" localSheetId="52">Tabla1[[#All],[VALOR TOTAL HORA (TOTAL HOURLY)]]</definedName>
    <definedName name="V_MAQUINARIA" localSheetId="17">Tabla1[[#All],[VALOR TOTAL HORA (TOTAL HOURLY)]]</definedName>
    <definedName name="V_MAQUINARIA" localSheetId="53">Tabla1[[#All],[VALOR TOTAL HORA (TOTAL HOURLY)]]</definedName>
    <definedName name="V_MAQUINARIA" localSheetId="54">Tabla1[[#All],[VALOR TOTAL HORA (TOTAL HOURLY)]]</definedName>
    <definedName name="V_MAQUINARIA" localSheetId="55">Tabla1[[#All],[VALOR TOTAL HORA (TOTAL HOURLY)]]</definedName>
    <definedName name="V_MAQUINARIA" localSheetId="56">Tabla1[[#All],[VALOR TOTAL HORA (TOTAL HOURLY)]]</definedName>
    <definedName name="V_MAQUINARIA" localSheetId="57">Tabla1[[#All],[VALOR TOTAL HORA (TOTAL HOURLY)]]</definedName>
    <definedName name="V_MAQUINARIA" localSheetId="58">Tabla1[[#All],[VALOR TOTAL HORA (TOTAL HOURLY)]]</definedName>
    <definedName name="V_MAQUINARIA" localSheetId="59">Tabla1[[#All],[VALOR TOTAL HORA (TOTAL HOURLY)]]</definedName>
    <definedName name="V_MAQUINARIA" localSheetId="60">Tabla1[[#All],[VALOR TOTAL HORA (TOTAL HOURLY)]]</definedName>
    <definedName name="V_MAQUINARIA" localSheetId="61">Tabla1[[#All],[VALOR TOTAL HORA (TOTAL HOURLY)]]</definedName>
    <definedName name="V_MAQUINARIA" localSheetId="62">Tabla1[[#All],[VALOR TOTAL HORA (TOTAL HOURLY)]]</definedName>
    <definedName name="V_MAQUINARIA" localSheetId="18">Tabla1[[#All],[VALOR TOTAL HORA (TOTAL HOURLY)]]</definedName>
    <definedName name="V_MAQUINARIA" localSheetId="63">Tabla1[[#All],[VALOR TOTAL HORA (TOTAL HOURLY)]]</definedName>
    <definedName name="V_MAQUINARIA" localSheetId="64">Tabla1[[#All],[VALOR TOTAL HORA (TOTAL HOURLY)]]</definedName>
    <definedName name="V_MAQUINARIA" localSheetId="65">Tabla1[[#All],[VALOR TOTAL HORA (TOTAL HOURLY)]]</definedName>
    <definedName name="V_MAQUINARIA" localSheetId="66">Tabla1[[#All],[VALOR TOTAL HORA (TOTAL HOURLY)]]</definedName>
    <definedName name="V_MAQUINARIA" localSheetId="67">Tabla1[[#All],[VALOR TOTAL HORA (TOTAL HOURLY)]]</definedName>
    <definedName name="V_MAQUINARIA" localSheetId="68">Tabla1[[#All],[VALOR TOTAL HORA (TOTAL HOURLY)]]</definedName>
    <definedName name="V_MAQUINARIA" localSheetId="69">Tabla1[[#All],[VALOR TOTAL HORA (TOTAL HOURLY)]]</definedName>
    <definedName name="V_MAQUINARIA" localSheetId="70">Tabla1[[#All],[VALOR TOTAL HORA (TOTAL HOURLY)]]</definedName>
    <definedName name="V_MAQUINARIA" localSheetId="71">Tabla1[[#All],[VALOR TOTAL HORA (TOTAL HOURLY)]]</definedName>
    <definedName name="V_MAQUINARIA" localSheetId="72">Tabla1[[#All],[VALOR TOTAL HORA (TOTAL HOURLY)]]</definedName>
    <definedName name="V_MAQUINARIA" localSheetId="19">Tabla1[[#All],[VALOR TOTAL HORA (TOTAL HOURLY)]]</definedName>
    <definedName name="V_MAQUINARIA" localSheetId="73">Tabla1[[#All],[VALOR TOTAL HORA (TOTAL HOURLY)]]</definedName>
    <definedName name="V_MAQUINARIA" localSheetId="74">Tabla1[[#All],[VALOR TOTAL HORA (TOTAL HOURLY)]]</definedName>
    <definedName name="V_MAQUINARIA" localSheetId="75">Tabla1[[#All],[VALOR TOTAL HORA (TOTAL HOURLY)]]</definedName>
    <definedName name="V_MAQUINARIA" localSheetId="76">Tabla1[[#All],[VALOR TOTAL HORA (TOTAL HOURLY)]]</definedName>
    <definedName name="V_MAQUINARIA" localSheetId="77">Tabla1[[#All],[VALOR TOTAL HORA (TOTAL HOURLY)]]</definedName>
    <definedName name="V_MAQUINARIA" localSheetId="78">Tabla1[[#All],[VALOR TOTAL HORA (TOTAL HOURLY)]]</definedName>
    <definedName name="V_MAQUINARIA" localSheetId="79">Tabla1[[#All],[VALOR TOTAL HORA (TOTAL HOURLY)]]</definedName>
    <definedName name="V_MAQUINARIA" localSheetId="80">Tabla1[[#All],[VALOR TOTAL HORA (TOTAL HOURLY)]]</definedName>
    <definedName name="V_MAQUINARIA" localSheetId="81">Tabla1[[#All],[VALOR TOTAL HORA (TOTAL HOURLY)]]</definedName>
    <definedName name="V_MAQUINARIA" localSheetId="82">Tabla1[[#All],[VALOR TOTAL HORA (TOTAL HOURLY)]]</definedName>
    <definedName name="V_MAQUINARIA" localSheetId="20">Tabla1[[#All],[VALOR TOTAL HORA (TOTAL HOURLY)]]</definedName>
    <definedName name="V_MAQUINARIA" localSheetId="83">Tabla1[[#All],[VALOR TOTAL HORA (TOTAL HOURLY)]]</definedName>
    <definedName name="V_MAQUINARIA" localSheetId="84">Tabla1[[#All],[VALOR TOTAL HORA (TOTAL HOURLY)]]</definedName>
    <definedName name="V_MAQUINARIA" localSheetId="85">Tabla1[[#All],[VALOR TOTAL HORA (TOTAL HOURLY)]]</definedName>
    <definedName name="V_MAQUINARIA" localSheetId="86">Tabla1[[#All],[VALOR TOTAL HORA (TOTAL HOURLY)]]</definedName>
    <definedName name="V_MAQUINARIA" localSheetId="87">Tabla1[[#All],[VALOR TOTAL HORA (TOTAL HOURLY)]]</definedName>
    <definedName name="V_MAQUINARIA" localSheetId="88">Tabla1[[#All],[VALOR TOTAL HORA (TOTAL HOURLY)]]</definedName>
    <definedName name="V_MAQUINARIA" localSheetId="89">Tabla1[[#All],[VALOR TOTAL HORA (TOTAL HOURLY)]]</definedName>
    <definedName name="V_MAQUINARIA" localSheetId="90">Tabla1[[#All],[VALOR TOTAL HORA (TOTAL HOURLY)]]</definedName>
    <definedName name="V_MAQUINARIA" localSheetId="91">Tabla1[[#All],[VALOR TOTAL HORA (TOTAL HOURLY)]]</definedName>
    <definedName name="V_MAQUINARIA" localSheetId="92">Tabla1[[#All],[VALOR TOTAL HORA (TOTAL HOURLY)]]</definedName>
    <definedName name="V_MAQUINARIA" localSheetId="21">Tabla1[[#All],[VALOR TOTAL HORA (TOTAL HOURLY)]]</definedName>
    <definedName name="V_MAQUINARIA" localSheetId="93">Tabla1[[#All],[VALOR TOTAL HORA (TOTAL HOURLY)]]</definedName>
    <definedName name="V_MAQUINARIA" localSheetId="22">Tabla1[[#All],[VALOR TOTAL HORA (TOTAL HOURLY)]]</definedName>
    <definedName name="V_MAQUINARIA" localSheetId="8">Tabla1[[#All],[VALOR TOTAL HORA (TOTAL HOURLY)]]</definedName>
    <definedName name="V_MAQUINARIA" localSheetId="9">Tabla1[[#All],[VALOR TOTAL HORA (TOTAL HOURLY)]]</definedName>
    <definedName name="V_MAQUINARIA">Tabla1[[#All],[VALOR TOTAL HORA (TOTAL HOURLY)]]</definedName>
    <definedName name="V_MENSUAL" localSheetId="8">Tabla1[[#All],[VALOR ALQUILES MES (MONTHLY RENT)]]</definedName>
    <definedName name="V_MENSUAL" localSheetId="9">Tabla1[[#All],[VALOR ALQUILES MES (MONTHLY RENT)]]</definedName>
    <definedName name="V_MENSUAL">Tabla1[[#All],[VALOR ALQUILES MES (MONTHLY RENT)]]</definedName>
    <definedName name="V_UNITARIOMATERIAL" localSheetId="14">Tabla4[[#All],[V UNITARIO]]</definedName>
    <definedName name="V_UNITARIOMATERIAL" localSheetId="23">Tabla4[[#All],[V UNITARIO]]</definedName>
    <definedName name="V_UNITARIOMATERIAL" localSheetId="24">Tabla4[[#All],[V UNITARIO]]</definedName>
    <definedName name="V_UNITARIOMATERIAL" localSheetId="25">Tabla4[[#All],[V UNITARIO]]</definedName>
    <definedName name="V_UNITARIOMATERIAL" localSheetId="26">Tabla4[[#All],[V UNITARIO]]</definedName>
    <definedName name="V_UNITARIOMATERIAL" localSheetId="27">Tabla4[[#All],[V UNITARIO]]</definedName>
    <definedName name="V_UNITARIOMATERIAL" localSheetId="28">Tabla4[[#All],[V UNITARIO]]</definedName>
    <definedName name="V_UNITARIOMATERIAL" localSheetId="29">Tabla4[[#All],[V UNITARIO]]</definedName>
    <definedName name="V_UNITARIOMATERIAL" localSheetId="30">Tabla4[[#All],[V UNITARIO]]</definedName>
    <definedName name="V_UNITARIOMATERIAL" localSheetId="31">Tabla4[[#All],[V UNITARIO]]</definedName>
    <definedName name="V_UNITARIOMATERIAL" localSheetId="32">Tabla4[[#All],[V UNITARIO]]</definedName>
    <definedName name="V_UNITARIOMATERIAL" localSheetId="15">Tabla4[[#All],[V UNITARIO]]</definedName>
    <definedName name="V_UNITARIOMATERIAL" localSheetId="33">Tabla4[[#All],[V UNITARIO]]</definedName>
    <definedName name="V_UNITARIOMATERIAL" localSheetId="34">Tabla4[[#All],[V UNITARIO]]</definedName>
    <definedName name="V_UNITARIOMATERIAL" localSheetId="35">Tabla4[[#All],[V UNITARIO]]</definedName>
    <definedName name="V_UNITARIOMATERIAL" localSheetId="36">Tabla4[[#All],[V UNITARIO]]</definedName>
    <definedName name="V_UNITARIOMATERIAL" localSheetId="37">Tabla4[[#All],[V UNITARIO]]</definedName>
    <definedName name="V_UNITARIOMATERIAL" localSheetId="38">Tabla4[[#All],[V UNITARIO]]</definedName>
    <definedName name="V_UNITARIOMATERIAL" localSheetId="39">Tabla4[[#All],[V UNITARIO]]</definedName>
    <definedName name="V_UNITARIOMATERIAL" localSheetId="40">Tabla4[[#All],[V UNITARIO]]</definedName>
    <definedName name="V_UNITARIOMATERIAL" localSheetId="41">Tabla4[[#All],[V UNITARIO]]</definedName>
    <definedName name="V_UNITARIOMATERIAL" localSheetId="42">Tabla4[[#All],[V UNITARIO]]</definedName>
    <definedName name="V_UNITARIOMATERIAL" localSheetId="16">Tabla4[[#All],[V UNITARIO]]</definedName>
    <definedName name="V_UNITARIOMATERIAL" localSheetId="43">Tabla4[[#All],[V UNITARIO]]</definedName>
    <definedName name="V_UNITARIOMATERIAL" localSheetId="44">Tabla4[[#All],[V UNITARIO]]</definedName>
    <definedName name="V_UNITARIOMATERIAL" localSheetId="45">Tabla4[[#All],[V UNITARIO]]</definedName>
    <definedName name="V_UNITARIOMATERIAL" localSheetId="46">Tabla4[[#All],[V UNITARIO]]</definedName>
    <definedName name="V_UNITARIOMATERIAL" localSheetId="47">Tabla4[[#All],[V UNITARIO]]</definedName>
    <definedName name="V_UNITARIOMATERIAL" localSheetId="48">Tabla4[[#All],[V UNITARIO]]</definedName>
    <definedName name="V_UNITARIOMATERIAL" localSheetId="49">Tabla4[[#All],[V UNITARIO]]</definedName>
    <definedName name="V_UNITARIOMATERIAL" localSheetId="50">Tabla4[[#All],[V UNITARIO]]</definedName>
    <definedName name="V_UNITARIOMATERIAL" localSheetId="51">Tabla4[[#All],[V UNITARIO]]</definedName>
    <definedName name="V_UNITARIOMATERIAL" localSheetId="52">Tabla4[[#All],[V UNITARIO]]</definedName>
    <definedName name="V_UNITARIOMATERIAL" localSheetId="17">Tabla4[[#All],[V UNITARIO]]</definedName>
    <definedName name="V_UNITARIOMATERIAL" localSheetId="53">Tabla4[[#All],[V UNITARIO]]</definedName>
    <definedName name="V_UNITARIOMATERIAL" localSheetId="54">Tabla4[[#All],[V UNITARIO]]</definedName>
    <definedName name="V_UNITARIOMATERIAL" localSheetId="55">Tabla4[[#All],[V UNITARIO]]</definedName>
    <definedName name="V_UNITARIOMATERIAL" localSheetId="56">Tabla4[[#All],[V UNITARIO]]</definedName>
    <definedName name="V_UNITARIOMATERIAL" localSheetId="57">Tabla4[[#All],[V UNITARIO]]</definedName>
    <definedName name="V_UNITARIOMATERIAL" localSheetId="58">Tabla4[[#All],[V UNITARIO]]</definedName>
    <definedName name="V_UNITARIOMATERIAL" localSheetId="59">Tabla4[[#All],[V UNITARIO]]</definedName>
    <definedName name="V_UNITARIOMATERIAL" localSheetId="60">Tabla4[[#All],[V UNITARIO]]</definedName>
    <definedName name="V_UNITARIOMATERIAL" localSheetId="61">Tabla4[[#All],[V UNITARIO]]</definedName>
    <definedName name="V_UNITARIOMATERIAL" localSheetId="62">Tabla4[[#All],[V UNITARIO]]</definedName>
    <definedName name="V_UNITARIOMATERIAL" localSheetId="18">Tabla4[[#All],[V UNITARIO]]</definedName>
    <definedName name="V_UNITARIOMATERIAL" localSheetId="63">Tabla4[[#All],[V UNITARIO]]</definedName>
    <definedName name="V_UNITARIOMATERIAL" localSheetId="64">Tabla4[[#All],[V UNITARIO]]</definedName>
    <definedName name="V_UNITARIOMATERIAL" localSheetId="65">Tabla4[[#All],[V UNITARIO]]</definedName>
    <definedName name="V_UNITARIOMATERIAL" localSheetId="66">Tabla4[[#All],[V UNITARIO]]</definedName>
    <definedName name="V_UNITARIOMATERIAL" localSheetId="67">Tabla4[[#All],[V UNITARIO]]</definedName>
    <definedName name="V_UNITARIOMATERIAL" localSheetId="68">Tabla4[[#All],[V UNITARIO]]</definedName>
    <definedName name="V_UNITARIOMATERIAL" localSheetId="69">Tabla4[[#All],[V UNITARIO]]</definedName>
    <definedName name="V_UNITARIOMATERIAL" localSheetId="70">Tabla4[[#All],[V UNITARIO]]</definedName>
    <definedName name="V_UNITARIOMATERIAL" localSheetId="71">Tabla4[[#All],[V UNITARIO]]</definedName>
    <definedName name="V_UNITARIOMATERIAL" localSheetId="72">Tabla4[[#All],[V UNITARIO]]</definedName>
    <definedName name="V_UNITARIOMATERIAL" localSheetId="19">Tabla4[[#All],[V UNITARIO]]</definedName>
    <definedName name="V_UNITARIOMATERIAL" localSheetId="73">Tabla4[[#All],[V UNITARIO]]</definedName>
    <definedName name="V_UNITARIOMATERIAL" localSheetId="74">Tabla4[[#All],[V UNITARIO]]</definedName>
    <definedName name="V_UNITARIOMATERIAL" localSheetId="75">Tabla4[[#All],[V UNITARIO]]</definedName>
    <definedName name="V_UNITARIOMATERIAL" localSheetId="76">Tabla4[[#All],[V UNITARIO]]</definedName>
    <definedName name="V_UNITARIOMATERIAL" localSheetId="77">Tabla4[[#All],[V UNITARIO]]</definedName>
    <definedName name="V_UNITARIOMATERIAL" localSheetId="78">Tabla4[[#All],[V UNITARIO]]</definedName>
    <definedName name="V_UNITARIOMATERIAL" localSheetId="79">Tabla4[[#All],[V UNITARIO]]</definedName>
    <definedName name="V_UNITARIOMATERIAL" localSheetId="80">Tabla4[[#All],[V UNITARIO]]</definedName>
    <definedName name="V_UNITARIOMATERIAL" localSheetId="81">Tabla4[[#All],[V UNITARIO]]</definedName>
    <definedName name="V_UNITARIOMATERIAL" localSheetId="82">Tabla4[[#All],[V UNITARIO]]</definedName>
    <definedName name="V_UNITARIOMATERIAL" localSheetId="20">Tabla4[[#All],[V UNITARIO]]</definedName>
    <definedName name="V_UNITARIOMATERIAL" localSheetId="83">Tabla4[[#All],[V UNITARIO]]</definedName>
    <definedName name="V_UNITARIOMATERIAL" localSheetId="84">Tabla4[[#All],[V UNITARIO]]</definedName>
    <definedName name="V_UNITARIOMATERIAL" localSheetId="85">Tabla4[[#All],[V UNITARIO]]</definedName>
    <definedName name="V_UNITARIOMATERIAL" localSheetId="86">Tabla4[[#All],[V UNITARIO]]</definedName>
    <definedName name="V_UNITARIOMATERIAL" localSheetId="87">Tabla4[[#All],[V UNITARIO]]</definedName>
    <definedName name="V_UNITARIOMATERIAL" localSheetId="88">Tabla4[[#All],[V UNITARIO]]</definedName>
    <definedName name="V_UNITARIOMATERIAL" localSheetId="89">Tabla4[[#All],[V UNITARIO]]</definedName>
    <definedName name="V_UNITARIOMATERIAL" localSheetId="90">Tabla4[[#All],[V UNITARIO]]</definedName>
    <definedName name="V_UNITARIOMATERIAL" localSheetId="91">Tabla4[[#All],[V UNITARIO]]</definedName>
    <definedName name="V_UNITARIOMATERIAL" localSheetId="92">Tabla4[[#All],[V UNITARIO]]</definedName>
    <definedName name="V_UNITARIOMATERIAL" localSheetId="21">Tabla4[[#All],[V UNITARIO]]</definedName>
    <definedName name="V_UNITARIOMATERIAL" localSheetId="93">Tabla4[[#All],[V UNITARIO]]</definedName>
    <definedName name="V_UNITARIOMATERIAL" localSheetId="22">Tabla4[[#All],[V UNITARIO]]</definedName>
    <definedName name="V_UNITARIOMATERIAL" localSheetId="8">Tabla4[[#All],[V UNITARIO]]</definedName>
    <definedName name="V_UNITARIOMATERIAL" localSheetId="9">Tabla4[[#All],[V UNITARIO]]</definedName>
    <definedName name="V_UNITARIOMATERIAL">Tabla4[[#All],[V UNITARIO]]</definedName>
  </definedNames>
  <calcPr calcId="191029"/>
  <pivotCaches>
    <pivotCache cacheId="0" r:id="rId96"/>
  </pivotCaches>
  <extLst>
    <ext xmlns:x14="http://schemas.microsoft.com/office/spreadsheetml/2009/9/main" uri="{BBE1A952-AA13-448e-AADC-164F8A28A991}">
      <x14:slicerCaches>
        <x14:slicerCache r:id="rId97"/>
        <x14:slicerCache r:id="rId98"/>
        <x14:slicerCache r:id="rId99"/>
        <x14:slicerCache r:id="rId10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4" i="6" l="1"/>
  <c r="J20" i="3"/>
  <c r="J21" i="3"/>
  <c r="J22" i="3"/>
  <c r="J23" i="3"/>
  <c r="J24" i="3"/>
  <c r="J25" i="3"/>
  <c r="J26" i="3"/>
  <c r="J27" i="3"/>
  <c r="J28" i="3"/>
  <c r="J29" i="3"/>
  <c r="K29" i="3" s="1"/>
  <c r="J30" i="3"/>
  <c r="J31" i="3"/>
  <c r="J32" i="3"/>
  <c r="J33" i="3"/>
  <c r="J34" i="3"/>
  <c r="J35" i="3"/>
  <c r="J36" i="3"/>
  <c r="J37" i="3"/>
  <c r="J38" i="3"/>
  <c r="J39" i="3"/>
  <c r="J40" i="3"/>
  <c r="J41" i="3"/>
  <c r="J19" i="3"/>
  <c r="J11" i="3"/>
  <c r="J12" i="3"/>
  <c r="J13" i="3"/>
  <c r="J14" i="3"/>
  <c r="J15" i="3"/>
  <c r="J16" i="3"/>
  <c r="J17" i="3"/>
  <c r="J18" i="3"/>
  <c r="J10" i="3"/>
  <c r="J6" i="3"/>
  <c r="J7" i="3"/>
  <c r="J8" i="3"/>
  <c r="J9" i="3"/>
  <c r="J5" i="3"/>
  <c r="G29" i="3"/>
  <c r="H29" i="3"/>
  <c r="I29" i="3"/>
  <c r="G18" i="3" l="1"/>
  <c r="H18" i="3"/>
  <c r="I18" i="3"/>
  <c r="K18" i="3"/>
  <c r="D39" i="5"/>
  <c r="G54" i="140" l="1"/>
  <c r="F54" i="140"/>
  <c r="E54" i="140"/>
  <c r="D54" i="140"/>
  <c r="G53" i="140"/>
  <c r="F53" i="140"/>
  <c r="E53" i="140"/>
  <c r="D53" i="140"/>
  <c r="G52" i="140"/>
  <c r="F52" i="140"/>
  <c r="E52" i="140"/>
  <c r="D52" i="140"/>
  <c r="F51" i="140"/>
  <c r="F50" i="140"/>
  <c r="G46" i="140"/>
  <c r="F46" i="140"/>
  <c r="E46" i="140"/>
  <c r="C46" i="140"/>
  <c r="G45" i="140"/>
  <c r="F45" i="140"/>
  <c r="E45" i="140"/>
  <c r="C45" i="140"/>
  <c r="G44" i="140"/>
  <c r="F44" i="140"/>
  <c r="E44" i="140"/>
  <c r="C44" i="140"/>
  <c r="G43" i="140"/>
  <c r="F43" i="140"/>
  <c r="E43" i="140"/>
  <c r="C43" i="140"/>
  <c r="F42" i="140"/>
  <c r="G38" i="140"/>
  <c r="E38" i="140"/>
  <c r="C38" i="140"/>
  <c r="G37" i="140"/>
  <c r="E37" i="140"/>
  <c r="C37" i="140"/>
  <c r="G36" i="140"/>
  <c r="E36" i="140"/>
  <c r="C36" i="140"/>
  <c r="G35" i="140"/>
  <c r="E35" i="140"/>
  <c r="C35" i="140"/>
  <c r="G34" i="140"/>
  <c r="E34" i="140"/>
  <c r="C34" i="140"/>
  <c r="G33" i="140"/>
  <c r="E33" i="140"/>
  <c r="C33" i="140"/>
  <c r="G32" i="140"/>
  <c r="E32" i="140"/>
  <c r="C32" i="140"/>
  <c r="G27" i="140"/>
  <c r="F27" i="140"/>
  <c r="E27" i="140"/>
  <c r="C27" i="140"/>
  <c r="G26" i="140"/>
  <c r="F26" i="140"/>
  <c r="E26" i="140"/>
  <c r="C26" i="140"/>
  <c r="G25" i="140"/>
  <c r="F25" i="140"/>
  <c r="E25" i="140"/>
  <c r="C25" i="140"/>
  <c r="G24" i="140"/>
  <c r="F24" i="140"/>
  <c r="E24" i="140"/>
  <c r="C24" i="140"/>
  <c r="G23" i="140"/>
  <c r="F23" i="140"/>
  <c r="E23" i="140"/>
  <c r="C23" i="140"/>
  <c r="G19" i="140"/>
  <c r="G28" i="140" l="1"/>
  <c r="G20" i="118"/>
  <c r="G20" i="133" l="1"/>
  <c r="G20" i="139" l="1"/>
  <c r="G20" i="137"/>
  <c r="G20" i="136"/>
  <c r="G20" i="126"/>
  <c r="G20" i="125"/>
  <c r="G20" i="124"/>
  <c r="G20" i="123"/>
  <c r="G20" i="97"/>
  <c r="G20" i="95"/>
  <c r="G20" i="84"/>
  <c r="G20" i="83"/>
  <c r="G20" i="81"/>
  <c r="G20" i="80"/>
  <c r="H21" i="80" s="1"/>
  <c r="H20" i="80" s="1"/>
  <c r="I43" i="126" l="1"/>
  <c r="I44" i="126" s="1"/>
  <c r="H39" i="126"/>
  <c r="I39" i="126" s="1"/>
  <c r="D51" i="4"/>
  <c r="D50" i="4"/>
  <c r="D49" i="4"/>
  <c r="D48" i="4"/>
  <c r="D47" i="4"/>
  <c r="I20" i="123"/>
  <c r="K51" i="125"/>
  <c r="H20" i="125"/>
  <c r="I20" i="125" s="1"/>
  <c r="H65" i="124"/>
  <c r="I65" i="124" s="1"/>
  <c r="I20" i="122"/>
  <c r="J20" i="122" s="1"/>
  <c r="H65" i="122"/>
  <c r="I45" i="126" l="1"/>
  <c r="H20" i="143"/>
  <c r="I20" i="143" s="1"/>
  <c r="H20" i="142"/>
  <c r="I20" i="142" s="1"/>
  <c r="G54" i="92"/>
  <c r="F54" i="92"/>
  <c r="E54" i="92"/>
  <c r="D54" i="92"/>
  <c r="G53" i="92"/>
  <c r="F53" i="92"/>
  <c r="E53" i="92"/>
  <c r="D53" i="92"/>
  <c r="G52" i="92"/>
  <c r="F52" i="92"/>
  <c r="E52" i="92"/>
  <c r="D52" i="92"/>
  <c r="F51" i="92"/>
  <c r="F50" i="92"/>
  <c r="G46" i="92"/>
  <c r="F46" i="92"/>
  <c r="E46" i="92"/>
  <c r="C46" i="92"/>
  <c r="G45" i="92"/>
  <c r="F45" i="92"/>
  <c r="E45" i="92"/>
  <c r="C45" i="92"/>
  <c r="G44" i="92"/>
  <c r="F44" i="92"/>
  <c r="E44" i="92"/>
  <c r="C44" i="92"/>
  <c r="G43" i="92"/>
  <c r="F43" i="92"/>
  <c r="E43" i="92"/>
  <c r="C43" i="92"/>
  <c r="F42" i="92"/>
  <c r="G38" i="92"/>
  <c r="E38" i="92"/>
  <c r="C38" i="92"/>
  <c r="G37" i="92"/>
  <c r="E37" i="92"/>
  <c r="C37" i="92"/>
  <c r="G36" i="92"/>
  <c r="E36" i="92"/>
  <c r="C36" i="92"/>
  <c r="G35" i="92"/>
  <c r="E35" i="92"/>
  <c r="C35" i="92"/>
  <c r="G27" i="92"/>
  <c r="F27" i="92"/>
  <c r="E27" i="92"/>
  <c r="C27" i="92"/>
  <c r="G26" i="92"/>
  <c r="F26" i="92"/>
  <c r="E26" i="92"/>
  <c r="C26" i="92"/>
  <c r="G25" i="92"/>
  <c r="F25" i="92"/>
  <c r="E25" i="92"/>
  <c r="C25" i="92"/>
  <c r="G24" i="92"/>
  <c r="F24" i="92"/>
  <c r="E24" i="92"/>
  <c r="C24" i="92"/>
  <c r="G23" i="92"/>
  <c r="F23" i="92"/>
  <c r="E23" i="92"/>
  <c r="C23" i="92"/>
  <c r="G19" i="92"/>
  <c r="G54" i="91"/>
  <c r="F54" i="91"/>
  <c r="E54" i="91"/>
  <c r="D54" i="91"/>
  <c r="G53" i="91"/>
  <c r="F53" i="91"/>
  <c r="E53" i="91"/>
  <c r="D53" i="91"/>
  <c r="G52" i="91"/>
  <c r="F52" i="91"/>
  <c r="E52" i="91"/>
  <c r="D52" i="91"/>
  <c r="F51" i="91"/>
  <c r="F50" i="91"/>
  <c r="G46" i="91"/>
  <c r="F46" i="91"/>
  <c r="E46" i="91"/>
  <c r="C46" i="91"/>
  <c r="G45" i="91"/>
  <c r="F45" i="91"/>
  <c r="E45" i="91"/>
  <c r="C45" i="91"/>
  <c r="G44" i="91"/>
  <c r="F44" i="91"/>
  <c r="E44" i="91"/>
  <c r="C44" i="91"/>
  <c r="G43" i="91"/>
  <c r="F43" i="91"/>
  <c r="E43" i="91"/>
  <c r="C43" i="91"/>
  <c r="F42" i="91"/>
  <c r="G38" i="91"/>
  <c r="E38" i="91"/>
  <c r="C38" i="91"/>
  <c r="G37" i="91"/>
  <c r="E37" i="91"/>
  <c r="C37" i="91"/>
  <c r="G36" i="91"/>
  <c r="E36" i="91"/>
  <c r="C36" i="91"/>
  <c r="G35" i="91"/>
  <c r="E35" i="91"/>
  <c r="C35" i="91"/>
  <c r="G27" i="91"/>
  <c r="F27" i="91"/>
  <c r="E27" i="91"/>
  <c r="C27" i="91"/>
  <c r="G26" i="91"/>
  <c r="F26" i="91"/>
  <c r="E26" i="91"/>
  <c r="C26" i="91"/>
  <c r="G25" i="91"/>
  <c r="F25" i="91"/>
  <c r="E25" i="91"/>
  <c r="C25" i="91"/>
  <c r="G24" i="91"/>
  <c r="F24" i="91"/>
  <c r="E24" i="91"/>
  <c r="C24" i="91"/>
  <c r="G23" i="91"/>
  <c r="F23" i="91"/>
  <c r="E23" i="91"/>
  <c r="C23" i="91"/>
  <c r="G19" i="91"/>
  <c r="G28" i="91" l="1"/>
  <c r="G28" i="92"/>
  <c r="D32" i="143" l="1"/>
  <c r="D32" i="142"/>
  <c r="D32" i="141"/>
  <c r="D32" i="125"/>
  <c r="D32" i="124"/>
  <c r="D32" i="122"/>
  <c r="G54" i="94"/>
  <c r="F54" i="94"/>
  <c r="E54" i="94"/>
  <c r="D54" i="94"/>
  <c r="G53" i="94"/>
  <c r="F53" i="94"/>
  <c r="E53" i="94"/>
  <c r="D53" i="94"/>
  <c r="G52" i="94"/>
  <c r="F52" i="94"/>
  <c r="E52" i="94"/>
  <c r="D52" i="94"/>
  <c r="G51" i="94"/>
  <c r="F51" i="94"/>
  <c r="E51" i="94"/>
  <c r="D51" i="94"/>
  <c r="F50" i="94"/>
  <c r="G46" i="94"/>
  <c r="F46" i="94"/>
  <c r="E46" i="94"/>
  <c r="C46" i="94"/>
  <c r="G45" i="94"/>
  <c r="F45" i="94"/>
  <c r="E45" i="94"/>
  <c r="C45" i="94"/>
  <c r="G44" i="94"/>
  <c r="F44" i="94"/>
  <c r="E44" i="94"/>
  <c r="C44" i="94"/>
  <c r="G43" i="94"/>
  <c r="F43" i="94"/>
  <c r="E43" i="94"/>
  <c r="C43" i="94"/>
  <c r="F42" i="94"/>
  <c r="G38" i="94"/>
  <c r="E38" i="94"/>
  <c r="C38" i="94"/>
  <c r="G37" i="94"/>
  <c r="E37" i="94"/>
  <c r="C37" i="94"/>
  <c r="G36" i="94"/>
  <c r="E36" i="94"/>
  <c r="C36" i="94"/>
  <c r="G35" i="94"/>
  <c r="E35" i="94"/>
  <c r="C35" i="94"/>
  <c r="G34" i="94"/>
  <c r="E34" i="94"/>
  <c r="C34" i="94"/>
  <c r="G33" i="94"/>
  <c r="E33" i="94"/>
  <c r="C33" i="94"/>
  <c r="G27" i="94"/>
  <c r="F27" i="94"/>
  <c r="E27" i="94"/>
  <c r="C27" i="94"/>
  <c r="G26" i="94"/>
  <c r="F26" i="94"/>
  <c r="E26" i="94"/>
  <c r="C26" i="94"/>
  <c r="G25" i="94"/>
  <c r="F25" i="94"/>
  <c r="E25" i="94"/>
  <c r="C25" i="94"/>
  <c r="G24" i="94"/>
  <c r="F24" i="94"/>
  <c r="E24" i="94"/>
  <c r="C24" i="94"/>
  <c r="G23" i="94"/>
  <c r="F23" i="94"/>
  <c r="E23" i="94"/>
  <c r="C23" i="94"/>
  <c r="G19" i="94"/>
  <c r="H20" i="82"/>
  <c r="I20" i="124"/>
  <c r="J20" i="124" s="1"/>
  <c r="H20" i="122"/>
  <c r="G28" i="94" l="1"/>
  <c r="H20" i="88" l="1"/>
  <c r="D46" i="4"/>
  <c r="D45" i="4"/>
  <c r="D44" i="4"/>
  <c r="G54" i="132"/>
  <c r="F54" i="132"/>
  <c r="E54" i="132"/>
  <c r="D54" i="132"/>
  <c r="G53" i="132"/>
  <c r="F53" i="132"/>
  <c r="E53" i="132"/>
  <c r="D53" i="132"/>
  <c r="F52" i="132"/>
  <c r="F51" i="132"/>
  <c r="F50" i="132"/>
  <c r="G46" i="132"/>
  <c r="F46" i="132"/>
  <c r="E46" i="132"/>
  <c r="C46" i="132"/>
  <c r="G45" i="132"/>
  <c r="F45" i="132"/>
  <c r="E45" i="132"/>
  <c r="C45" i="132"/>
  <c r="G44" i="132"/>
  <c r="F44" i="132"/>
  <c r="E44" i="132"/>
  <c r="C44" i="132"/>
  <c r="G43" i="132"/>
  <c r="F43" i="132"/>
  <c r="E43" i="132"/>
  <c r="C43" i="132"/>
  <c r="F42" i="132"/>
  <c r="G38" i="132"/>
  <c r="E38" i="132"/>
  <c r="C38" i="132"/>
  <c r="G37" i="132"/>
  <c r="E37" i="132"/>
  <c r="C37" i="132"/>
  <c r="G36" i="132"/>
  <c r="E36" i="132"/>
  <c r="C36" i="132"/>
  <c r="G35" i="132"/>
  <c r="E35" i="132"/>
  <c r="C35" i="132"/>
  <c r="G34" i="132"/>
  <c r="E34" i="132"/>
  <c r="C34" i="132"/>
  <c r="G27" i="132"/>
  <c r="F27" i="132"/>
  <c r="E27" i="132"/>
  <c r="C27" i="132"/>
  <c r="G26" i="132"/>
  <c r="F26" i="132"/>
  <c r="E26" i="132"/>
  <c r="C26" i="132"/>
  <c r="G25" i="132"/>
  <c r="F25" i="132"/>
  <c r="E25" i="132"/>
  <c r="C25" i="132"/>
  <c r="G24" i="132"/>
  <c r="F24" i="132"/>
  <c r="E24" i="132"/>
  <c r="C24" i="132"/>
  <c r="F23" i="132"/>
  <c r="G19" i="132"/>
  <c r="D43" i="4"/>
  <c r="D42" i="4"/>
  <c r="D41" i="4"/>
  <c r="D39" i="4"/>
  <c r="I21" i="121"/>
  <c r="H20" i="121"/>
  <c r="I20" i="121" s="1"/>
  <c r="D38" i="4"/>
  <c r="D37" i="4"/>
  <c r="G54" i="143"/>
  <c r="F54" i="143"/>
  <c r="E54" i="143"/>
  <c r="D54" i="143"/>
  <c r="F53" i="143"/>
  <c r="F52" i="143"/>
  <c r="F51" i="143"/>
  <c r="F50" i="143"/>
  <c r="G46" i="143"/>
  <c r="F46" i="143"/>
  <c r="E46" i="143"/>
  <c r="C46" i="143"/>
  <c r="G45" i="143"/>
  <c r="F45" i="143"/>
  <c r="E45" i="143"/>
  <c r="C45" i="143"/>
  <c r="G44" i="143"/>
  <c r="F44" i="143"/>
  <c r="E44" i="143"/>
  <c r="C44" i="143"/>
  <c r="G43" i="143"/>
  <c r="F43" i="143"/>
  <c r="E43" i="143"/>
  <c r="C43" i="143"/>
  <c r="F42" i="143"/>
  <c r="G38" i="143"/>
  <c r="E38" i="143"/>
  <c r="C38" i="143"/>
  <c r="G37" i="143"/>
  <c r="E37" i="143"/>
  <c r="C37" i="143"/>
  <c r="G36" i="143"/>
  <c r="E36" i="143"/>
  <c r="C36" i="143"/>
  <c r="G35" i="143"/>
  <c r="E35" i="143"/>
  <c r="C35" i="143"/>
  <c r="G34" i="143"/>
  <c r="E34" i="143"/>
  <c r="C34" i="143"/>
  <c r="G27" i="143"/>
  <c r="F27" i="143"/>
  <c r="E27" i="143"/>
  <c r="C27" i="143"/>
  <c r="F26" i="143"/>
  <c r="F25" i="143"/>
  <c r="F24" i="143"/>
  <c r="F23" i="143"/>
  <c r="G19" i="143"/>
  <c r="G54" i="142"/>
  <c r="F54" i="142"/>
  <c r="E54" i="142"/>
  <c r="D54" i="142"/>
  <c r="F53" i="142"/>
  <c r="F52" i="142"/>
  <c r="F51" i="142"/>
  <c r="F50" i="142"/>
  <c r="G46" i="142"/>
  <c r="F46" i="142"/>
  <c r="E46" i="142"/>
  <c r="C46" i="142"/>
  <c r="G45" i="142"/>
  <c r="F45" i="142"/>
  <c r="E45" i="142"/>
  <c r="C45" i="142"/>
  <c r="G44" i="142"/>
  <c r="F44" i="142"/>
  <c r="E44" i="142"/>
  <c r="C44" i="142"/>
  <c r="G43" i="142"/>
  <c r="F43" i="142"/>
  <c r="E43" i="142"/>
  <c r="C43" i="142"/>
  <c r="F42" i="142"/>
  <c r="G38" i="142"/>
  <c r="E38" i="142"/>
  <c r="C38" i="142"/>
  <c r="G37" i="142"/>
  <c r="E37" i="142"/>
  <c r="C37" i="142"/>
  <c r="G36" i="142"/>
  <c r="E36" i="142"/>
  <c r="C36" i="142"/>
  <c r="G35" i="142"/>
  <c r="E35" i="142"/>
  <c r="C35" i="142"/>
  <c r="G34" i="142"/>
  <c r="E34" i="142"/>
  <c r="C34" i="142"/>
  <c r="G27" i="142"/>
  <c r="F27" i="142"/>
  <c r="E27" i="142"/>
  <c r="C27" i="142"/>
  <c r="F26" i="142"/>
  <c r="F25" i="142"/>
  <c r="F24" i="142"/>
  <c r="F23" i="142"/>
  <c r="G19" i="142"/>
  <c r="H20" i="141"/>
  <c r="I20" i="141" s="1"/>
  <c r="G54" i="141"/>
  <c r="E54" i="141"/>
  <c r="D54" i="141"/>
  <c r="F52" i="141"/>
  <c r="F51" i="141"/>
  <c r="G46" i="141"/>
  <c r="E46" i="141"/>
  <c r="C46" i="141"/>
  <c r="G45" i="141"/>
  <c r="F45" i="141"/>
  <c r="E45" i="141"/>
  <c r="C45" i="141"/>
  <c r="G44" i="141"/>
  <c r="F44" i="141"/>
  <c r="E44" i="141"/>
  <c r="C44" i="141"/>
  <c r="G43" i="141"/>
  <c r="E43" i="141"/>
  <c r="C43" i="141"/>
  <c r="G38" i="141"/>
  <c r="E38" i="141"/>
  <c r="C38" i="141"/>
  <c r="G37" i="141"/>
  <c r="E37" i="141"/>
  <c r="C37" i="141"/>
  <c r="G36" i="141"/>
  <c r="E36" i="141"/>
  <c r="C36" i="141"/>
  <c r="G35" i="141"/>
  <c r="E35" i="141"/>
  <c r="C35" i="141"/>
  <c r="G34" i="141"/>
  <c r="E34" i="141"/>
  <c r="C34" i="141"/>
  <c r="G27" i="141"/>
  <c r="E27" i="141"/>
  <c r="C27" i="141"/>
  <c r="F26" i="141"/>
  <c r="F25" i="141"/>
  <c r="F24" i="141"/>
  <c r="G19" i="141"/>
  <c r="G109" i="158"/>
  <c r="G108" i="158"/>
  <c r="G107" i="158"/>
  <c r="G106" i="158"/>
  <c r="G105" i="158"/>
  <c r="E99" i="158"/>
  <c r="E98" i="158"/>
  <c r="E97" i="158"/>
  <c r="E96" i="158"/>
  <c r="E95" i="158"/>
  <c r="AI70" i="158"/>
  <c r="Z70" i="158"/>
  <c r="P70" i="158"/>
  <c r="AI69" i="158"/>
  <c r="Z69" i="158"/>
  <c r="P69" i="158"/>
  <c r="AI68" i="158"/>
  <c r="Z68" i="158"/>
  <c r="P68" i="158"/>
  <c r="FS66" i="158"/>
  <c r="FI66" i="158"/>
  <c r="EY66" i="158"/>
  <c r="EO66" i="158"/>
  <c r="EE66" i="158"/>
  <c r="DU66" i="158"/>
  <c r="DK66" i="158"/>
  <c r="DA66" i="158"/>
  <c r="CQ66" i="158"/>
  <c r="CG66" i="158"/>
  <c r="BW66" i="158"/>
  <c r="BM66" i="158"/>
  <c r="BC66" i="158"/>
  <c r="AS66" i="158"/>
  <c r="F66" i="158"/>
  <c r="FS65" i="158"/>
  <c r="FI65" i="158"/>
  <c r="EY65" i="158"/>
  <c r="EO65" i="158"/>
  <c r="EE65" i="158"/>
  <c r="DU65" i="158"/>
  <c r="DK65" i="158"/>
  <c r="DA65" i="158"/>
  <c r="CQ65" i="158"/>
  <c r="CG65" i="158"/>
  <c r="BW65" i="158"/>
  <c r="BM65" i="158"/>
  <c r="BC65" i="158"/>
  <c r="AS65" i="158"/>
  <c r="F65" i="158"/>
  <c r="FS64" i="158"/>
  <c r="FI64" i="158"/>
  <c r="EY64" i="158"/>
  <c r="EO64" i="158"/>
  <c r="EE64" i="158"/>
  <c r="DU64" i="158"/>
  <c r="DK64" i="158"/>
  <c r="DA64" i="158"/>
  <c r="CQ64" i="158"/>
  <c r="CG64" i="158"/>
  <c r="BW64" i="158"/>
  <c r="BM64" i="158"/>
  <c r="BC64" i="158"/>
  <c r="AS64" i="158"/>
  <c r="F64" i="158"/>
  <c r="AJ55" i="158"/>
  <c r="AK55" i="158" s="1"/>
  <c r="AH55" i="158"/>
  <c r="AG55" i="158"/>
  <c r="AF55" i="158"/>
  <c r="AA55" i="158"/>
  <c r="AB55" i="158" s="1"/>
  <c r="Y55" i="158"/>
  <c r="X55" i="158"/>
  <c r="W55" i="158"/>
  <c r="O55" i="158"/>
  <c r="N55" i="158"/>
  <c r="M55" i="158" a="1"/>
  <c r="M55" i="158" s="1"/>
  <c r="Q55" i="158" s="1"/>
  <c r="R55" i="158" s="1"/>
  <c r="AJ54" i="158"/>
  <c r="AK54" i="158" s="1"/>
  <c r="AH54" i="158"/>
  <c r="AG54" i="158"/>
  <c r="AF54" i="158"/>
  <c r="AA54" i="158"/>
  <c r="AB54" i="158" s="1"/>
  <c r="Y54" i="158"/>
  <c r="X54" i="158"/>
  <c r="W54" i="158"/>
  <c r="O54" i="158"/>
  <c r="N54" i="158"/>
  <c r="Q54" i="158" s="1"/>
  <c r="R54" i="158" s="1"/>
  <c r="FT53" i="158"/>
  <c r="FU53" i="158" s="1"/>
  <c r="FR53" i="158"/>
  <c r="FQ53" i="158"/>
  <c r="FP53" i="158"/>
  <c r="FJ53" i="158"/>
  <c r="FK53" i="158" s="1"/>
  <c r="FH53" i="158"/>
  <c r="FG53" i="158"/>
  <c r="FF53" i="158"/>
  <c r="EZ53" i="158"/>
  <c r="FA53" i="158" s="1"/>
  <c r="EX53" i="158"/>
  <c r="EW53" i="158"/>
  <c r="EV53" i="158"/>
  <c r="EP53" i="158"/>
  <c r="EQ53" i="158" s="1"/>
  <c r="EN53" i="158"/>
  <c r="EM53" i="158"/>
  <c r="EL53" i="158"/>
  <c r="EF53" i="158"/>
  <c r="EG53" i="158" s="1"/>
  <c r="ED53" i="158"/>
  <c r="EC53" i="158"/>
  <c r="EB53" i="158"/>
  <c r="DV53" i="158"/>
  <c r="DW53" i="158" s="1"/>
  <c r="DT53" i="158"/>
  <c r="DS53" i="158"/>
  <c r="DR53" i="158"/>
  <c r="DL53" i="158"/>
  <c r="DM53" i="158" s="1"/>
  <c r="DJ53" i="158"/>
  <c r="DI53" i="158"/>
  <c r="DH53" i="158"/>
  <c r="DB53" i="158"/>
  <c r="DC53" i="158" s="1"/>
  <c r="CZ53" i="158"/>
  <c r="CY53" i="158"/>
  <c r="CX53" i="158"/>
  <c r="CR53" i="158"/>
  <c r="CS53" i="158" s="1"/>
  <c r="CP53" i="158"/>
  <c r="CO53" i="158"/>
  <c r="CN53" i="158"/>
  <c r="CH53" i="158"/>
  <c r="CI53" i="158" s="1"/>
  <c r="CF53" i="158"/>
  <c r="CE53" i="158"/>
  <c r="CD53" i="158"/>
  <c r="BX53" i="158"/>
  <c r="BY53" i="158" s="1"/>
  <c r="BV53" i="158"/>
  <c r="BU53" i="158"/>
  <c r="BT53" i="158"/>
  <c r="BN53" i="158"/>
  <c r="BO53" i="158" s="1"/>
  <c r="BL53" i="158"/>
  <c r="BK53" i="158"/>
  <c r="BJ53" i="158"/>
  <c r="BD53" i="158"/>
  <c r="BE53" i="158" s="1"/>
  <c r="BB53" i="158"/>
  <c r="BA53" i="158"/>
  <c r="AZ53" i="158"/>
  <c r="AT53" i="158"/>
  <c r="AU53" i="158" s="1"/>
  <c r="AR53" i="158"/>
  <c r="AQ53" i="158"/>
  <c r="AP53" i="158"/>
  <c r="FT52" i="158"/>
  <c r="FU52" i="158" s="1"/>
  <c r="FR52" i="158"/>
  <c r="FQ52" i="158"/>
  <c r="FP52" i="158"/>
  <c r="FJ52" i="158"/>
  <c r="FK52" i="158" s="1"/>
  <c r="FH52" i="158"/>
  <c r="FG52" i="158"/>
  <c r="FF52" i="158"/>
  <c r="EZ52" i="158"/>
  <c r="FA52" i="158" s="1"/>
  <c r="EX52" i="158"/>
  <c r="EW52" i="158"/>
  <c r="EV52" i="158"/>
  <c r="EP52" i="158"/>
  <c r="EQ52" i="158" s="1"/>
  <c r="EN52" i="158"/>
  <c r="EM52" i="158"/>
  <c r="EL52" i="158"/>
  <c r="EF52" i="158"/>
  <c r="EG52" i="158" s="1"/>
  <c r="ED52" i="158"/>
  <c r="EC52" i="158"/>
  <c r="EB52" i="158"/>
  <c r="DV52" i="158"/>
  <c r="DW52" i="158" s="1"/>
  <c r="DT52" i="158"/>
  <c r="DS52" i="158"/>
  <c r="DR52" i="158"/>
  <c r="DL52" i="158"/>
  <c r="DM52" i="158" s="1"/>
  <c r="DJ52" i="158"/>
  <c r="DI52" i="158"/>
  <c r="DH52" i="158"/>
  <c r="DB52" i="158"/>
  <c r="DC52" i="158" s="1"/>
  <c r="CZ52" i="158"/>
  <c r="CY52" i="158"/>
  <c r="CX52" i="158"/>
  <c r="CR52" i="158"/>
  <c r="CS52" i="158" s="1"/>
  <c r="CP52" i="158"/>
  <c r="CO52" i="158"/>
  <c r="CN52" i="158"/>
  <c r="CH52" i="158"/>
  <c r="CI52" i="158" s="1"/>
  <c r="CF52" i="158"/>
  <c r="CE52" i="158"/>
  <c r="CD52" i="158"/>
  <c r="BX52" i="158"/>
  <c r="BY52" i="158" s="1"/>
  <c r="BV52" i="158"/>
  <c r="BU52" i="158"/>
  <c r="BT52" i="158"/>
  <c r="BN52" i="158"/>
  <c r="BO52" i="158" s="1"/>
  <c r="BL52" i="158"/>
  <c r="BK52" i="158"/>
  <c r="BJ52" i="158"/>
  <c r="BD52" i="158"/>
  <c r="BE52" i="158" s="1"/>
  <c r="BB52" i="158"/>
  <c r="BA52" i="158"/>
  <c r="AZ52" i="158"/>
  <c r="AT52" i="158"/>
  <c r="AU52" i="158" s="1"/>
  <c r="AR52" i="158"/>
  <c r="AQ52" i="158"/>
  <c r="AP52" i="158"/>
  <c r="FT51" i="158"/>
  <c r="FU51" i="158" s="1"/>
  <c r="FR51" i="158"/>
  <c r="FQ51" i="158"/>
  <c r="FP51" i="158"/>
  <c r="FJ51" i="158"/>
  <c r="FK51" i="158" s="1"/>
  <c r="FH51" i="158"/>
  <c r="FG51" i="158"/>
  <c r="FF51" i="158"/>
  <c r="EZ51" i="158"/>
  <c r="FA51" i="158" s="1"/>
  <c r="EX51" i="158"/>
  <c r="EW51" i="158"/>
  <c r="EV51" i="158"/>
  <c r="EP51" i="158"/>
  <c r="EQ51" i="158" s="1"/>
  <c r="EN51" i="158"/>
  <c r="EM51" i="158"/>
  <c r="EL51" i="158"/>
  <c r="EF51" i="158"/>
  <c r="EG51" i="158" s="1"/>
  <c r="ED51" i="158"/>
  <c r="EC51" i="158"/>
  <c r="EB51" i="158"/>
  <c r="DV51" i="158"/>
  <c r="DW51" i="158" s="1"/>
  <c r="DT51" i="158"/>
  <c r="DS51" i="158"/>
  <c r="DR51" i="158"/>
  <c r="DL51" i="158"/>
  <c r="DM51" i="158" s="1"/>
  <c r="DJ51" i="158"/>
  <c r="DI51" i="158"/>
  <c r="DH51" i="158"/>
  <c r="DB51" i="158"/>
  <c r="DC51" i="158" s="1"/>
  <c r="CZ51" i="158"/>
  <c r="CY51" i="158"/>
  <c r="CX51" i="158"/>
  <c r="CR51" i="158"/>
  <c r="CS51" i="158" s="1"/>
  <c r="CP51" i="158"/>
  <c r="CO51" i="158"/>
  <c r="CN51" i="158"/>
  <c r="CH51" i="158"/>
  <c r="CI51" i="158" s="1"/>
  <c r="CF51" i="158"/>
  <c r="CE51" i="158"/>
  <c r="CD51" i="158"/>
  <c r="BX51" i="158"/>
  <c r="BY51" i="158" s="1"/>
  <c r="BV51" i="158"/>
  <c r="BU51" i="158"/>
  <c r="BT51" i="158"/>
  <c r="BN51" i="158"/>
  <c r="BO51" i="158" s="1"/>
  <c r="BL51" i="158"/>
  <c r="BK51" i="158"/>
  <c r="BJ51" i="158"/>
  <c r="BD51" i="158"/>
  <c r="BE51" i="158" s="1"/>
  <c r="BB51" i="158"/>
  <c r="BA51" i="158"/>
  <c r="AZ51" i="158"/>
  <c r="AT51" i="158"/>
  <c r="AU51" i="158" s="1"/>
  <c r="AR51" i="158"/>
  <c r="AQ51" i="158"/>
  <c r="AP51" i="158"/>
  <c r="FT50" i="158"/>
  <c r="FU50" i="158" s="1"/>
  <c r="FR50" i="158"/>
  <c r="FQ50" i="158"/>
  <c r="FP50" i="158"/>
  <c r="FJ50" i="158"/>
  <c r="FK50" i="158" s="1"/>
  <c r="FH50" i="158"/>
  <c r="FG50" i="158"/>
  <c r="FF50" i="158"/>
  <c r="EZ50" i="158"/>
  <c r="FA50" i="158" s="1"/>
  <c r="EX50" i="158"/>
  <c r="EW50" i="158"/>
  <c r="EV50" i="158"/>
  <c r="EP50" i="158"/>
  <c r="EQ50" i="158" s="1"/>
  <c r="EN50" i="158"/>
  <c r="EM50" i="158"/>
  <c r="EL50" i="158"/>
  <c r="EF50" i="158"/>
  <c r="EG50" i="158" s="1"/>
  <c r="ED50" i="158"/>
  <c r="EC50" i="158"/>
  <c r="EB50" i="158"/>
  <c r="DV50" i="158"/>
  <c r="DW50" i="158" s="1"/>
  <c r="DT50" i="158"/>
  <c r="DS50" i="158"/>
  <c r="DR50" i="158"/>
  <c r="DL50" i="158"/>
  <c r="DM50" i="158" s="1"/>
  <c r="DJ50" i="158"/>
  <c r="DI50" i="158"/>
  <c r="DH50" i="158"/>
  <c r="DB50" i="158"/>
  <c r="DC50" i="158" s="1"/>
  <c r="CZ50" i="158"/>
  <c r="CY50" i="158"/>
  <c r="CX50" i="158"/>
  <c r="CR50" i="158"/>
  <c r="CS50" i="158" s="1"/>
  <c r="CP50" i="158"/>
  <c r="CO50" i="158"/>
  <c r="CN50" i="158"/>
  <c r="CH50" i="158"/>
  <c r="CI50" i="158" s="1"/>
  <c r="CF50" i="158"/>
  <c r="CE50" i="158"/>
  <c r="CD50" i="158"/>
  <c r="BX50" i="158"/>
  <c r="BY50" i="158" s="1"/>
  <c r="BV50" i="158"/>
  <c r="BU50" i="158"/>
  <c r="BT50" i="158"/>
  <c r="BN50" i="158"/>
  <c r="BO50" i="158" s="1"/>
  <c r="BL50" i="158"/>
  <c r="BK50" i="158"/>
  <c r="BJ50" i="158"/>
  <c r="BD50" i="158"/>
  <c r="BE50" i="158" s="1"/>
  <c r="BB50" i="158"/>
  <c r="BA50" i="158"/>
  <c r="AZ50" i="158"/>
  <c r="AT50" i="158"/>
  <c r="AU50" i="158" s="1"/>
  <c r="AR50" i="158"/>
  <c r="AQ50" i="158"/>
  <c r="AP50" i="158"/>
  <c r="FT49" i="158"/>
  <c r="FU49" i="158" s="1"/>
  <c r="FR49" i="158"/>
  <c r="FQ49" i="158"/>
  <c r="FP49" i="158"/>
  <c r="FJ49" i="158"/>
  <c r="FK49" i="158" s="1"/>
  <c r="FH49" i="158"/>
  <c r="FG49" i="158"/>
  <c r="FF49" i="158"/>
  <c r="EZ49" i="158"/>
  <c r="FA49" i="158" s="1"/>
  <c r="EX49" i="158"/>
  <c r="EW49" i="158"/>
  <c r="EV49" i="158"/>
  <c r="EP49" i="158"/>
  <c r="EQ49" i="158" s="1"/>
  <c r="EN49" i="158"/>
  <c r="EM49" i="158"/>
  <c r="EL49" i="158"/>
  <c r="EF49" i="158"/>
  <c r="EG49" i="158" s="1"/>
  <c r="ED49" i="158"/>
  <c r="EC49" i="158"/>
  <c r="EB49" i="158"/>
  <c r="DV49" i="158"/>
  <c r="DW49" i="158" s="1"/>
  <c r="DT49" i="158"/>
  <c r="DS49" i="158"/>
  <c r="DR49" i="158"/>
  <c r="DL49" i="158"/>
  <c r="DM49" i="158" s="1"/>
  <c r="DJ49" i="158"/>
  <c r="DI49" i="158"/>
  <c r="DH49" i="158"/>
  <c r="DB49" i="158"/>
  <c r="DC49" i="158" s="1"/>
  <c r="CZ49" i="158"/>
  <c r="CY49" i="158"/>
  <c r="CX49" i="158"/>
  <c r="CR49" i="158"/>
  <c r="CS49" i="158" s="1"/>
  <c r="CP49" i="158"/>
  <c r="CO49" i="158"/>
  <c r="CN49" i="158"/>
  <c r="CH49" i="158"/>
  <c r="CI49" i="158" s="1"/>
  <c r="CF49" i="158"/>
  <c r="CE49" i="158"/>
  <c r="CD49" i="158"/>
  <c r="BX49" i="158"/>
  <c r="BY49" i="158" s="1"/>
  <c r="BV49" i="158"/>
  <c r="BU49" i="158"/>
  <c r="BT49" i="158"/>
  <c r="BN49" i="158"/>
  <c r="BO49" i="158" s="1"/>
  <c r="BL49" i="158"/>
  <c r="BK49" i="158"/>
  <c r="BJ49" i="158"/>
  <c r="BD49" i="158"/>
  <c r="BE49" i="158" s="1"/>
  <c r="BB49" i="158"/>
  <c r="BA49" i="158"/>
  <c r="AZ49" i="158"/>
  <c r="AT49" i="158"/>
  <c r="AU49" i="158" s="1"/>
  <c r="AR49" i="158"/>
  <c r="AQ49" i="158"/>
  <c r="AP49" i="158"/>
  <c r="FT48" i="158"/>
  <c r="FU48" i="158" s="1"/>
  <c r="FR48" i="158"/>
  <c r="FQ48" i="158"/>
  <c r="FP48" i="158"/>
  <c r="FJ48" i="158"/>
  <c r="FK48" i="158" s="1"/>
  <c r="FH48" i="158"/>
  <c r="FG48" i="158"/>
  <c r="FF48" i="158"/>
  <c r="EZ48" i="158"/>
  <c r="FA48" i="158" s="1"/>
  <c r="EX48" i="158"/>
  <c r="EW48" i="158"/>
  <c r="EV48" i="158"/>
  <c r="EP48" i="158"/>
  <c r="EQ48" i="158" s="1"/>
  <c r="EN48" i="158"/>
  <c r="EM48" i="158"/>
  <c r="EL48" i="158"/>
  <c r="EF48" i="158"/>
  <c r="EG48" i="158" s="1"/>
  <c r="ED48" i="158"/>
  <c r="EC48" i="158"/>
  <c r="EB48" i="158"/>
  <c r="DV48" i="158"/>
  <c r="DW48" i="158" s="1"/>
  <c r="DT48" i="158"/>
  <c r="DS48" i="158"/>
  <c r="DR48" i="158"/>
  <c r="DL48" i="158"/>
  <c r="DM48" i="158" s="1"/>
  <c r="DJ48" i="158"/>
  <c r="DI48" i="158"/>
  <c r="DH48" i="158"/>
  <c r="DB48" i="158"/>
  <c r="DC48" i="158" s="1"/>
  <c r="CZ48" i="158"/>
  <c r="CY48" i="158"/>
  <c r="CX48" i="158"/>
  <c r="CR48" i="158"/>
  <c r="CS48" i="158" s="1"/>
  <c r="CP48" i="158"/>
  <c r="CO48" i="158"/>
  <c r="CN48" i="158"/>
  <c r="CH48" i="158"/>
  <c r="CI48" i="158" s="1"/>
  <c r="CF48" i="158"/>
  <c r="CE48" i="158"/>
  <c r="CD48" i="158"/>
  <c r="BX48" i="158"/>
  <c r="BY48" i="158" s="1"/>
  <c r="BV48" i="158"/>
  <c r="BU48" i="158"/>
  <c r="BT48" i="158"/>
  <c r="BN48" i="158"/>
  <c r="BO48" i="158" s="1"/>
  <c r="BL48" i="158"/>
  <c r="BK48" i="158"/>
  <c r="BJ48" i="158"/>
  <c r="BD48" i="158"/>
  <c r="BE48" i="158" s="1"/>
  <c r="BB48" i="158"/>
  <c r="BA48" i="158"/>
  <c r="AZ48" i="158"/>
  <c r="AT48" i="158"/>
  <c r="AU48" i="158" s="1"/>
  <c r="AR48" i="158"/>
  <c r="AQ48" i="158"/>
  <c r="AP48" i="158"/>
  <c r="FT47" i="158"/>
  <c r="FU47" i="158" s="1"/>
  <c r="FR47" i="158"/>
  <c r="FQ47" i="158"/>
  <c r="FP47" i="158"/>
  <c r="FJ47" i="158"/>
  <c r="FK47" i="158" s="1"/>
  <c r="FH47" i="158"/>
  <c r="FG47" i="158"/>
  <c r="FF47" i="158"/>
  <c r="EZ47" i="158"/>
  <c r="FA47" i="158" s="1"/>
  <c r="EX47" i="158"/>
  <c r="EW47" i="158"/>
  <c r="EV47" i="158"/>
  <c r="EP47" i="158"/>
  <c r="EQ47" i="158" s="1"/>
  <c r="EN47" i="158"/>
  <c r="EM47" i="158"/>
  <c r="EL47" i="158"/>
  <c r="EF47" i="158"/>
  <c r="EG47" i="158" s="1"/>
  <c r="ED47" i="158"/>
  <c r="EC47" i="158"/>
  <c r="EB47" i="158"/>
  <c r="DV47" i="158"/>
  <c r="DW47" i="158" s="1"/>
  <c r="DT47" i="158"/>
  <c r="DS47" i="158"/>
  <c r="DR47" i="158"/>
  <c r="DL47" i="158"/>
  <c r="DM47" i="158" s="1"/>
  <c r="DJ47" i="158"/>
  <c r="DI47" i="158"/>
  <c r="DH47" i="158"/>
  <c r="DB47" i="158"/>
  <c r="DC47" i="158" s="1"/>
  <c r="CZ47" i="158"/>
  <c r="CY47" i="158"/>
  <c r="CX47" i="158"/>
  <c r="CR47" i="158"/>
  <c r="CS47" i="158" s="1"/>
  <c r="CP47" i="158"/>
  <c r="CO47" i="158"/>
  <c r="CN47" i="158"/>
  <c r="CH47" i="158"/>
  <c r="CI47" i="158" s="1"/>
  <c r="CF47" i="158"/>
  <c r="CE47" i="158"/>
  <c r="CD47" i="158"/>
  <c r="BX47" i="158"/>
  <c r="BY47" i="158" s="1"/>
  <c r="BV47" i="158"/>
  <c r="BU47" i="158"/>
  <c r="BT47" i="158"/>
  <c r="BN47" i="158"/>
  <c r="BO47" i="158" s="1"/>
  <c r="BL47" i="158"/>
  <c r="BK47" i="158"/>
  <c r="BJ47" i="158"/>
  <c r="BD47" i="158"/>
  <c r="BE47" i="158" s="1"/>
  <c r="BB47" i="158"/>
  <c r="BA47" i="158"/>
  <c r="AZ47" i="158"/>
  <c r="AT47" i="158"/>
  <c r="AU47" i="158" s="1"/>
  <c r="AR47" i="158"/>
  <c r="AQ47" i="158"/>
  <c r="AP47" i="158"/>
  <c r="FT46" i="158"/>
  <c r="FU46" i="158" s="1"/>
  <c r="FR46" i="158"/>
  <c r="FQ46" i="158"/>
  <c r="FP46" i="158"/>
  <c r="FJ46" i="158"/>
  <c r="FK46" i="158" s="1"/>
  <c r="FH46" i="158"/>
  <c r="FG46" i="158"/>
  <c r="FF46" i="158"/>
  <c r="EZ46" i="158"/>
  <c r="FA46" i="158" s="1"/>
  <c r="EX46" i="158"/>
  <c r="EW46" i="158"/>
  <c r="EV46" i="158"/>
  <c r="EP46" i="158"/>
  <c r="EQ46" i="158" s="1"/>
  <c r="EN46" i="158"/>
  <c r="EM46" i="158"/>
  <c r="EL46" i="158"/>
  <c r="EF46" i="158"/>
  <c r="EG46" i="158" s="1"/>
  <c r="ED46" i="158"/>
  <c r="EC46" i="158"/>
  <c r="EB46" i="158"/>
  <c r="DV46" i="158"/>
  <c r="DW46" i="158" s="1"/>
  <c r="DT46" i="158"/>
  <c r="DS46" i="158"/>
  <c r="DR46" i="158"/>
  <c r="DL46" i="158"/>
  <c r="DM46" i="158" s="1"/>
  <c r="DJ46" i="158"/>
  <c r="DI46" i="158"/>
  <c r="DH46" i="158"/>
  <c r="DB46" i="158"/>
  <c r="DC46" i="158" s="1"/>
  <c r="CZ46" i="158"/>
  <c r="CY46" i="158"/>
  <c r="CX46" i="158"/>
  <c r="CR46" i="158"/>
  <c r="CS46" i="158" s="1"/>
  <c r="CP46" i="158"/>
  <c r="CO46" i="158"/>
  <c r="CN46" i="158"/>
  <c r="CH46" i="158"/>
  <c r="CI46" i="158" s="1"/>
  <c r="CF46" i="158"/>
  <c r="CE46" i="158"/>
  <c r="CD46" i="158"/>
  <c r="BX46" i="158"/>
  <c r="BY46" i="158" s="1"/>
  <c r="BV46" i="158"/>
  <c r="BU46" i="158"/>
  <c r="BT46" i="158"/>
  <c r="BN46" i="158"/>
  <c r="BO46" i="158" s="1"/>
  <c r="BL46" i="158"/>
  <c r="BK46" i="158"/>
  <c r="BJ46" i="158"/>
  <c r="BD46" i="158"/>
  <c r="BE46" i="158" s="1"/>
  <c r="BB46" i="158"/>
  <c r="BA46" i="158"/>
  <c r="AZ46" i="158"/>
  <c r="AT46" i="158"/>
  <c r="AU46" i="158" s="1"/>
  <c r="AR46" i="158"/>
  <c r="AQ46" i="158"/>
  <c r="AP46" i="158"/>
  <c r="FT45" i="158"/>
  <c r="FU45" i="158" s="1"/>
  <c r="FR45" i="158"/>
  <c r="FQ45" i="158"/>
  <c r="FP45" i="158"/>
  <c r="FJ45" i="158"/>
  <c r="FK45" i="158" s="1"/>
  <c r="FH45" i="158"/>
  <c r="FG45" i="158"/>
  <c r="FF45" i="158"/>
  <c r="EZ45" i="158"/>
  <c r="FA45" i="158" s="1"/>
  <c r="EX45" i="158"/>
  <c r="EW45" i="158"/>
  <c r="EV45" i="158"/>
  <c r="EP45" i="158"/>
  <c r="EQ45" i="158" s="1"/>
  <c r="EN45" i="158"/>
  <c r="EM45" i="158"/>
  <c r="EL45" i="158"/>
  <c r="EF45" i="158"/>
  <c r="EG45" i="158" s="1"/>
  <c r="ED45" i="158"/>
  <c r="EC45" i="158"/>
  <c r="EB45" i="158"/>
  <c r="DV45" i="158"/>
  <c r="DW45" i="158" s="1"/>
  <c r="DT45" i="158"/>
  <c r="DS45" i="158"/>
  <c r="DR45" i="158"/>
  <c r="DL45" i="158"/>
  <c r="DM45" i="158" s="1"/>
  <c r="DJ45" i="158"/>
  <c r="DI45" i="158"/>
  <c r="DH45" i="158"/>
  <c r="DB45" i="158"/>
  <c r="DC45" i="158" s="1"/>
  <c r="CZ45" i="158"/>
  <c r="CY45" i="158"/>
  <c r="CX45" i="158"/>
  <c r="CR45" i="158"/>
  <c r="CS45" i="158" s="1"/>
  <c r="CP45" i="158"/>
  <c r="CO45" i="158"/>
  <c r="CN45" i="158"/>
  <c r="CH45" i="158"/>
  <c r="CI45" i="158" s="1"/>
  <c r="CF45" i="158"/>
  <c r="CE45" i="158"/>
  <c r="CD45" i="158"/>
  <c r="BX45" i="158"/>
  <c r="BY45" i="158" s="1"/>
  <c r="BV45" i="158"/>
  <c r="BU45" i="158"/>
  <c r="BT45" i="158"/>
  <c r="BN45" i="158"/>
  <c r="BO45" i="158" s="1"/>
  <c r="BL45" i="158"/>
  <c r="BK45" i="158"/>
  <c r="BJ45" i="158"/>
  <c r="BD45" i="158"/>
  <c r="BE45" i="158" s="1"/>
  <c r="BB45" i="158"/>
  <c r="BA45" i="158"/>
  <c r="AZ45" i="158"/>
  <c r="AT45" i="158"/>
  <c r="AU45" i="158" s="1"/>
  <c r="AR45" i="158"/>
  <c r="AQ45" i="158"/>
  <c r="AP45" i="158"/>
  <c r="FT44" i="158"/>
  <c r="FU44" i="158" s="1"/>
  <c r="FR44" i="158"/>
  <c r="FQ44" i="158"/>
  <c r="FP44" i="158"/>
  <c r="FJ44" i="158"/>
  <c r="FK44" i="158" s="1"/>
  <c r="FH44" i="158"/>
  <c r="FG44" i="158"/>
  <c r="FF44" i="158"/>
  <c r="EZ44" i="158"/>
  <c r="FA44" i="158" s="1"/>
  <c r="EX44" i="158"/>
  <c r="EW44" i="158"/>
  <c r="EV44" i="158"/>
  <c r="EP44" i="158"/>
  <c r="EQ44" i="158" s="1"/>
  <c r="EN44" i="158"/>
  <c r="EM44" i="158"/>
  <c r="EL44" i="158"/>
  <c r="EF44" i="158"/>
  <c r="EG44" i="158" s="1"/>
  <c r="ED44" i="158"/>
  <c r="EC44" i="158"/>
  <c r="EB44" i="158"/>
  <c r="DV44" i="158"/>
  <c r="DW44" i="158" s="1"/>
  <c r="DT44" i="158"/>
  <c r="DS44" i="158"/>
  <c r="DR44" i="158"/>
  <c r="DL44" i="158"/>
  <c r="DM44" i="158" s="1"/>
  <c r="DJ44" i="158"/>
  <c r="DI44" i="158"/>
  <c r="DH44" i="158"/>
  <c r="DB44" i="158"/>
  <c r="DC44" i="158" s="1"/>
  <c r="CZ44" i="158"/>
  <c r="CY44" i="158"/>
  <c r="CX44" i="158"/>
  <c r="CR44" i="158"/>
  <c r="CS44" i="158" s="1"/>
  <c r="CP44" i="158"/>
  <c r="CO44" i="158"/>
  <c r="CN44" i="158"/>
  <c r="CH44" i="158"/>
  <c r="CI44" i="158" s="1"/>
  <c r="CF44" i="158"/>
  <c r="CE44" i="158"/>
  <c r="CD44" i="158"/>
  <c r="BX44" i="158"/>
  <c r="BY44" i="158" s="1"/>
  <c r="BV44" i="158"/>
  <c r="BU44" i="158"/>
  <c r="BT44" i="158"/>
  <c r="BN44" i="158"/>
  <c r="BO44" i="158" s="1"/>
  <c r="BL44" i="158"/>
  <c r="BK44" i="158"/>
  <c r="BJ44" i="158"/>
  <c r="BD44" i="158"/>
  <c r="BE44" i="158" s="1"/>
  <c r="BB44" i="158"/>
  <c r="BA44" i="158"/>
  <c r="AZ44" i="158"/>
  <c r="AT44" i="158"/>
  <c r="AU44" i="158" s="1"/>
  <c r="AR44" i="158"/>
  <c r="AQ44" i="158"/>
  <c r="AP44" i="158"/>
  <c r="FT43" i="158"/>
  <c r="FU43" i="158" s="1"/>
  <c r="FR43" i="158"/>
  <c r="FQ43" i="158"/>
  <c r="FP43" i="158"/>
  <c r="FJ43" i="158"/>
  <c r="FK43" i="158" s="1"/>
  <c r="FH43" i="158"/>
  <c r="FG43" i="158"/>
  <c r="FF43" i="158"/>
  <c r="EZ43" i="158"/>
  <c r="FA43" i="158" s="1"/>
  <c r="EX43" i="158"/>
  <c r="EW43" i="158"/>
  <c r="EV43" i="158"/>
  <c r="EP43" i="158"/>
  <c r="EQ43" i="158" s="1"/>
  <c r="EN43" i="158"/>
  <c r="EM43" i="158"/>
  <c r="EL43" i="158"/>
  <c r="EF43" i="158"/>
  <c r="EG43" i="158" s="1"/>
  <c r="ED43" i="158"/>
  <c r="EC43" i="158"/>
  <c r="EB43" i="158"/>
  <c r="DV43" i="158"/>
  <c r="DW43" i="158" s="1"/>
  <c r="DT43" i="158"/>
  <c r="DS43" i="158"/>
  <c r="DR43" i="158"/>
  <c r="DL43" i="158"/>
  <c r="DM43" i="158" s="1"/>
  <c r="DJ43" i="158"/>
  <c r="DI43" i="158"/>
  <c r="DH43" i="158"/>
  <c r="DB43" i="158"/>
  <c r="DC43" i="158" s="1"/>
  <c r="CZ43" i="158"/>
  <c r="CY43" i="158"/>
  <c r="CX43" i="158"/>
  <c r="CR43" i="158"/>
  <c r="CS43" i="158" s="1"/>
  <c r="CP43" i="158"/>
  <c r="CO43" i="158"/>
  <c r="CN43" i="158"/>
  <c r="CH43" i="158"/>
  <c r="CI43" i="158" s="1"/>
  <c r="CF43" i="158"/>
  <c r="CE43" i="158"/>
  <c r="CD43" i="158"/>
  <c r="BX43" i="158"/>
  <c r="BY43" i="158" s="1"/>
  <c r="BV43" i="158"/>
  <c r="BU43" i="158"/>
  <c r="BT43" i="158"/>
  <c r="BN43" i="158"/>
  <c r="BO43" i="158" s="1"/>
  <c r="BL43" i="158"/>
  <c r="BK43" i="158"/>
  <c r="BJ43" i="158"/>
  <c r="BD43" i="158"/>
  <c r="BE43" i="158" s="1"/>
  <c r="BB43" i="158"/>
  <c r="BA43" i="158"/>
  <c r="AZ43" i="158"/>
  <c r="AT43" i="158"/>
  <c r="AU43" i="158" s="1"/>
  <c r="AR43" i="158"/>
  <c r="AQ43" i="158"/>
  <c r="AP43" i="158"/>
  <c r="FT42" i="158"/>
  <c r="FU42" i="158" s="1"/>
  <c r="FR42" i="158"/>
  <c r="FQ42" i="158"/>
  <c r="FP42" i="158"/>
  <c r="FJ42" i="158"/>
  <c r="FK42" i="158" s="1"/>
  <c r="FH42" i="158"/>
  <c r="FG42" i="158"/>
  <c r="FF42" i="158"/>
  <c r="EZ42" i="158"/>
  <c r="FA42" i="158" s="1"/>
  <c r="EX42" i="158"/>
  <c r="EW42" i="158"/>
  <c r="EV42" i="158"/>
  <c r="EP42" i="158"/>
  <c r="EQ42" i="158" s="1"/>
  <c r="EN42" i="158"/>
  <c r="EM42" i="158"/>
  <c r="EL42" i="158"/>
  <c r="EF42" i="158"/>
  <c r="EG42" i="158" s="1"/>
  <c r="ED42" i="158"/>
  <c r="EC42" i="158"/>
  <c r="EB42" i="158"/>
  <c r="DV42" i="158"/>
  <c r="DW42" i="158" s="1"/>
  <c r="DT42" i="158"/>
  <c r="DS42" i="158"/>
  <c r="DR42" i="158"/>
  <c r="DL42" i="158"/>
  <c r="DM42" i="158" s="1"/>
  <c r="DJ42" i="158"/>
  <c r="DI42" i="158"/>
  <c r="DH42" i="158"/>
  <c r="DB42" i="158"/>
  <c r="DC42" i="158" s="1"/>
  <c r="CZ42" i="158"/>
  <c r="CY42" i="158"/>
  <c r="CX42" i="158"/>
  <c r="CR42" i="158"/>
  <c r="CS42" i="158" s="1"/>
  <c r="CP42" i="158"/>
  <c r="CO42" i="158"/>
  <c r="CN42" i="158"/>
  <c r="CH42" i="158"/>
  <c r="CI42" i="158" s="1"/>
  <c r="CF42" i="158"/>
  <c r="CE42" i="158"/>
  <c r="CD42" i="158"/>
  <c r="BX42" i="158"/>
  <c r="BY42" i="158" s="1"/>
  <c r="BV42" i="158"/>
  <c r="BU42" i="158"/>
  <c r="BT42" i="158"/>
  <c r="BN42" i="158"/>
  <c r="BO42" i="158" s="1"/>
  <c r="BL42" i="158"/>
  <c r="BK42" i="158"/>
  <c r="BJ42" i="158"/>
  <c r="BD42" i="158"/>
  <c r="BE42" i="158" s="1"/>
  <c r="BB42" i="158"/>
  <c r="BA42" i="158"/>
  <c r="AZ42" i="158"/>
  <c r="AT42" i="158"/>
  <c r="AU42" i="158" s="1"/>
  <c r="AR42" i="158"/>
  <c r="AQ42" i="158"/>
  <c r="AP42" i="158"/>
  <c r="FT41" i="158"/>
  <c r="FU41" i="158" s="1"/>
  <c r="FR41" i="158"/>
  <c r="FQ41" i="158"/>
  <c r="FP41" i="158"/>
  <c r="FJ41" i="158"/>
  <c r="FK41" i="158" s="1"/>
  <c r="FH41" i="158"/>
  <c r="FG41" i="158"/>
  <c r="FF41" i="158"/>
  <c r="EZ41" i="158"/>
  <c r="FA41" i="158" s="1"/>
  <c r="EX41" i="158"/>
  <c r="EW41" i="158"/>
  <c r="EV41" i="158"/>
  <c r="EP41" i="158"/>
  <c r="EQ41" i="158" s="1"/>
  <c r="EN41" i="158"/>
  <c r="EM41" i="158"/>
  <c r="EL41" i="158"/>
  <c r="EF41" i="158"/>
  <c r="EG41" i="158" s="1"/>
  <c r="ED41" i="158"/>
  <c r="EC41" i="158"/>
  <c r="EB41" i="158"/>
  <c r="DV41" i="158"/>
  <c r="DW41" i="158" s="1"/>
  <c r="DT41" i="158"/>
  <c r="DS41" i="158"/>
  <c r="DR41" i="158"/>
  <c r="DL41" i="158"/>
  <c r="DM41" i="158" s="1"/>
  <c r="DJ41" i="158"/>
  <c r="DI41" i="158"/>
  <c r="DH41" i="158"/>
  <c r="DB41" i="158"/>
  <c r="DC41" i="158" s="1"/>
  <c r="CZ41" i="158"/>
  <c r="CY41" i="158"/>
  <c r="CX41" i="158"/>
  <c r="CR41" i="158"/>
  <c r="CS41" i="158" s="1"/>
  <c r="CP41" i="158"/>
  <c r="CO41" i="158"/>
  <c r="CN41" i="158"/>
  <c r="CH41" i="158"/>
  <c r="CI41" i="158" s="1"/>
  <c r="CF41" i="158"/>
  <c r="CE41" i="158"/>
  <c r="CD41" i="158"/>
  <c r="BX41" i="158"/>
  <c r="BY41" i="158" s="1"/>
  <c r="BV41" i="158"/>
  <c r="BU41" i="158"/>
  <c r="BT41" i="158"/>
  <c r="BN41" i="158"/>
  <c r="BO41" i="158" s="1"/>
  <c r="BL41" i="158"/>
  <c r="BK41" i="158"/>
  <c r="BJ41" i="158"/>
  <c r="BD41" i="158"/>
  <c r="BE41" i="158" s="1"/>
  <c r="BB41" i="158"/>
  <c r="BA41" i="158"/>
  <c r="AZ41" i="158"/>
  <c r="AT41" i="158"/>
  <c r="AU41" i="158" s="1"/>
  <c r="AR41" i="158"/>
  <c r="AQ41" i="158"/>
  <c r="AP41" i="158"/>
  <c r="FT40" i="158"/>
  <c r="FU40" i="158" s="1"/>
  <c r="FR40" i="158"/>
  <c r="FQ40" i="158"/>
  <c r="FP40" i="158"/>
  <c r="FJ40" i="158"/>
  <c r="FK40" i="158" s="1"/>
  <c r="FH40" i="158"/>
  <c r="FG40" i="158"/>
  <c r="FF40" i="158"/>
  <c r="EZ40" i="158"/>
  <c r="FA40" i="158" s="1"/>
  <c r="EX40" i="158"/>
  <c r="EW40" i="158"/>
  <c r="EV40" i="158"/>
  <c r="EP40" i="158"/>
  <c r="EQ40" i="158" s="1"/>
  <c r="EN40" i="158"/>
  <c r="EM40" i="158"/>
  <c r="EL40" i="158"/>
  <c r="EF40" i="158"/>
  <c r="EG40" i="158" s="1"/>
  <c r="ED40" i="158"/>
  <c r="EC40" i="158"/>
  <c r="EB40" i="158"/>
  <c r="DV40" i="158"/>
  <c r="DW40" i="158" s="1"/>
  <c r="DT40" i="158"/>
  <c r="DS40" i="158"/>
  <c r="DR40" i="158"/>
  <c r="DL40" i="158"/>
  <c r="DM40" i="158" s="1"/>
  <c r="DJ40" i="158"/>
  <c r="DI40" i="158"/>
  <c r="DH40" i="158"/>
  <c r="DB40" i="158"/>
  <c r="DC40" i="158" s="1"/>
  <c r="CZ40" i="158"/>
  <c r="CY40" i="158"/>
  <c r="CX40" i="158"/>
  <c r="CR40" i="158"/>
  <c r="CS40" i="158" s="1"/>
  <c r="CP40" i="158"/>
  <c r="CO40" i="158"/>
  <c r="CN40" i="158"/>
  <c r="CH40" i="158"/>
  <c r="CI40" i="158" s="1"/>
  <c r="CF40" i="158"/>
  <c r="CE40" i="158"/>
  <c r="CD40" i="158"/>
  <c r="BX40" i="158"/>
  <c r="BY40" i="158" s="1"/>
  <c r="BV40" i="158"/>
  <c r="BU40" i="158"/>
  <c r="BT40" i="158"/>
  <c r="BN40" i="158"/>
  <c r="BO40" i="158" s="1"/>
  <c r="BL40" i="158"/>
  <c r="BK40" i="158"/>
  <c r="BJ40" i="158"/>
  <c r="BD40" i="158"/>
  <c r="BE40" i="158" s="1"/>
  <c r="BB40" i="158"/>
  <c r="BA40" i="158"/>
  <c r="AZ40" i="158"/>
  <c r="AT40" i="158"/>
  <c r="AU40" i="158" s="1"/>
  <c r="AR40" i="158"/>
  <c r="AQ40" i="158"/>
  <c r="AP40" i="158"/>
  <c r="AG34" i="158"/>
  <c r="X34" i="158"/>
  <c r="N34" i="158"/>
  <c r="D34" i="158"/>
  <c r="AG33" i="158"/>
  <c r="X33" i="158"/>
  <c r="N33" i="158"/>
  <c r="D33" i="158"/>
  <c r="AG32" i="158"/>
  <c r="X32" i="158"/>
  <c r="N32" i="158"/>
  <c r="D32" i="158"/>
  <c r="AG31" i="158"/>
  <c r="X31" i="158"/>
  <c r="N31" i="158"/>
  <c r="D31" i="158"/>
  <c r="FQ30" i="158"/>
  <c r="FG30" i="158"/>
  <c r="FI30" i="158" s="1"/>
  <c r="FJ30" i="158" s="1"/>
  <c r="EW30" i="158"/>
  <c r="EX30" i="158" s="1"/>
  <c r="EM30" i="158"/>
  <c r="EO30" i="158" s="1"/>
  <c r="EP30" i="158" s="1"/>
  <c r="EC30" i="158"/>
  <c r="EE30" i="158" s="1"/>
  <c r="EF30" i="158" s="1"/>
  <c r="DS30" i="158"/>
  <c r="DU30" i="158" s="1"/>
  <c r="DV30" i="158" s="1"/>
  <c r="DI30" i="158"/>
  <c r="DJ30" i="158" s="1"/>
  <c r="CY30" i="158"/>
  <c r="DA30" i="158" s="1"/>
  <c r="DB30" i="158" s="1"/>
  <c r="CO30" i="158"/>
  <c r="CP30" i="158" s="1"/>
  <c r="CE30" i="158"/>
  <c r="BU30" i="158"/>
  <c r="BK30" i="158"/>
  <c r="BM30" i="158" s="1"/>
  <c r="BN30" i="158" s="1"/>
  <c r="BA30" i="158"/>
  <c r="BC30" i="158" s="1"/>
  <c r="BD30" i="158" s="1"/>
  <c r="AQ30" i="158"/>
  <c r="AS30" i="158" s="1"/>
  <c r="AT30" i="158" s="1"/>
  <c r="AG30" i="158"/>
  <c r="X30" i="158"/>
  <c r="N30" i="158"/>
  <c r="D30" i="158"/>
  <c r="FQ29" i="158"/>
  <c r="FS29" i="158" s="1"/>
  <c r="FT29" i="158" s="1"/>
  <c r="FG29" i="158"/>
  <c r="FI29" i="158" s="1"/>
  <c r="FJ29" i="158" s="1"/>
  <c r="EW29" i="158"/>
  <c r="EX29" i="158" s="1"/>
  <c r="EM29" i="158"/>
  <c r="EO29" i="158" s="1"/>
  <c r="EP29" i="158" s="1"/>
  <c r="EC29" i="158"/>
  <c r="EE29" i="158" s="1"/>
  <c r="EF29" i="158" s="1"/>
  <c r="DS29" i="158"/>
  <c r="DI29" i="158"/>
  <c r="DK29" i="158" s="1"/>
  <c r="DL29" i="158" s="1"/>
  <c r="CY29" i="158"/>
  <c r="CZ29" i="158" s="1"/>
  <c r="CO29" i="158"/>
  <c r="CQ29" i="158" s="1"/>
  <c r="CR29" i="158" s="1"/>
  <c r="CE29" i="158"/>
  <c r="CG29" i="158" s="1"/>
  <c r="CH29" i="158" s="1"/>
  <c r="BU29" i="158"/>
  <c r="BW29" i="158" s="1"/>
  <c r="BX29" i="158" s="1"/>
  <c r="BK29" i="158"/>
  <c r="BM29" i="158" s="1"/>
  <c r="BN29" i="158" s="1"/>
  <c r="BA29" i="158"/>
  <c r="BB29" i="158" s="1"/>
  <c r="AQ29" i="158"/>
  <c r="AS29" i="158" s="1"/>
  <c r="AT29" i="158" s="1"/>
  <c r="AG29" i="158"/>
  <c r="X29" i="158"/>
  <c r="N29" i="158"/>
  <c r="D29" i="158"/>
  <c r="FQ28" i="158"/>
  <c r="FS28" i="158" s="1"/>
  <c r="FT28" i="158" s="1"/>
  <c r="FG28" i="158"/>
  <c r="FH28" i="158" s="1"/>
  <c r="EW28" i="158"/>
  <c r="EY28" i="158" s="1"/>
  <c r="EZ28" i="158" s="1"/>
  <c r="EM28" i="158"/>
  <c r="EC28" i="158"/>
  <c r="EE28" i="158" s="1"/>
  <c r="EF28" i="158" s="1"/>
  <c r="DS28" i="158"/>
  <c r="DU28" i="158" s="1"/>
  <c r="DV28" i="158" s="1"/>
  <c r="DI28" i="158"/>
  <c r="DK28" i="158" s="1"/>
  <c r="DL28" i="158" s="1"/>
  <c r="CY28" i="158"/>
  <c r="DA28" i="158" s="1"/>
  <c r="DB28" i="158" s="1"/>
  <c r="CO28" i="158"/>
  <c r="CP28" i="158" s="1"/>
  <c r="CE28" i="158"/>
  <c r="CG28" i="158" s="1"/>
  <c r="CH28" i="158" s="1"/>
  <c r="BU28" i="158"/>
  <c r="BW28" i="158" s="1"/>
  <c r="BX28" i="158" s="1"/>
  <c r="BK28" i="158"/>
  <c r="BM28" i="158" s="1"/>
  <c r="BN28" i="158" s="1"/>
  <c r="BA28" i="158"/>
  <c r="AQ28" i="158"/>
  <c r="AS28" i="158" s="1"/>
  <c r="AT28" i="158" s="1"/>
  <c r="AG28" i="158"/>
  <c r="X28" i="158"/>
  <c r="N28" i="158"/>
  <c r="D28" i="158"/>
  <c r="FQ27" i="158"/>
  <c r="FS27" i="158" s="1"/>
  <c r="FT27" i="158" s="1"/>
  <c r="FG27" i="158"/>
  <c r="FI27" i="158" s="1"/>
  <c r="FJ27" i="158" s="1"/>
  <c r="EW27" i="158"/>
  <c r="EM27" i="158"/>
  <c r="EO27" i="158" s="1"/>
  <c r="EP27" i="158" s="1"/>
  <c r="EC27" i="158"/>
  <c r="EE27" i="158" s="1"/>
  <c r="EF27" i="158" s="1"/>
  <c r="DS27" i="158"/>
  <c r="DU27" i="158" s="1"/>
  <c r="DV27" i="158" s="1"/>
  <c r="DI27" i="158"/>
  <c r="DK27" i="158" s="1"/>
  <c r="DL27" i="158" s="1"/>
  <c r="CY27" i="158"/>
  <c r="DA27" i="158" s="1"/>
  <c r="DB27" i="158" s="1"/>
  <c r="CO27" i="158"/>
  <c r="CP27" i="158" s="1"/>
  <c r="CE27" i="158"/>
  <c r="CG27" i="158" s="1"/>
  <c r="CH27" i="158" s="1"/>
  <c r="BU27" i="158"/>
  <c r="BW27" i="158" s="1"/>
  <c r="BX27" i="158" s="1"/>
  <c r="BK27" i="158"/>
  <c r="BA27" i="158"/>
  <c r="AQ27" i="158"/>
  <c r="AS27" i="158" s="1"/>
  <c r="AT27" i="158" s="1"/>
  <c r="AG27" i="158"/>
  <c r="X27" i="158"/>
  <c r="N27" i="158"/>
  <c r="D27" i="158"/>
  <c r="FQ26" i="158"/>
  <c r="FR26" i="158" s="1"/>
  <c r="FG26" i="158"/>
  <c r="FI26" i="158" s="1"/>
  <c r="FJ26" i="158" s="1"/>
  <c r="EW26" i="158"/>
  <c r="EY26" i="158" s="1"/>
  <c r="EZ26" i="158" s="1"/>
  <c r="EM26" i="158"/>
  <c r="EO26" i="158" s="1"/>
  <c r="EP26" i="158" s="1"/>
  <c r="EC26" i="158"/>
  <c r="EE26" i="158" s="1"/>
  <c r="EF26" i="158" s="1"/>
  <c r="DS26" i="158"/>
  <c r="DU26" i="158" s="1"/>
  <c r="DV26" i="158" s="1"/>
  <c r="DI26" i="158"/>
  <c r="DJ26" i="158" s="1"/>
  <c r="CY26" i="158"/>
  <c r="DA26" i="158" s="1"/>
  <c r="DB26" i="158" s="1"/>
  <c r="CO26" i="158"/>
  <c r="CP26" i="158" s="1"/>
  <c r="CE26" i="158"/>
  <c r="CF26" i="158" s="1"/>
  <c r="BU26" i="158"/>
  <c r="BW26" i="158" s="1"/>
  <c r="BX26" i="158" s="1"/>
  <c r="BK26" i="158"/>
  <c r="BM26" i="158" s="1"/>
  <c r="BN26" i="158" s="1"/>
  <c r="BA26" i="158"/>
  <c r="BC26" i="158" s="1"/>
  <c r="BD26" i="158" s="1"/>
  <c r="AQ26" i="158"/>
  <c r="AR26" i="158" s="1"/>
  <c r="AG26" i="158"/>
  <c r="X26" i="158"/>
  <c r="N26" i="158"/>
  <c r="D26" i="158"/>
  <c r="FQ25" i="158"/>
  <c r="FS25" i="158" s="1"/>
  <c r="FT25" i="158" s="1"/>
  <c r="FG25" i="158"/>
  <c r="FI25" i="158" s="1"/>
  <c r="FJ25" i="158" s="1"/>
  <c r="EW25" i="158"/>
  <c r="EX25" i="158" s="1"/>
  <c r="EM25" i="158"/>
  <c r="EO25" i="158" s="1"/>
  <c r="EP25" i="158" s="1"/>
  <c r="EC25" i="158"/>
  <c r="ED25" i="158" s="1"/>
  <c r="DS25" i="158"/>
  <c r="DI25" i="158"/>
  <c r="DK25" i="158" s="1"/>
  <c r="DL25" i="158" s="1"/>
  <c r="CY25" i="158"/>
  <c r="DA25" i="158" s="1"/>
  <c r="DB25" i="158" s="1"/>
  <c r="CO25" i="158"/>
  <c r="CP25" i="158" s="1"/>
  <c r="CE25" i="158"/>
  <c r="CG25" i="158" s="1"/>
  <c r="CH25" i="158" s="1"/>
  <c r="BU25" i="158"/>
  <c r="BW25" i="158" s="1"/>
  <c r="BX25" i="158" s="1"/>
  <c r="BK25" i="158"/>
  <c r="BL25" i="158" s="1"/>
  <c r="BA25" i="158"/>
  <c r="BC25" i="158" s="1"/>
  <c r="BD25" i="158" s="1"/>
  <c r="AQ25" i="158"/>
  <c r="AG25" i="158"/>
  <c r="X25" i="158"/>
  <c r="N25" i="158"/>
  <c r="D25" i="158"/>
  <c r="FQ24" i="158"/>
  <c r="FS24" i="158" s="1"/>
  <c r="FT24" i="158" s="1"/>
  <c r="FG24" i="158"/>
  <c r="FI24" i="158" s="1"/>
  <c r="FJ24" i="158" s="1"/>
  <c r="EW24" i="158"/>
  <c r="EX24" i="158" s="1"/>
  <c r="EM24" i="158"/>
  <c r="EO24" i="158" s="1"/>
  <c r="EP24" i="158" s="1"/>
  <c r="EC24" i="158"/>
  <c r="ED24" i="158" s="1"/>
  <c r="DS24" i="158"/>
  <c r="DT24" i="158" s="1"/>
  <c r="DI24" i="158"/>
  <c r="DK24" i="158" s="1"/>
  <c r="DL24" i="158" s="1"/>
  <c r="CY24" i="158"/>
  <c r="DA24" i="158" s="1"/>
  <c r="DB24" i="158" s="1"/>
  <c r="CO24" i="158"/>
  <c r="CQ24" i="158" s="1"/>
  <c r="CR24" i="158" s="1"/>
  <c r="CE24" i="158"/>
  <c r="CF24" i="158" s="1"/>
  <c r="BU24" i="158"/>
  <c r="BW24" i="158" s="1"/>
  <c r="BX24" i="158" s="1"/>
  <c r="BK24" i="158"/>
  <c r="BM24" i="158" s="1"/>
  <c r="BN24" i="158" s="1"/>
  <c r="BA24" i="158"/>
  <c r="BC24" i="158" s="1"/>
  <c r="BD24" i="158" s="1"/>
  <c r="AQ24" i="158"/>
  <c r="AG24" i="158"/>
  <c r="X24" i="158"/>
  <c r="N24" i="158"/>
  <c r="D24" i="158"/>
  <c r="FQ23" i="158"/>
  <c r="FS23" i="158" s="1"/>
  <c r="FT23" i="158" s="1"/>
  <c r="FG23" i="158"/>
  <c r="FI23" i="158" s="1"/>
  <c r="FJ23" i="158" s="1"/>
  <c r="EW23" i="158"/>
  <c r="EY23" i="158" s="1"/>
  <c r="EZ23" i="158" s="1"/>
  <c r="EM23" i="158"/>
  <c r="EO23" i="158" s="1"/>
  <c r="EP23" i="158" s="1"/>
  <c r="EC23" i="158"/>
  <c r="EE23" i="158" s="1"/>
  <c r="EF23" i="158" s="1"/>
  <c r="DS23" i="158"/>
  <c r="DU23" i="158" s="1"/>
  <c r="DV23" i="158" s="1"/>
  <c r="DI23" i="158"/>
  <c r="DK23" i="158" s="1"/>
  <c r="DL23" i="158" s="1"/>
  <c r="CY23" i="158"/>
  <c r="DA23" i="158" s="1"/>
  <c r="DB23" i="158" s="1"/>
  <c r="CO23" i="158"/>
  <c r="CQ23" i="158" s="1"/>
  <c r="CR23" i="158" s="1"/>
  <c r="CE23" i="158"/>
  <c r="CG23" i="158" s="1"/>
  <c r="CH23" i="158" s="1"/>
  <c r="BU23" i="158"/>
  <c r="BW23" i="158" s="1"/>
  <c r="BX23" i="158" s="1"/>
  <c r="BK23" i="158"/>
  <c r="BM23" i="158" s="1"/>
  <c r="BN23" i="158" s="1"/>
  <c r="BA23" i="158"/>
  <c r="BC23" i="158" s="1"/>
  <c r="BD23" i="158" s="1"/>
  <c r="AQ23" i="158"/>
  <c r="AG23" i="158"/>
  <c r="X23" i="158"/>
  <c r="N23" i="158"/>
  <c r="D23" i="158"/>
  <c r="FQ22" i="158"/>
  <c r="FS22" i="158" s="1"/>
  <c r="FT22" i="158" s="1"/>
  <c r="FG22" i="158"/>
  <c r="FI22" i="158" s="1"/>
  <c r="FJ22" i="158" s="1"/>
  <c r="EW22" i="158"/>
  <c r="EY22" i="158" s="1"/>
  <c r="EZ22" i="158" s="1"/>
  <c r="EM22" i="158"/>
  <c r="EC22" i="158"/>
  <c r="EE22" i="158" s="1"/>
  <c r="EF22" i="158" s="1"/>
  <c r="DS22" i="158"/>
  <c r="DT22" i="158" s="1"/>
  <c r="DI22" i="158"/>
  <c r="DK22" i="158" s="1"/>
  <c r="DL22" i="158" s="1"/>
  <c r="CY22" i="158"/>
  <c r="DA22" i="158" s="1"/>
  <c r="DB22" i="158" s="1"/>
  <c r="CO22" i="158"/>
  <c r="CQ22" i="158" s="1"/>
  <c r="CR22" i="158" s="1"/>
  <c r="CE22" i="158"/>
  <c r="CG22" i="158" s="1"/>
  <c r="CH22" i="158" s="1"/>
  <c r="BU22" i="158"/>
  <c r="BV22" i="158" s="1"/>
  <c r="BK22" i="158"/>
  <c r="BM22" i="158" s="1"/>
  <c r="BN22" i="158" s="1"/>
  <c r="BA22" i="158"/>
  <c r="BB22" i="158" s="1"/>
  <c r="AQ22" i="158"/>
  <c r="AR22" i="158" s="1"/>
  <c r="AG22" i="158"/>
  <c r="X22" i="158"/>
  <c r="N22" i="158"/>
  <c r="D22" i="158"/>
  <c r="FQ21" i="158"/>
  <c r="FR21" i="158" s="1"/>
  <c r="FG21" i="158"/>
  <c r="FI21" i="158" s="1"/>
  <c r="FJ21" i="158" s="1"/>
  <c r="EW21" i="158"/>
  <c r="EY21" i="158" s="1"/>
  <c r="EZ21" i="158" s="1"/>
  <c r="EM21" i="158"/>
  <c r="EO21" i="158" s="1"/>
  <c r="EP21" i="158" s="1"/>
  <c r="EC21" i="158"/>
  <c r="DS21" i="158"/>
  <c r="DU21" i="158" s="1"/>
  <c r="DV21" i="158" s="1"/>
  <c r="DI21" i="158"/>
  <c r="DK21" i="158" s="1"/>
  <c r="DL21" i="158" s="1"/>
  <c r="CY21" i="158"/>
  <c r="DA21" i="158" s="1"/>
  <c r="DB21" i="158" s="1"/>
  <c r="CO21" i="158"/>
  <c r="CQ21" i="158" s="1"/>
  <c r="CR21" i="158" s="1"/>
  <c r="CE21" i="158"/>
  <c r="CG21" i="158" s="1"/>
  <c r="CH21" i="158" s="1"/>
  <c r="BU21" i="158"/>
  <c r="BV21" i="158" s="1"/>
  <c r="BK21" i="158"/>
  <c r="BM21" i="158" s="1"/>
  <c r="BN21" i="158" s="1"/>
  <c r="BA21" i="158"/>
  <c r="BC21" i="158" s="1"/>
  <c r="BD21" i="158" s="1"/>
  <c r="AQ21" i="158"/>
  <c r="AS21" i="158" s="1"/>
  <c r="AT21" i="158" s="1"/>
  <c r="AG21" i="158"/>
  <c r="X21" i="158"/>
  <c r="N21" i="158"/>
  <c r="D21" i="158"/>
  <c r="FQ20" i="158"/>
  <c r="FR20" i="158" s="1"/>
  <c r="FG20" i="158"/>
  <c r="FH20" i="158" s="1"/>
  <c r="EW20" i="158"/>
  <c r="EY20" i="158" s="1"/>
  <c r="EZ20" i="158" s="1"/>
  <c r="EM20" i="158"/>
  <c r="EO20" i="158" s="1"/>
  <c r="EP20" i="158" s="1"/>
  <c r="EC20" i="158"/>
  <c r="EE20" i="158" s="1"/>
  <c r="EF20" i="158" s="1"/>
  <c r="DS20" i="158"/>
  <c r="DU20" i="158" s="1"/>
  <c r="DV20" i="158" s="1"/>
  <c r="DI20" i="158"/>
  <c r="DK20" i="158" s="1"/>
  <c r="DL20" i="158" s="1"/>
  <c r="CY20" i="158"/>
  <c r="DA20" i="158" s="1"/>
  <c r="DB20" i="158" s="1"/>
  <c r="CO20" i="158"/>
  <c r="CP20" i="158" s="1"/>
  <c r="CE20" i="158"/>
  <c r="CG20" i="158" s="1"/>
  <c r="CH20" i="158" s="1"/>
  <c r="BU20" i="158"/>
  <c r="BW20" i="158" s="1"/>
  <c r="BX20" i="158" s="1"/>
  <c r="BK20" i="158"/>
  <c r="BM20" i="158" s="1"/>
  <c r="BN20" i="158" s="1"/>
  <c r="BA20" i="158"/>
  <c r="AQ20" i="158"/>
  <c r="AS20" i="158" s="1"/>
  <c r="AT20" i="158" s="1"/>
  <c r="AG20" i="158"/>
  <c r="X20" i="158"/>
  <c r="N20" i="158"/>
  <c r="D20" i="158"/>
  <c r="FQ19" i="158"/>
  <c r="FS19" i="158" s="1"/>
  <c r="FT19" i="158" s="1"/>
  <c r="FG19" i="158"/>
  <c r="FI19" i="158" s="1"/>
  <c r="FJ19" i="158" s="1"/>
  <c r="EW19" i="158"/>
  <c r="EY19" i="158" s="1"/>
  <c r="EZ19" i="158" s="1"/>
  <c r="EM19" i="158"/>
  <c r="EC19" i="158"/>
  <c r="EE19" i="158" s="1"/>
  <c r="EF19" i="158" s="1"/>
  <c r="DS19" i="158"/>
  <c r="DT19" i="158" s="1"/>
  <c r="DI19" i="158"/>
  <c r="DJ19" i="158" s="1"/>
  <c r="CY19" i="158"/>
  <c r="DA19" i="158" s="1"/>
  <c r="DB19" i="158" s="1"/>
  <c r="CO19" i="158"/>
  <c r="CP19" i="158" s="1"/>
  <c r="CE19" i="158"/>
  <c r="CG19" i="158" s="1"/>
  <c r="CH19" i="158" s="1"/>
  <c r="BU19" i="158"/>
  <c r="BW19" i="158" s="1"/>
  <c r="BX19" i="158" s="1"/>
  <c r="BK19" i="158"/>
  <c r="BM19" i="158" s="1"/>
  <c r="BN19" i="158" s="1"/>
  <c r="BA19" i="158"/>
  <c r="BC19" i="158" s="1"/>
  <c r="BD19" i="158" s="1"/>
  <c r="AQ19" i="158"/>
  <c r="AS19" i="158" s="1"/>
  <c r="AT19" i="158" s="1"/>
  <c r="AG19" i="158"/>
  <c r="X19" i="158"/>
  <c r="N19" i="158"/>
  <c r="D19" i="158"/>
  <c r="FQ18" i="158"/>
  <c r="FR18" i="158" s="1"/>
  <c r="FG18" i="158"/>
  <c r="FH18" i="158" s="1"/>
  <c r="EW18" i="158"/>
  <c r="EX18" i="158" s="1"/>
  <c r="EM18" i="158"/>
  <c r="EC18" i="158"/>
  <c r="ED18" i="158" s="1"/>
  <c r="DS18" i="158"/>
  <c r="DU18" i="158" s="1"/>
  <c r="DV18" i="158" s="1"/>
  <c r="DI18" i="158"/>
  <c r="DK18" i="158" s="1"/>
  <c r="DL18" i="158" s="1"/>
  <c r="CY18" i="158"/>
  <c r="DA18" i="158" s="1"/>
  <c r="DB18" i="158" s="1"/>
  <c r="CO18" i="158"/>
  <c r="CE18" i="158"/>
  <c r="CG18" i="158" s="1"/>
  <c r="CH18" i="158" s="1"/>
  <c r="BU18" i="158"/>
  <c r="BV18" i="158" s="1"/>
  <c r="BK18" i="158"/>
  <c r="BA18" i="158"/>
  <c r="BC18" i="158" s="1"/>
  <c r="BD18" i="158" s="1"/>
  <c r="AQ18" i="158"/>
  <c r="AG18" i="158"/>
  <c r="X18" i="158"/>
  <c r="N18" i="158"/>
  <c r="D18" i="158"/>
  <c r="FQ17" i="158"/>
  <c r="FG17" i="158"/>
  <c r="FI17" i="158" s="1"/>
  <c r="FJ17" i="158" s="1"/>
  <c r="EW17" i="158"/>
  <c r="EX17" i="158" s="1"/>
  <c r="EM17" i="158"/>
  <c r="EC17" i="158"/>
  <c r="ED17" i="158" s="1"/>
  <c r="DS17" i="158"/>
  <c r="DU17" i="158" s="1"/>
  <c r="DV17" i="158" s="1"/>
  <c r="DI17" i="158"/>
  <c r="DK17" i="158" s="1"/>
  <c r="DL17" i="158" s="1"/>
  <c r="CY17" i="158"/>
  <c r="CZ17" i="158" s="1"/>
  <c r="CO17" i="158"/>
  <c r="CE17" i="158"/>
  <c r="CG17" i="158" s="1"/>
  <c r="CH17" i="158" s="1"/>
  <c r="BU17" i="158"/>
  <c r="BW17" i="158" s="1"/>
  <c r="BX17" i="158" s="1"/>
  <c r="BK17" i="158"/>
  <c r="BM17" i="158" s="1"/>
  <c r="BN17" i="158" s="1"/>
  <c r="BA17" i="158"/>
  <c r="BB17" i="158" s="1"/>
  <c r="AQ17" i="158"/>
  <c r="AS17" i="158" s="1"/>
  <c r="AT17" i="158" s="1"/>
  <c r="AG17" i="158"/>
  <c r="X17" i="158"/>
  <c r="N17" i="158"/>
  <c r="D17" i="158"/>
  <c r="FQ16" i="158"/>
  <c r="FR16" i="158" s="1"/>
  <c r="FG16" i="158"/>
  <c r="FI16" i="158" s="1"/>
  <c r="FJ16" i="158" s="1"/>
  <c r="EW16" i="158"/>
  <c r="EY16" i="158" s="1"/>
  <c r="EZ16" i="158" s="1"/>
  <c r="EM16" i="158"/>
  <c r="EN16" i="158" s="1"/>
  <c r="EC16" i="158"/>
  <c r="ED16" i="158" s="1"/>
  <c r="DS16" i="158"/>
  <c r="DI16" i="158"/>
  <c r="DK16" i="158" s="1"/>
  <c r="DL16" i="158" s="1"/>
  <c r="CY16" i="158"/>
  <c r="CZ16" i="158" s="1"/>
  <c r="CO16" i="158"/>
  <c r="CP16" i="158" s="1"/>
  <c r="CE16" i="158"/>
  <c r="CG16" i="158" s="1"/>
  <c r="CH16" i="158" s="1"/>
  <c r="BU16" i="158"/>
  <c r="BW16" i="158" s="1"/>
  <c r="BX16" i="158" s="1"/>
  <c r="BK16" i="158"/>
  <c r="BL16" i="158" s="1"/>
  <c r="BA16" i="158"/>
  <c r="BC16" i="158" s="1"/>
  <c r="BD16" i="158" s="1"/>
  <c r="AQ16" i="158"/>
  <c r="AS16" i="158" s="1"/>
  <c r="AT16" i="158" s="1"/>
  <c r="AG16" i="158"/>
  <c r="X16" i="158"/>
  <c r="N16" i="158"/>
  <c r="D16" i="158"/>
  <c r="FQ15" i="158"/>
  <c r="FS15" i="158" s="1"/>
  <c r="FT15" i="158" s="1"/>
  <c r="FG15" i="158"/>
  <c r="FI15" i="158" s="1"/>
  <c r="FJ15" i="158" s="1"/>
  <c r="EW15" i="158"/>
  <c r="EX15" i="158" s="1"/>
  <c r="EM15" i="158"/>
  <c r="EO15" i="158" s="1"/>
  <c r="EP15" i="158" s="1"/>
  <c r="EC15" i="158"/>
  <c r="EE15" i="158" s="1"/>
  <c r="EF15" i="158" s="1"/>
  <c r="DS15" i="158"/>
  <c r="DU15" i="158" s="1"/>
  <c r="DV15" i="158" s="1"/>
  <c r="DI15" i="158"/>
  <c r="DK15" i="158" s="1"/>
  <c r="DL15" i="158" s="1"/>
  <c r="CY15" i="158"/>
  <c r="DA15" i="158" s="1"/>
  <c r="DB15" i="158" s="1"/>
  <c r="CO15" i="158"/>
  <c r="CP15" i="158" s="1"/>
  <c r="CE15" i="158"/>
  <c r="CG15" i="158" s="1"/>
  <c r="CH15" i="158" s="1"/>
  <c r="BU15" i="158"/>
  <c r="BW15" i="158" s="1"/>
  <c r="BX15" i="158" s="1"/>
  <c r="BK15" i="158"/>
  <c r="BM15" i="158" s="1"/>
  <c r="BN15" i="158" s="1"/>
  <c r="BA15" i="158"/>
  <c r="BB15" i="158" s="1"/>
  <c r="AQ15" i="158"/>
  <c r="AG15" i="158"/>
  <c r="X15" i="158"/>
  <c r="N15" i="158"/>
  <c r="D15" i="158"/>
  <c r="FQ14" i="158"/>
  <c r="FG14" i="158"/>
  <c r="FI14" i="158" s="1"/>
  <c r="FJ14" i="158" s="1"/>
  <c r="EW14" i="158"/>
  <c r="EY14" i="158" s="1"/>
  <c r="EZ14" i="158" s="1"/>
  <c r="EM14" i="158"/>
  <c r="EC14" i="158"/>
  <c r="EE14" i="158" s="1"/>
  <c r="EF14" i="158" s="1"/>
  <c r="DS14" i="158"/>
  <c r="DI14" i="158"/>
  <c r="DK14" i="158" s="1"/>
  <c r="DL14" i="158" s="1"/>
  <c r="CY14" i="158"/>
  <c r="CZ14" i="158" s="1"/>
  <c r="CO14" i="158"/>
  <c r="CQ14" i="158" s="1"/>
  <c r="CR14" i="158" s="1"/>
  <c r="CE14" i="158"/>
  <c r="CF14" i="158" s="1"/>
  <c r="BU14" i="158"/>
  <c r="BK14" i="158"/>
  <c r="BL14" i="158" s="1"/>
  <c r="BA14" i="158"/>
  <c r="BC14" i="158" s="1"/>
  <c r="BD14" i="158" s="1"/>
  <c r="AQ14" i="158"/>
  <c r="AG14" i="158"/>
  <c r="X14" i="158"/>
  <c r="N14" i="158"/>
  <c r="D14" i="158"/>
  <c r="FQ13" i="158"/>
  <c r="FG13" i="158"/>
  <c r="FI13" i="158" s="1"/>
  <c r="FJ13" i="158" s="1"/>
  <c r="EW13" i="158"/>
  <c r="EY13" i="158" s="1"/>
  <c r="EZ13" i="158" s="1"/>
  <c r="EM13" i="158"/>
  <c r="EO13" i="158" s="1"/>
  <c r="EP13" i="158" s="1"/>
  <c r="EC13" i="158"/>
  <c r="ED13" i="158" s="1"/>
  <c r="DS13" i="158"/>
  <c r="DU13" i="158" s="1"/>
  <c r="DV13" i="158" s="1"/>
  <c r="DI13" i="158"/>
  <c r="DK13" i="158" s="1"/>
  <c r="DL13" i="158" s="1"/>
  <c r="CY13" i="158"/>
  <c r="DA13" i="158" s="1"/>
  <c r="DB13" i="158" s="1"/>
  <c r="CO13" i="158"/>
  <c r="CP13" i="158" s="1"/>
  <c r="CE13" i="158"/>
  <c r="CG13" i="158" s="1"/>
  <c r="CH13" i="158" s="1"/>
  <c r="BU13" i="158"/>
  <c r="BW13" i="158" s="1"/>
  <c r="BX13" i="158" s="1"/>
  <c r="BK13" i="158"/>
  <c r="BM13" i="158" s="1"/>
  <c r="BN13" i="158" s="1"/>
  <c r="BA13" i="158"/>
  <c r="BC13" i="158" s="1"/>
  <c r="BD13" i="158" s="1"/>
  <c r="AQ13" i="158"/>
  <c r="AS13" i="158" s="1"/>
  <c r="AT13" i="158" s="1"/>
  <c r="AG13" i="158"/>
  <c r="X13" i="158"/>
  <c r="N13" i="158"/>
  <c r="D13" i="158"/>
  <c r="B3" i="158"/>
  <c r="B1" i="158"/>
  <c r="AI71" i="158" l="1"/>
  <c r="E75" i="158" s="1"/>
  <c r="FI20" i="158"/>
  <c r="FJ20" i="158" s="1"/>
  <c r="DJ25" i="158"/>
  <c r="CG26" i="158"/>
  <c r="CH26" i="158" s="1"/>
  <c r="EE18" i="158"/>
  <c r="EF18" i="158" s="1"/>
  <c r="EX26" i="158"/>
  <c r="H21" i="121"/>
  <c r="DT30" i="158"/>
  <c r="BM67" i="158"/>
  <c r="E78" i="158" s="1"/>
  <c r="BW18" i="158"/>
  <c r="BX18" i="158" s="1"/>
  <c r="CZ23" i="158"/>
  <c r="BW67" i="158"/>
  <c r="E79" i="158" s="1"/>
  <c r="CG14" i="158"/>
  <c r="CH14" i="158" s="1"/>
  <c r="DK19" i="158"/>
  <c r="DL19" i="158" s="1"/>
  <c r="G110" i="158"/>
  <c r="FS16" i="158"/>
  <c r="FT16" i="158" s="1"/>
  <c r="BC22" i="158"/>
  <c r="BD22" i="158" s="1"/>
  <c r="EN21" i="158"/>
  <c r="CQ28" i="158"/>
  <c r="CR28" i="158" s="1"/>
  <c r="BL29" i="158"/>
  <c r="F42" i="141"/>
  <c r="F46" i="141"/>
  <c r="F53" i="141"/>
  <c r="F23" i="141"/>
  <c r="F27" i="141"/>
  <c r="F43" i="141"/>
  <c r="F50" i="141"/>
  <c r="F54" i="141"/>
  <c r="FI28" i="158"/>
  <c r="FJ28" i="158" s="1"/>
  <c r="DU19" i="158"/>
  <c r="DV19" i="158" s="1"/>
  <c r="CQ20" i="158"/>
  <c r="CR20" i="158" s="1"/>
  <c r="EY17" i="158"/>
  <c r="EZ17" i="158" s="1"/>
  <c r="DT15" i="158"/>
  <c r="DU22" i="158"/>
  <c r="DV22" i="158" s="1"/>
  <c r="E100" i="158"/>
  <c r="EY67" i="158"/>
  <c r="E87" i="158" s="1"/>
  <c r="FI67" i="158"/>
  <c r="E88" i="158" s="1"/>
  <c r="CZ24" i="158"/>
  <c r="BW21" i="158"/>
  <c r="BX21" i="158" s="1"/>
  <c r="BV29" i="158"/>
  <c r="FS67" i="158"/>
  <c r="E89" i="158" s="1"/>
  <c r="CQ25" i="158"/>
  <c r="CR25" i="158" s="1"/>
  <c r="AR19" i="158"/>
  <c r="CQ13" i="158"/>
  <c r="CR13" i="158" s="1"/>
  <c r="AR27" i="158"/>
  <c r="CQ16" i="158"/>
  <c r="CR16" i="158" s="1"/>
  <c r="AS22" i="158"/>
  <c r="AT22" i="158" s="1"/>
  <c r="FR25" i="158"/>
  <c r="EN30" i="158"/>
  <c r="BV17" i="158"/>
  <c r="BB30" i="158"/>
  <c r="F67" i="158"/>
  <c r="E72" i="158" s="1"/>
  <c r="AU59" i="158"/>
  <c r="D76" i="158" s="1"/>
  <c r="AS67" i="158"/>
  <c r="E76" i="158" s="1"/>
  <c r="BD35" i="158"/>
  <c r="C77" i="158" s="1"/>
  <c r="BE59" i="158"/>
  <c r="D77" i="158" s="1"/>
  <c r="EY18" i="158"/>
  <c r="EZ18" i="158" s="1"/>
  <c r="FS20" i="158"/>
  <c r="FT20" i="158" s="1"/>
  <c r="BB18" i="158"/>
  <c r="ED14" i="158"/>
  <c r="DJ27" i="158"/>
  <c r="EN29" i="158"/>
  <c r="P71" i="158"/>
  <c r="E73" i="158" s="1"/>
  <c r="CG67" i="158"/>
  <c r="E80" i="158" s="1"/>
  <c r="EX14" i="158"/>
  <c r="DJ15" i="158"/>
  <c r="BV26" i="158"/>
  <c r="CQ67" i="158"/>
  <c r="E81" i="158" s="1"/>
  <c r="DA67" i="158"/>
  <c r="E82" i="158" s="1"/>
  <c r="BV16" i="158"/>
  <c r="CP14" i="158"/>
  <c r="DU24" i="158"/>
  <c r="DV24" i="158" s="1"/>
  <c r="FU59" i="158"/>
  <c r="D89" i="158" s="1"/>
  <c r="EO19" i="158"/>
  <c r="EP19" i="158" s="1"/>
  <c r="EN19" i="158"/>
  <c r="ED27" i="158"/>
  <c r="BM27" i="158"/>
  <c r="BN27" i="158" s="1"/>
  <c r="BL27" i="158"/>
  <c r="DU16" i="158"/>
  <c r="DV16" i="158" s="1"/>
  <c r="DT16" i="158"/>
  <c r="FH21" i="158"/>
  <c r="DJ13" i="158"/>
  <c r="DA17" i="158"/>
  <c r="DB17" i="158" s="1"/>
  <c r="CF21" i="158"/>
  <c r="DT23" i="158"/>
  <c r="CQ18" i="158"/>
  <c r="CR18" i="158" s="1"/>
  <c r="CP18" i="158"/>
  <c r="BC15" i="158"/>
  <c r="BD15" i="158" s="1"/>
  <c r="FR14" i="158"/>
  <c r="FS14" i="158"/>
  <c r="FT14" i="158" s="1"/>
  <c r="EO22" i="158"/>
  <c r="EP22" i="158" s="1"/>
  <c r="EN22" i="158"/>
  <c r="AR24" i="158"/>
  <c r="AS24" i="158"/>
  <c r="AT24" i="158" s="1"/>
  <c r="BW30" i="158"/>
  <c r="BX30" i="158" s="1"/>
  <c r="BV30" i="158"/>
  <c r="DU25" i="158"/>
  <c r="DV25" i="158" s="1"/>
  <c r="DT25" i="158"/>
  <c r="DJ20" i="158"/>
  <c r="CQ26" i="158"/>
  <c r="CR26" i="158" s="1"/>
  <c r="CP29" i="158"/>
  <c r="AR13" i="158"/>
  <c r="EX22" i="158"/>
  <c r="EX23" i="158"/>
  <c r="FS26" i="158"/>
  <c r="FT26" i="158" s="1"/>
  <c r="BV19" i="158"/>
  <c r="FS21" i="158"/>
  <c r="FT21" i="158" s="1"/>
  <c r="EE25" i="158"/>
  <c r="EF25" i="158" s="1"/>
  <c r="ED28" i="158"/>
  <c r="BB16" i="158"/>
  <c r="CQ30" i="158"/>
  <c r="CR30" i="158" s="1"/>
  <c r="BL20" i="158"/>
  <c r="CF23" i="158"/>
  <c r="FR23" i="158"/>
  <c r="DK26" i="158"/>
  <c r="DL26" i="158" s="1"/>
  <c r="BB14" i="158"/>
  <c r="CQ19" i="158"/>
  <c r="CR19" i="158" s="1"/>
  <c r="CQ27" i="158"/>
  <c r="CR27" i="158" s="1"/>
  <c r="BC29" i="158"/>
  <c r="BD29" i="158" s="1"/>
  <c r="BV13" i="158"/>
  <c r="EX13" i="158"/>
  <c r="CZ15" i="158"/>
  <c r="FR15" i="158"/>
  <c r="BC17" i="158"/>
  <c r="BD17" i="158" s="1"/>
  <c r="DT18" i="158"/>
  <c r="FR19" i="158"/>
  <c r="BV20" i="158"/>
  <c r="DT21" i="158"/>
  <c r="CG24" i="158"/>
  <c r="CH24" i="158" s="1"/>
  <c r="FR24" i="158"/>
  <c r="CF25" i="158"/>
  <c r="EY25" i="158"/>
  <c r="EZ25" i="158" s="1"/>
  <c r="BV28" i="158"/>
  <c r="DJ29" i="158"/>
  <c r="AR28" i="158"/>
  <c r="BW22" i="158"/>
  <c r="BX22" i="158" s="1"/>
  <c r="BV23" i="158"/>
  <c r="DT28" i="158"/>
  <c r="BV15" i="158"/>
  <c r="CZ18" i="158"/>
  <c r="FS18" i="158"/>
  <c r="FT18" i="158" s="1"/>
  <c r="EX19" i="158"/>
  <c r="DJ21" i="158"/>
  <c r="FH23" i="158"/>
  <c r="BB13" i="158"/>
  <c r="EE13" i="158"/>
  <c r="EF13" i="158" s="1"/>
  <c r="DJ14" i="158"/>
  <c r="EY15" i="158"/>
  <c r="EZ15" i="158" s="1"/>
  <c r="BM25" i="158"/>
  <c r="BN25" i="158" s="1"/>
  <c r="AS26" i="158"/>
  <c r="AT26" i="158" s="1"/>
  <c r="FH27" i="158"/>
  <c r="BL28" i="158"/>
  <c r="BB21" i="158"/>
  <c r="BL26" i="158"/>
  <c r="ED26" i="158"/>
  <c r="FH29" i="158"/>
  <c r="EY30" i="158"/>
  <c r="EZ30" i="158" s="1"/>
  <c r="AR20" i="158"/>
  <c r="EN27" i="158"/>
  <c r="FH22" i="158"/>
  <c r="EY24" i="158"/>
  <c r="EZ24" i="158" s="1"/>
  <c r="DA29" i="158"/>
  <c r="DB29" i="158" s="1"/>
  <c r="CI59" i="158"/>
  <c r="D80" i="158" s="1"/>
  <c r="AR17" i="158"/>
  <c r="EO16" i="158"/>
  <c r="EP16" i="158" s="1"/>
  <c r="EE17" i="158"/>
  <c r="EF17" i="158" s="1"/>
  <c r="DA14" i="158"/>
  <c r="DB14" i="158" s="1"/>
  <c r="AR16" i="158"/>
  <c r="DJ17" i="158"/>
  <c r="EE16" i="158"/>
  <c r="EF16" i="158" s="1"/>
  <c r="CF27" i="158"/>
  <c r="AR29" i="158"/>
  <c r="DT13" i="158"/>
  <c r="BL24" i="158"/>
  <c r="DT20" i="158"/>
  <c r="CP22" i="158"/>
  <c r="DT14" i="158"/>
  <c r="DU14" i="158"/>
  <c r="DV14" i="158" s="1"/>
  <c r="EX16" i="158"/>
  <c r="ED21" i="158"/>
  <c r="EE21" i="158"/>
  <c r="EF21" i="158" s="1"/>
  <c r="BL23" i="158"/>
  <c r="CZ13" i="158"/>
  <c r="FR13" i="158"/>
  <c r="FS13" i="158"/>
  <c r="FT13" i="158" s="1"/>
  <c r="BM14" i="158"/>
  <c r="BN14" i="158" s="1"/>
  <c r="ED15" i="158"/>
  <c r="AS25" i="158"/>
  <c r="AT25" i="158" s="1"/>
  <c r="AR25" i="158"/>
  <c r="DW59" i="158"/>
  <c r="D84" i="158" s="1"/>
  <c r="CF15" i="158"/>
  <c r="CF18" i="158"/>
  <c r="BV14" i="158"/>
  <c r="BW14" i="158"/>
  <c r="BX14" i="158" s="1"/>
  <c r="BL17" i="158"/>
  <c r="CZ22" i="158"/>
  <c r="EN14" i="158"/>
  <c r="EO14" i="158"/>
  <c r="EP14" i="158" s="1"/>
  <c r="DA16" i="158"/>
  <c r="DB16" i="158" s="1"/>
  <c r="EN23" i="158"/>
  <c r="DK30" i="158"/>
  <c r="DL30" i="158" s="1"/>
  <c r="EN17" i="158"/>
  <c r="EO17" i="158"/>
  <c r="EP17" i="158" s="1"/>
  <c r="CZ19" i="158"/>
  <c r="CZ28" i="158"/>
  <c r="DU29" i="158"/>
  <c r="DV29" i="158" s="1"/>
  <c r="DT29" i="158"/>
  <c r="FH30" i="158"/>
  <c r="DT17" i="158"/>
  <c r="CZ30" i="158"/>
  <c r="EN18" i="158"/>
  <c r="EO18" i="158"/>
  <c r="EP18" i="158" s="1"/>
  <c r="BC20" i="158"/>
  <c r="BD20" i="158" s="1"/>
  <c r="BB20" i="158"/>
  <c r="EY27" i="158"/>
  <c r="EZ27" i="158" s="1"/>
  <c r="EX27" i="158"/>
  <c r="FS30" i="158"/>
  <c r="FT30" i="158" s="1"/>
  <c r="FR30" i="158"/>
  <c r="BC28" i="158"/>
  <c r="BD28" i="158" s="1"/>
  <c r="BB28" i="158"/>
  <c r="FK59" i="158"/>
  <c r="D88" i="158" s="1"/>
  <c r="CZ27" i="158"/>
  <c r="EG59" i="158"/>
  <c r="D85" i="158" s="1"/>
  <c r="CP21" i="158"/>
  <c r="CP23" i="158"/>
  <c r="BC27" i="158"/>
  <c r="BD27" i="158" s="1"/>
  <c r="BB27" i="158"/>
  <c r="FH14" i="158"/>
  <c r="AR15" i="158"/>
  <c r="AS15" i="158"/>
  <c r="AT15" i="158" s="1"/>
  <c r="AR18" i="158"/>
  <c r="AS18" i="158"/>
  <c r="AT18" i="158" s="1"/>
  <c r="DC59" i="158"/>
  <c r="D82" i="158" s="1"/>
  <c r="BB19" i="158"/>
  <c r="CF20" i="158"/>
  <c r="ED20" i="158"/>
  <c r="CZ26" i="158"/>
  <c r="EQ59" i="158"/>
  <c r="D86" i="158" s="1"/>
  <c r="EE24" i="158"/>
  <c r="EF24" i="158" s="1"/>
  <c r="BB26" i="158"/>
  <c r="BY59" i="158"/>
  <c r="D79" i="158" s="1"/>
  <c r="FH26" i="158"/>
  <c r="EN13" i="158"/>
  <c r="CP17" i="158"/>
  <c r="CQ17" i="158"/>
  <c r="CR17" i="158" s="1"/>
  <c r="FH17" i="158"/>
  <c r="ED22" i="158"/>
  <c r="FR29" i="158"/>
  <c r="AR14" i="158"/>
  <c r="AS14" i="158"/>
  <c r="AT14" i="158" s="1"/>
  <c r="CG30" i="158"/>
  <c r="CH30" i="158" s="1"/>
  <c r="CF30" i="158"/>
  <c r="FS17" i="158"/>
  <c r="FT17" i="158" s="1"/>
  <c r="FR17" i="158"/>
  <c r="BL18" i="158"/>
  <c r="BM18" i="158"/>
  <c r="BN18" i="158" s="1"/>
  <c r="AS23" i="158"/>
  <c r="AT23" i="158" s="1"/>
  <c r="AR23" i="158"/>
  <c r="DM59" i="158"/>
  <c r="D83" i="158" s="1"/>
  <c r="EO28" i="158"/>
  <c r="EP28" i="158" s="1"/>
  <c r="EN28" i="158"/>
  <c r="EN15" i="158"/>
  <c r="BL19" i="158"/>
  <c r="FH19" i="158"/>
  <c r="FR22" i="158"/>
  <c r="CP24" i="158"/>
  <c r="EN24" i="158"/>
  <c r="BL30" i="158"/>
  <c r="BL13" i="158"/>
  <c r="FH13" i="158"/>
  <c r="CQ15" i="158"/>
  <c r="CR15" i="158" s="1"/>
  <c r="BM16" i="158"/>
  <c r="BN16" i="158" s="1"/>
  <c r="DJ16" i="158"/>
  <c r="FH16" i="158"/>
  <c r="CF17" i="158"/>
  <c r="EN20" i="158"/>
  <c r="BB23" i="158"/>
  <c r="EN25" i="158"/>
  <c r="EX28" i="158"/>
  <c r="FA59" i="158"/>
  <c r="D87" i="158" s="1"/>
  <c r="DK67" i="158"/>
  <c r="E83" i="158" s="1"/>
  <c r="BL15" i="158"/>
  <c r="FH15" i="158"/>
  <c r="DJ18" i="158"/>
  <c r="CF19" i="158"/>
  <c r="CF22" i="158"/>
  <c r="BB24" i="158"/>
  <c r="DJ24" i="158"/>
  <c r="CF16" i="158"/>
  <c r="FI18" i="158"/>
  <c r="FJ18" i="158" s="1"/>
  <c r="ED19" i="158"/>
  <c r="AR21" i="158"/>
  <c r="CZ21" i="158"/>
  <c r="ED23" i="158"/>
  <c r="BB25" i="158"/>
  <c r="EN26" i="158"/>
  <c r="EY29" i="158"/>
  <c r="EZ29" i="158" s="1"/>
  <c r="EE67" i="158"/>
  <c r="E85" i="158" s="1"/>
  <c r="CZ25" i="158"/>
  <c r="BV27" i="158"/>
  <c r="DJ28" i="158"/>
  <c r="DU67" i="158"/>
  <c r="E84" i="158" s="1"/>
  <c r="CF13" i="158"/>
  <c r="EO67" i="158"/>
  <c r="E86" i="158" s="1"/>
  <c r="BO59" i="158"/>
  <c r="D78" i="158" s="1"/>
  <c r="AT35" i="158"/>
  <c r="C76" i="158" s="1"/>
  <c r="CS59" i="158"/>
  <c r="D81" i="158" s="1"/>
  <c r="BC67" i="158"/>
  <c r="E77" i="158" s="1"/>
  <c r="CZ20" i="158"/>
  <c r="EX20" i="158"/>
  <c r="BL21" i="158"/>
  <c r="EX21" i="158"/>
  <c r="BL22" i="158"/>
  <c r="DJ22" i="158"/>
  <c r="DJ23" i="158"/>
  <c r="BV24" i="158"/>
  <c r="FH24" i="158"/>
  <c r="BV25" i="158"/>
  <c r="FH25" i="158"/>
  <c r="DT26" i="158"/>
  <c r="DT27" i="158"/>
  <c r="FR27" i="158"/>
  <c r="CF28" i="158"/>
  <c r="FR28" i="158"/>
  <c r="CF29" i="158"/>
  <c r="ED29" i="158"/>
  <c r="AR30" i="158"/>
  <c r="ED30" i="158"/>
  <c r="Z71" i="158"/>
  <c r="E74" i="158" s="1"/>
  <c r="CH35" i="158" l="1"/>
  <c r="C80" i="158" s="1"/>
  <c r="F80" i="158" s="1"/>
  <c r="DL35" i="158"/>
  <c r="C83" i="158" s="1"/>
  <c r="F83" i="158" s="1"/>
  <c r="FJ35" i="158"/>
  <c r="C88" i="158" s="1"/>
  <c r="F88" i="158" s="1"/>
  <c r="E90" i="158"/>
  <c r="F76" i="158"/>
  <c r="EZ35" i="158"/>
  <c r="C87" i="158" s="1"/>
  <c r="F87" i="158" s="1"/>
  <c r="F77" i="158"/>
  <c r="DB35" i="158"/>
  <c r="C82" i="158" s="1"/>
  <c r="F82" i="158" s="1"/>
  <c r="EF35" i="158"/>
  <c r="C85" i="158" s="1"/>
  <c r="F85" i="158" s="1"/>
  <c r="EP35" i="158"/>
  <c r="C86" i="158" s="1"/>
  <c r="F86" i="158" s="1"/>
  <c r="BN35" i="158"/>
  <c r="C78" i="158" s="1"/>
  <c r="F78" i="158" s="1"/>
  <c r="BX35" i="158"/>
  <c r="C79" i="158" s="1"/>
  <c r="F79" i="158" s="1"/>
  <c r="DV35" i="158"/>
  <c r="C84" i="158" s="1"/>
  <c r="F84" i="158" s="1"/>
  <c r="CR35" i="158"/>
  <c r="C81" i="158" s="1"/>
  <c r="F81" i="158" s="1"/>
  <c r="FT35" i="158"/>
  <c r="C89" i="158" s="1"/>
  <c r="F89" i="158" s="1"/>
  <c r="AG32" i="6" l="1"/>
  <c r="AG33" i="6"/>
  <c r="AG34" i="6"/>
  <c r="X32" i="6"/>
  <c r="X33" i="6"/>
  <c r="X34" i="6"/>
  <c r="N32" i="6"/>
  <c r="N33" i="6"/>
  <c r="N34" i="6"/>
  <c r="D34" i="6"/>
  <c r="D33" i="6"/>
  <c r="D32" i="6"/>
  <c r="G14" i="3"/>
  <c r="H14" i="3"/>
  <c r="I14" i="3"/>
  <c r="AG31" i="6" l="1"/>
  <c r="X31" i="6"/>
  <c r="N31" i="6"/>
  <c r="D31" i="6"/>
  <c r="G104" i="157"/>
  <c r="G103" i="157"/>
  <c r="G102" i="157"/>
  <c r="G101" i="157"/>
  <c r="G100" i="157"/>
  <c r="E94" i="157"/>
  <c r="E93" i="157"/>
  <c r="E92" i="157"/>
  <c r="E91" i="157"/>
  <c r="E90" i="157"/>
  <c r="AI63" i="157"/>
  <c r="Z63" i="157"/>
  <c r="P63" i="157"/>
  <c r="AI62" i="157"/>
  <c r="Z62" i="157"/>
  <c r="P62" i="157"/>
  <c r="FS61" i="157"/>
  <c r="FI61" i="157"/>
  <c r="EY61" i="157"/>
  <c r="EO61" i="157"/>
  <c r="EE61" i="157"/>
  <c r="DU61" i="157"/>
  <c r="DK61" i="157"/>
  <c r="DA61" i="157"/>
  <c r="CQ61" i="157"/>
  <c r="CG61" i="157"/>
  <c r="BW61" i="157"/>
  <c r="BM61" i="157"/>
  <c r="BC61" i="157"/>
  <c r="AS61" i="157"/>
  <c r="AI61" i="157"/>
  <c r="Z61" i="157"/>
  <c r="P61" i="157"/>
  <c r="F61" i="157"/>
  <c r="FS60" i="157"/>
  <c r="FI60" i="157"/>
  <c r="EY60" i="157"/>
  <c r="EO60" i="157"/>
  <c r="EE60" i="157"/>
  <c r="DU60" i="157"/>
  <c r="DK60" i="157"/>
  <c r="DA60" i="157"/>
  <c r="CQ60" i="157"/>
  <c r="CG60" i="157"/>
  <c r="BW60" i="157"/>
  <c r="BM60" i="157"/>
  <c r="BC60" i="157"/>
  <c r="AS60" i="157"/>
  <c r="F60" i="157"/>
  <c r="FS59" i="157"/>
  <c r="FI59" i="157"/>
  <c r="EY59" i="157"/>
  <c r="EO59" i="157"/>
  <c r="EE59" i="157"/>
  <c r="DU59" i="157"/>
  <c r="DK59" i="157"/>
  <c r="DA59" i="157"/>
  <c r="CQ59" i="157"/>
  <c r="CG59" i="157"/>
  <c r="BW59" i="157"/>
  <c r="BM59" i="157"/>
  <c r="BC59" i="157"/>
  <c r="AS59" i="157"/>
  <c r="F59" i="157"/>
  <c r="AJ51" i="157"/>
  <c r="AK51" i="157" s="1"/>
  <c r="AH51" i="157"/>
  <c r="AG51" i="157"/>
  <c r="AF51" i="157"/>
  <c r="AA51" i="157"/>
  <c r="AB51" i="157" s="1"/>
  <c r="Y51" i="157"/>
  <c r="X51" i="157"/>
  <c r="W51" i="157"/>
  <c r="O50" i="157"/>
  <c r="N50" i="157"/>
  <c r="FT49" i="157"/>
  <c r="FU49" i="157" s="1"/>
  <c r="FR49" i="157"/>
  <c r="FQ49" i="157"/>
  <c r="FP49" i="157"/>
  <c r="FJ49" i="157"/>
  <c r="FK49" i="157" s="1"/>
  <c r="FH49" i="157"/>
  <c r="FG49" i="157"/>
  <c r="FF49" i="157"/>
  <c r="EZ49" i="157"/>
  <c r="FA49" i="157" s="1"/>
  <c r="EX49" i="157"/>
  <c r="EW49" i="157"/>
  <c r="EV49" i="157"/>
  <c r="EP49" i="157"/>
  <c r="EQ49" i="157" s="1"/>
  <c r="EN49" i="157"/>
  <c r="EM49" i="157"/>
  <c r="EL49" i="157"/>
  <c r="EF49" i="157"/>
  <c r="EG49" i="157" s="1"/>
  <c r="ED49" i="157"/>
  <c r="EC49" i="157"/>
  <c r="EB49" i="157"/>
  <c r="DV49" i="157"/>
  <c r="DW49" i="157" s="1"/>
  <c r="DT49" i="157"/>
  <c r="DS49" i="157"/>
  <c r="DR49" i="157"/>
  <c r="DL49" i="157"/>
  <c r="DM49" i="157" s="1"/>
  <c r="DJ49" i="157"/>
  <c r="DI49" i="157"/>
  <c r="DH49" i="157"/>
  <c r="DB49" i="157"/>
  <c r="DC49" i="157" s="1"/>
  <c r="CZ49" i="157"/>
  <c r="CY49" i="157"/>
  <c r="CX49" i="157"/>
  <c r="CR49" i="157"/>
  <c r="CS49" i="157" s="1"/>
  <c r="CP49" i="157"/>
  <c r="CO49" i="157"/>
  <c r="CN49" i="157"/>
  <c r="CH49" i="157"/>
  <c r="CI49" i="157" s="1"/>
  <c r="CF49" i="157"/>
  <c r="CE49" i="157"/>
  <c r="CD49" i="157"/>
  <c r="BX49" i="157"/>
  <c r="BY49" i="157" s="1"/>
  <c r="BV49" i="157"/>
  <c r="BU49" i="157"/>
  <c r="BT49" i="157"/>
  <c r="BN49" i="157"/>
  <c r="BO49" i="157" s="1"/>
  <c r="BL49" i="157"/>
  <c r="BK49" i="157"/>
  <c r="BJ49" i="157"/>
  <c r="BD49" i="157"/>
  <c r="BE49" i="157" s="1"/>
  <c r="BB49" i="157"/>
  <c r="BA49" i="157"/>
  <c r="AZ49" i="157"/>
  <c r="AT49" i="157"/>
  <c r="AU49" i="157" s="1"/>
  <c r="AR49" i="157"/>
  <c r="AQ49" i="157"/>
  <c r="AP49" i="157"/>
  <c r="FT48" i="157"/>
  <c r="FU48" i="157" s="1"/>
  <c r="FR48" i="157"/>
  <c r="FQ48" i="157"/>
  <c r="FP48" i="157"/>
  <c r="FJ48" i="157"/>
  <c r="FK48" i="157" s="1"/>
  <c r="FH48" i="157"/>
  <c r="FG48" i="157"/>
  <c r="FF48" i="157"/>
  <c r="EZ48" i="157"/>
  <c r="FA48" i="157" s="1"/>
  <c r="EX48" i="157"/>
  <c r="EW48" i="157"/>
  <c r="EV48" i="157"/>
  <c r="EP48" i="157"/>
  <c r="EQ48" i="157" s="1"/>
  <c r="EN48" i="157"/>
  <c r="EM48" i="157"/>
  <c r="EL48" i="157"/>
  <c r="EF48" i="157"/>
  <c r="EG48" i="157" s="1"/>
  <c r="ED48" i="157"/>
  <c r="EC48" i="157"/>
  <c r="EB48" i="157"/>
  <c r="DV48" i="157"/>
  <c r="DW48" i="157" s="1"/>
  <c r="DT48" i="157"/>
  <c r="DS48" i="157"/>
  <c r="DR48" i="157"/>
  <c r="DL48" i="157"/>
  <c r="DM48" i="157" s="1"/>
  <c r="DJ48" i="157"/>
  <c r="DI48" i="157"/>
  <c r="DH48" i="157"/>
  <c r="DB48" i="157"/>
  <c r="DC48" i="157" s="1"/>
  <c r="CZ48" i="157"/>
  <c r="CY48" i="157"/>
  <c r="CX48" i="157"/>
  <c r="CR48" i="157"/>
  <c r="CS48" i="157" s="1"/>
  <c r="CP48" i="157"/>
  <c r="CO48" i="157"/>
  <c r="CN48" i="157"/>
  <c r="CH48" i="157"/>
  <c r="CI48" i="157" s="1"/>
  <c r="CF48" i="157"/>
  <c r="CE48" i="157"/>
  <c r="CD48" i="157"/>
  <c r="BX48" i="157"/>
  <c r="BY48" i="157" s="1"/>
  <c r="BV48" i="157"/>
  <c r="BU48" i="157"/>
  <c r="BT48" i="157"/>
  <c r="BN48" i="157"/>
  <c r="BO48" i="157" s="1"/>
  <c r="BL48" i="157"/>
  <c r="BK48" i="157"/>
  <c r="BJ48" i="157"/>
  <c r="BD48" i="157"/>
  <c r="BE48" i="157" s="1"/>
  <c r="BB48" i="157"/>
  <c r="BA48" i="157"/>
  <c r="AZ48" i="157"/>
  <c r="AT48" i="157"/>
  <c r="AU48" i="157" s="1"/>
  <c r="AR48" i="157"/>
  <c r="AQ48" i="157"/>
  <c r="AP48" i="157"/>
  <c r="FT47" i="157"/>
  <c r="FU47" i="157" s="1"/>
  <c r="FR47" i="157"/>
  <c r="FQ47" i="157"/>
  <c r="FP47" i="157"/>
  <c r="FJ47" i="157"/>
  <c r="FK47" i="157" s="1"/>
  <c r="FH47" i="157"/>
  <c r="FG47" i="157"/>
  <c r="FF47" i="157"/>
  <c r="EZ47" i="157"/>
  <c r="FA47" i="157" s="1"/>
  <c r="EX47" i="157"/>
  <c r="EW47" i="157"/>
  <c r="EV47" i="157"/>
  <c r="EP47" i="157"/>
  <c r="EQ47" i="157" s="1"/>
  <c r="EN47" i="157"/>
  <c r="EM47" i="157"/>
  <c r="EL47" i="157"/>
  <c r="EF47" i="157"/>
  <c r="EG47" i="157" s="1"/>
  <c r="ED47" i="157"/>
  <c r="EC47" i="157"/>
  <c r="EB47" i="157"/>
  <c r="DV47" i="157"/>
  <c r="DW47" i="157" s="1"/>
  <c r="DT47" i="157"/>
  <c r="DS47" i="157"/>
  <c r="DR47" i="157"/>
  <c r="DL47" i="157"/>
  <c r="DM47" i="157" s="1"/>
  <c r="DJ47" i="157"/>
  <c r="DI47" i="157"/>
  <c r="DH47" i="157"/>
  <c r="DB47" i="157"/>
  <c r="DC47" i="157" s="1"/>
  <c r="CZ47" i="157"/>
  <c r="CY47" i="157"/>
  <c r="CX47" i="157"/>
  <c r="CR47" i="157"/>
  <c r="CS47" i="157" s="1"/>
  <c r="CP47" i="157"/>
  <c r="CO47" i="157"/>
  <c r="CN47" i="157"/>
  <c r="CH47" i="157"/>
  <c r="CI47" i="157" s="1"/>
  <c r="CF47" i="157"/>
  <c r="CE47" i="157"/>
  <c r="CD47" i="157"/>
  <c r="BX47" i="157"/>
  <c r="BY47" i="157" s="1"/>
  <c r="BV47" i="157"/>
  <c r="BU47" i="157"/>
  <c r="BT47" i="157"/>
  <c r="BN47" i="157"/>
  <c r="BO47" i="157" s="1"/>
  <c r="BL47" i="157"/>
  <c r="BK47" i="157"/>
  <c r="BJ47" i="157"/>
  <c r="BD47" i="157"/>
  <c r="BE47" i="157" s="1"/>
  <c r="BB47" i="157"/>
  <c r="BA47" i="157"/>
  <c r="AZ47" i="157"/>
  <c r="AT47" i="157"/>
  <c r="AU47" i="157" s="1"/>
  <c r="AR47" i="157"/>
  <c r="AQ47" i="157"/>
  <c r="AP47" i="157"/>
  <c r="FT46" i="157"/>
  <c r="FU46" i="157" s="1"/>
  <c r="FR46" i="157"/>
  <c r="FQ46" i="157"/>
  <c r="FP46" i="157"/>
  <c r="FJ46" i="157"/>
  <c r="FK46" i="157" s="1"/>
  <c r="FH46" i="157"/>
  <c r="FG46" i="157"/>
  <c r="FF46" i="157"/>
  <c r="EZ46" i="157"/>
  <c r="FA46" i="157" s="1"/>
  <c r="EX46" i="157"/>
  <c r="EW46" i="157"/>
  <c r="EV46" i="157"/>
  <c r="EP46" i="157"/>
  <c r="EQ46" i="157" s="1"/>
  <c r="EN46" i="157"/>
  <c r="EM46" i="157"/>
  <c r="EL46" i="157"/>
  <c r="EF46" i="157"/>
  <c r="EG46" i="157" s="1"/>
  <c r="ED46" i="157"/>
  <c r="EC46" i="157"/>
  <c r="EB46" i="157"/>
  <c r="DV46" i="157"/>
  <c r="DW46" i="157" s="1"/>
  <c r="DT46" i="157"/>
  <c r="DS46" i="157"/>
  <c r="DR46" i="157"/>
  <c r="DL46" i="157"/>
  <c r="DM46" i="157" s="1"/>
  <c r="DJ46" i="157"/>
  <c r="DI46" i="157"/>
  <c r="DH46" i="157"/>
  <c r="DB46" i="157"/>
  <c r="DC46" i="157" s="1"/>
  <c r="CZ46" i="157"/>
  <c r="CY46" i="157"/>
  <c r="CX46" i="157"/>
  <c r="CR46" i="157"/>
  <c r="CS46" i="157" s="1"/>
  <c r="CP46" i="157"/>
  <c r="CO46" i="157"/>
  <c r="CN46" i="157"/>
  <c r="CH46" i="157"/>
  <c r="CI46" i="157" s="1"/>
  <c r="CF46" i="157"/>
  <c r="CE46" i="157"/>
  <c r="CD46" i="157"/>
  <c r="BX46" i="157"/>
  <c r="BY46" i="157" s="1"/>
  <c r="BV46" i="157"/>
  <c r="BU46" i="157"/>
  <c r="BT46" i="157"/>
  <c r="BN46" i="157"/>
  <c r="BO46" i="157" s="1"/>
  <c r="BL46" i="157"/>
  <c r="BK46" i="157"/>
  <c r="BJ46" i="157"/>
  <c r="BD46" i="157"/>
  <c r="BE46" i="157" s="1"/>
  <c r="BB46" i="157"/>
  <c r="BA46" i="157"/>
  <c r="AZ46" i="157"/>
  <c r="AT46" i="157"/>
  <c r="AU46" i="157" s="1"/>
  <c r="AR46" i="157"/>
  <c r="AQ46" i="157"/>
  <c r="AP46" i="157"/>
  <c r="FT45" i="157"/>
  <c r="FU45" i="157" s="1"/>
  <c r="FR45" i="157"/>
  <c r="FQ45" i="157"/>
  <c r="FP45" i="157"/>
  <c r="FJ45" i="157"/>
  <c r="FK45" i="157" s="1"/>
  <c r="FH45" i="157"/>
  <c r="FG45" i="157"/>
  <c r="FF45" i="157"/>
  <c r="EZ45" i="157"/>
  <c r="FA45" i="157" s="1"/>
  <c r="EX45" i="157"/>
  <c r="EW45" i="157"/>
  <c r="EV45" i="157"/>
  <c r="EP45" i="157"/>
  <c r="EQ45" i="157" s="1"/>
  <c r="EN45" i="157"/>
  <c r="EM45" i="157"/>
  <c r="EL45" i="157"/>
  <c r="EF45" i="157"/>
  <c r="EG45" i="157" s="1"/>
  <c r="ED45" i="157"/>
  <c r="EC45" i="157"/>
  <c r="EB45" i="157"/>
  <c r="DV45" i="157"/>
  <c r="DW45" i="157" s="1"/>
  <c r="DT45" i="157"/>
  <c r="DS45" i="157"/>
  <c r="DR45" i="157"/>
  <c r="DL45" i="157"/>
  <c r="DM45" i="157" s="1"/>
  <c r="DJ45" i="157"/>
  <c r="DI45" i="157"/>
  <c r="DH45" i="157"/>
  <c r="DB45" i="157"/>
  <c r="DC45" i="157" s="1"/>
  <c r="CZ45" i="157"/>
  <c r="CY45" i="157"/>
  <c r="CX45" i="157"/>
  <c r="CR45" i="157"/>
  <c r="CS45" i="157" s="1"/>
  <c r="CP45" i="157"/>
  <c r="CO45" i="157"/>
  <c r="CN45" i="157"/>
  <c r="CH45" i="157"/>
  <c r="CI45" i="157" s="1"/>
  <c r="CF45" i="157"/>
  <c r="CE45" i="157"/>
  <c r="CD45" i="157"/>
  <c r="BX45" i="157"/>
  <c r="BY45" i="157" s="1"/>
  <c r="BV45" i="157"/>
  <c r="BU45" i="157"/>
  <c r="BT45" i="157"/>
  <c r="BN45" i="157"/>
  <c r="BO45" i="157" s="1"/>
  <c r="BL45" i="157"/>
  <c r="BK45" i="157"/>
  <c r="BJ45" i="157"/>
  <c r="BD45" i="157"/>
  <c r="BE45" i="157" s="1"/>
  <c r="BB45" i="157"/>
  <c r="BA45" i="157"/>
  <c r="AZ45" i="157"/>
  <c r="AT45" i="157"/>
  <c r="AU45" i="157" s="1"/>
  <c r="AR45" i="157"/>
  <c r="AQ45" i="157"/>
  <c r="AP45" i="157"/>
  <c r="AJ45" i="157"/>
  <c r="AK45" i="157" s="1"/>
  <c r="AH45" i="157"/>
  <c r="AG45" i="157"/>
  <c r="AF45" i="157"/>
  <c r="AA45" i="157"/>
  <c r="AB45" i="157" s="1"/>
  <c r="Y45" i="157"/>
  <c r="X45" i="157"/>
  <c r="W45" i="157"/>
  <c r="FT44" i="157"/>
  <c r="FU44" i="157" s="1"/>
  <c r="FR44" i="157"/>
  <c r="FQ44" i="157"/>
  <c r="FP44" i="157"/>
  <c r="FJ44" i="157"/>
  <c r="FK44" i="157" s="1"/>
  <c r="FH44" i="157"/>
  <c r="FG44" i="157"/>
  <c r="FF44" i="157"/>
  <c r="EZ44" i="157"/>
  <c r="FA44" i="157" s="1"/>
  <c r="EX44" i="157"/>
  <c r="EW44" i="157"/>
  <c r="EV44" i="157"/>
  <c r="EP44" i="157"/>
  <c r="EQ44" i="157" s="1"/>
  <c r="EN44" i="157"/>
  <c r="EM44" i="157"/>
  <c r="EL44" i="157"/>
  <c r="EF44" i="157"/>
  <c r="EG44" i="157" s="1"/>
  <c r="ED44" i="157"/>
  <c r="EC44" i="157"/>
  <c r="EB44" i="157"/>
  <c r="DV44" i="157"/>
  <c r="DW44" i="157" s="1"/>
  <c r="DT44" i="157"/>
  <c r="DS44" i="157"/>
  <c r="DR44" i="157"/>
  <c r="DL44" i="157"/>
  <c r="DM44" i="157" s="1"/>
  <c r="DJ44" i="157"/>
  <c r="DI44" i="157"/>
  <c r="DH44" i="157"/>
  <c r="DB44" i="157"/>
  <c r="DC44" i="157" s="1"/>
  <c r="CZ44" i="157"/>
  <c r="CY44" i="157"/>
  <c r="CX44" i="157"/>
  <c r="CR44" i="157"/>
  <c r="CS44" i="157" s="1"/>
  <c r="CP44" i="157"/>
  <c r="CO44" i="157"/>
  <c r="CN44" i="157"/>
  <c r="CH44" i="157"/>
  <c r="CI44" i="157" s="1"/>
  <c r="CF44" i="157"/>
  <c r="CE44" i="157"/>
  <c r="CD44" i="157"/>
  <c r="BX44" i="157"/>
  <c r="BY44" i="157" s="1"/>
  <c r="BV44" i="157"/>
  <c r="BU44" i="157"/>
  <c r="BT44" i="157"/>
  <c r="BN44" i="157"/>
  <c r="BO44" i="157" s="1"/>
  <c r="BL44" i="157"/>
  <c r="BK44" i="157"/>
  <c r="BJ44" i="157"/>
  <c r="BD44" i="157"/>
  <c r="BE44" i="157" s="1"/>
  <c r="BB44" i="157"/>
  <c r="BA44" i="157"/>
  <c r="AZ44" i="157"/>
  <c r="AT44" i="157"/>
  <c r="AU44" i="157" s="1"/>
  <c r="AR44" i="157"/>
  <c r="AQ44" i="157"/>
  <c r="AP44" i="157"/>
  <c r="FT43" i="157"/>
  <c r="FU43" i="157" s="1"/>
  <c r="FR43" i="157"/>
  <c r="FQ43" i="157"/>
  <c r="FP43" i="157"/>
  <c r="FJ43" i="157"/>
  <c r="FK43" i="157" s="1"/>
  <c r="FH43" i="157"/>
  <c r="FG43" i="157"/>
  <c r="FF43" i="157"/>
  <c r="EZ43" i="157"/>
  <c r="FA43" i="157" s="1"/>
  <c r="EX43" i="157"/>
  <c r="EW43" i="157"/>
  <c r="EV43" i="157"/>
  <c r="EP43" i="157"/>
  <c r="EQ43" i="157" s="1"/>
  <c r="EN43" i="157"/>
  <c r="EM43" i="157"/>
  <c r="EL43" i="157"/>
  <c r="EF43" i="157"/>
  <c r="EG43" i="157" s="1"/>
  <c r="ED43" i="157"/>
  <c r="EC43" i="157"/>
  <c r="EB43" i="157"/>
  <c r="DV43" i="157"/>
  <c r="DW43" i="157" s="1"/>
  <c r="DT43" i="157"/>
  <c r="DS43" i="157"/>
  <c r="DR43" i="157"/>
  <c r="DL43" i="157"/>
  <c r="DM43" i="157" s="1"/>
  <c r="DJ43" i="157"/>
  <c r="DI43" i="157"/>
  <c r="DH43" i="157"/>
  <c r="DB43" i="157"/>
  <c r="DC43" i="157" s="1"/>
  <c r="CZ43" i="157"/>
  <c r="CY43" i="157"/>
  <c r="CX43" i="157"/>
  <c r="CR43" i="157"/>
  <c r="CS43" i="157" s="1"/>
  <c r="CP43" i="157"/>
  <c r="CO43" i="157"/>
  <c r="CN43" i="157"/>
  <c r="CH43" i="157"/>
  <c r="CI43" i="157" s="1"/>
  <c r="CF43" i="157"/>
  <c r="CE43" i="157"/>
  <c r="CD43" i="157"/>
  <c r="BX43" i="157"/>
  <c r="BY43" i="157" s="1"/>
  <c r="BV43" i="157"/>
  <c r="BU43" i="157"/>
  <c r="BT43" i="157"/>
  <c r="BN43" i="157"/>
  <c r="BO43" i="157" s="1"/>
  <c r="BL43" i="157"/>
  <c r="BK43" i="157"/>
  <c r="BJ43" i="157"/>
  <c r="BD43" i="157"/>
  <c r="BE43" i="157" s="1"/>
  <c r="BB43" i="157"/>
  <c r="BA43" i="157"/>
  <c r="AZ43" i="157"/>
  <c r="AT43" i="157"/>
  <c r="AU43" i="157" s="1"/>
  <c r="AR43" i="157"/>
  <c r="AQ43" i="157"/>
  <c r="AP43" i="157"/>
  <c r="FT42" i="157"/>
  <c r="FU42" i="157" s="1"/>
  <c r="FR42" i="157"/>
  <c r="FQ42" i="157"/>
  <c r="FP42" i="157"/>
  <c r="FJ42" i="157"/>
  <c r="FK42" i="157" s="1"/>
  <c r="FH42" i="157"/>
  <c r="FG42" i="157"/>
  <c r="FF42" i="157"/>
  <c r="EZ42" i="157"/>
  <c r="FA42" i="157" s="1"/>
  <c r="EX42" i="157"/>
  <c r="EW42" i="157"/>
  <c r="EV42" i="157"/>
  <c r="EP42" i="157"/>
  <c r="EQ42" i="157" s="1"/>
  <c r="EN42" i="157"/>
  <c r="EM42" i="157"/>
  <c r="EL42" i="157"/>
  <c r="EF42" i="157"/>
  <c r="EG42" i="157" s="1"/>
  <c r="ED42" i="157"/>
  <c r="EC42" i="157"/>
  <c r="EB42" i="157"/>
  <c r="DV42" i="157"/>
  <c r="DW42" i="157" s="1"/>
  <c r="DT42" i="157"/>
  <c r="DS42" i="157"/>
  <c r="DR42" i="157"/>
  <c r="DL42" i="157"/>
  <c r="DM42" i="157" s="1"/>
  <c r="DJ42" i="157"/>
  <c r="DI42" i="157"/>
  <c r="DH42" i="157"/>
  <c r="DB42" i="157"/>
  <c r="DC42" i="157" s="1"/>
  <c r="CZ42" i="157"/>
  <c r="CY42" i="157"/>
  <c r="CX42" i="157"/>
  <c r="CR42" i="157"/>
  <c r="CS42" i="157" s="1"/>
  <c r="CP42" i="157"/>
  <c r="CO42" i="157"/>
  <c r="CN42" i="157"/>
  <c r="CH42" i="157"/>
  <c r="CI42" i="157" s="1"/>
  <c r="CF42" i="157"/>
  <c r="CE42" i="157"/>
  <c r="CD42" i="157"/>
  <c r="BX42" i="157"/>
  <c r="BY42" i="157" s="1"/>
  <c r="BV42" i="157"/>
  <c r="BU42" i="157"/>
  <c r="BT42" i="157"/>
  <c r="BN42" i="157"/>
  <c r="BO42" i="157" s="1"/>
  <c r="BL42" i="157"/>
  <c r="BK42" i="157"/>
  <c r="BJ42" i="157"/>
  <c r="BD42" i="157"/>
  <c r="BE42" i="157" s="1"/>
  <c r="BB42" i="157"/>
  <c r="BA42" i="157"/>
  <c r="AZ42" i="157"/>
  <c r="AT42" i="157"/>
  <c r="AU42" i="157" s="1"/>
  <c r="AR42" i="157"/>
  <c r="AQ42" i="157"/>
  <c r="AP42" i="157"/>
  <c r="FT41" i="157"/>
  <c r="FU41" i="157" s="1"/>
  <c r="FR41" i="157"/>
  <c r="FQ41" i="157"/>
  <c r="FP41" i="157"/>
  <c r="FJ41" i="157"/>
  <c r="FK41" i="157" s="1"/>
  <c r="FH41" i="157"/>
  <c r="FG41" i="157"/>
  <c r="FF41" i="157"/>
  <c r="EZ41" i="157"/>
  <c r="FA41" i="157" s="1"/>
  <c r="EX41" i="157"/>
  <c r="EW41" i="157"/>
  <c r="EV41" i="157"/>
  <c r="EP41" i="157"/>
  <c r="EQ41" i="157" s="1"/>
  <c r="EN41" i="157"/>
  <c r="EM41" i="157"/>
  <c r="EL41" i="157"/>
  <c r="EF41" i="157"/>
  <c r="EG41" i="157" s="1"/>
  <c r="ED41" i="157"/>
  <c r="EC41" i="157"/>
  <c r="EB41" i="157"/>
  <c r="DV41" i="157"/>
  <c r="DW41" i="157" s="1"/>
  <c r="DT41" i="157"/>
  <c r="DS41" i="157"/>
  <c r="DR41" i="157"/>
  <c r="DL41" i="157"/>
  <c r="DM41" i="157" s="1"/>
  <c r="DJ41" i="157"/>
  <c r="DI41" i="157"/>
  <c r="DH41" i="157"/>
  <c r="DB41" i="157"/>
  <c r="DC41" i="157" s="1"/>
  <c r="CZ41" i="157"/>
  <c r="CY41" i="157"/>
  <c r="CX41" i="157"/>
  <c r="CR41" i="157"/>
  <c r="CS41" i="157" s="1"/>
  <c r="CP41" i="157"/>
  <c r="CO41" i="157"/>
  <c r="CN41" i="157"/>
  <c r="CH41" i="157"/>
  <c r="CI41" i="157" s="1"/>
  <c r="CF41" i="157"/>
  <c r="CE41" i="157"/>
  <c r="CD41" i="157"/>
  <c r="BX41" i="157"/>
  <c r="BY41" i="157" s="1"/>
  <c r="BV41" i="157"/>
  <c r="BU41" i="157"/>
  <c r="BT41" i="157"/>
  <c r="BN41" i="157"/>
  <c r="BO41" i="157" s="1"/>
  <c r="BL41" i="157"/>
  <c r="BK41" i="157"/>
  <c r="BJ41" i="157"/>
  <c r="BD41" i="157"/>
  <c r="BE41" i="157" s="1"/>
  <c r="BB41" i="157"/>
  <c r="BA41" i="157"/>
  <c r="AZ41" i="157"/>
  <c r="AT41" i="157"/>
  <c r="AU41" i="157" s="1"/>
  <c r="AR41" i="157"/>
  <c r="AQ41" i="157"/>
  <c r="AP41" i="157"/>
  <c r="AJ41" i="157"/>
  <c r="AK41" i="157" s="1"/>
  <c r="AH41" i="157"/>
  <c r="AG41" i="157"/>
  <c r="AF41" i="157"/>
  <c r="AA41" i="157"/>
  <c r="AB41" i="157" s="1"/>
  <c r="Y41" i="157"/>
  <c r="X41" i="157"/>
  <c r="W41" i="157"/>
  <c r="FT40" i="157"/>
  <c r="FU40" i="157" s="1"/>
  <c r="FR40" i="157"/>
  <c r="FQ40" i="157"/>
  <c r="FP40" i="157"/>
  <c r="FJ40" i="157"/>
  <c r="FK40" i="157" s="1"/>
  <c r="FH40" i="157"/>
  <c r="FG40" i="157"/>
  <c r="FF40" i="157"/>
  <c r="EZ40" i="157"/>
  <c r="FA40" i="157" s="1"/>
  <c r="EX40" i="157"/>
  <c r="EW40" i="157"/>
  <c r="EV40" i="157"/>
  <c r="EP40" i="157"/>
  <c r="EQ40" i="157" s="1"/>
  <c r="EN40" i="157"/>
  <c r="EM40" i="157"/>
  <c r="EL40" i="157"/>
  <c r="EF40" i="157"/>
  <c r="EG40" i="157" s="1"/>
  <c r="ED40" i="157"/>
  <c r="EC40" i="157"/>
  <c r="EB40" i="157"/>
  <c r="DV40" i="157"/>
  <c r="DW40" i="157" s="1"/>
  <c r="DT40" i="157"/>
  <c r="DS40" i="157"/>
  <c r="DR40" i="157"/>
  <c r="DL40" i="157"/>
  <c r="DM40" i="157" s="1"/>
  <c r="DJ40" i="157"/>
  <c r="DI40" i="157"/>
  <c r="DH40" i="157"/>
  <c r="DB40" i="157"/>
  <c r="DC40" i="157" s="1"/>
  <c r="CZ40" i="157"/>
  <c r="CY40" i="157"/>
  <c r="CX40" i="157"/>
  <c r="CR40" i="157"/>
  <c r="CS40" i="157" s="1"/>
  <c r="CP40" i="157"/>
  <c r="CO40" i="157"/>
  <c r="CN40" i="157"/>
  <c r="CH40" i="157"/>
  <c r="CI40" i="157" s="1"/>
  <c r="CF40" i="157"/>
  <c r="CE40" i="157"/>
  <c r="CD40" i="157"/>
  <c r="BX40" i="157"/>
  <c r="BY40" i="157" s="1"/>
  <c r="BV40" i="157"/>
  <c r="BU40" i="157"/>
  <c r="BT40" i="157"/>
  <c r="BN40" i="157"/>
  <c r="BO40" i="157" s="1"/>
  <c r="BL40" i="157"/>
  <c r="BK40" i="157"/>
  <c r="BJ40" i="157"/>
  <c r="BD40" i="157"/>
  <c r="BE40" i="157" s="1"/>
  <c r="BB40" i="157"/>
  <c r="BA40" i="157"/>
  <c r="AZ40" i="157"/>
  <c r="AT40" i="157"/>
  <c r="AU40" i="157" s="1"/>
  <c r="AR40" i="157"/>
  <c r="AQ40" i="157"/>
  <c r="AP40" i="157"/>
  <c r="FT39" i="157"/>
  <c r="FU39" i="157" s="1"/>
  <c r="FR39" i="157"/>
  <c r="FQ39" i="157"/>
  <c r="FP39" i="157"/>
  <c r="FJ39" i="157"/>
  <c r="FK39" i="157" s="1"/>
  <c r="FH39" i="157"/>
  <c r="FG39" i="157"/>
  <c r="FF39" i="157"/>
  <c r="EZ39" i="157"/>
  <c r="FA39" i="157" s="1"/>
  <c r="EX39" i="157"/>
  <c r="EW39" i="157"/>
  <c r="EV39" i="157"/>
  <c r="EP39" i="157"/>
  <c r="EQ39" i="157" s="1"/>
  <c r="EN39" i="157"/>
  <c r="EM39" i="157"/>
  <c r="EL39" i="157"/>
  <c r="EF39" i="157"/>
  <c r="EG39" i="157" s="1"/>
  <c r="ED39" i="157"/>
  <c r="EC39" i="157"/>
  <c r="EB39" i="157"/>
  <c r="DV39" i="157"/>
  <c r="DW39" i="157" s="1"/>
  <c r="DT39" i="157"/>
  <c r="DS39" i="157"/>
  <c r="DR39" i="157"/>
  <c r="DL39" i="157"/>
  <c r="DM39" i="157" s="1"/>
  <c r="DJ39" i="157"/>
  <c r="DI39" i="157"/>
  <c r="DH39" i="157"/>
  <c r="DB39" i="157"/>
  <c r="DC39" i="157" s="1"/>
  <c r="CZ39" i="157"/>
  <c r="CY39" i="157"/>
  <c r="CX39" i="157"/>
  <c r="CR39" i="157"/>
  <c r="CS39" i="157" s="1"/>
  <c r="CP39" i="157"/>
  <c r="CO39" i="157"/>
  <c r="CN39" i="157"/>
  <c r="CH39" i="157"/>
  <c r="CI39" i="157" s="1"/>
  <c r="CF39" i="157"/>
  <c r="CE39" i="157"/>
  <c r="CD39" i="157"/>
  <c r="BX39" i="157"/>
  <c r="BY39" i="157" s="1"/>
  <c r="BV39" i="157"/>
  <c r="BU39" i="157"/>
  <c r="BT39" i="157"/>
  <c r="BN39" i="157"/>
  <c r="BO39" i="157" s="1"/>
  <c r="BL39" i="157"/>
  <c r="BK39" i="157"/>
  <c r="BJ39" i="157"/>
  <c r="BD39" i="157"/>
  <c r="BE39" i="157" s="1"/>
  <c r="BB39" i="157"/>
  <c r="BA39" i="157"/>
  <c r="AZ39" i="157"/>
  <c r="AT39" i="157"/>
  <c r="AU39" i="157" s="1"/>
  <c r="AR39" i="157"/>
  <c r="AQ39" i="157"/>
  <c r="AP39" i="157"/>
  <c r="FT38" i="157"/>
  <c r="FU38" i="157" s="1"/>
  <c r="FR38" i="157"/>
  <c r="FQ38" i="157"/>
  <c r="FP38" i="157"/>
  <c r="FJ38" i="157"/>
  <c r="FK38" i="157" s="1"/>
  <c r="FH38" i="157"/>
  <c r="FG38" i="157"/>
  <c r="FF38" i="157"/>
  <c r="EZ38" i="157"/>
  <c r="FA38" i="157" s="1"/>
  <c r="EX38" i="157"/>
  <c r="EW38" i="157"/>
  <c r="EV38" i="157"/>
  <c r="EP38" i="157"/>
  <c r="EQ38" i="157" s="1"/>
  <c r="EN38" i="157"/>
  <c r="EM38" i="157"/>
  <c r="EL38" i="157"/>
  <c r="EF38" i="157"/>
  <c r="EG38" i="157" s="1"/>
  <c r="ED38" i="157"/>
  <c r="EC38" i="157"/>
  <c r="EB38" i="157"/>
  <c r="DV38" i="157"/>
  <c r="DW38" i="157" s="1"/>
  <c r="DT38" i="157"/>
  <c r="DS38" i="157"/>
  <c r="DR38" i="157"/>
  <c r="DL38" i="157"/>
  <c r="DM38" i="157" s="1"/>
  <c r="DJ38" i="157"/>
  <c r="DI38" i="157"/>
  <c r="DH38" i="157"/>
  <c r="DB38" i="157"/>
  <c r="DC38" i="157" s="1"/>
  <c r="CZ38" i="157"/>
  <c r="CY38" i="157"/>
  <c r="CX38" i="157"/>
  <c r="CR38" i="157"/>
  <c r="CS38" i="157" s="1"/>
  <c r="CP38" i="157"/>
  <c r="CO38" i="157"/>
  <c r="CN38" i="157"/>
  <c r="CH38" i="157"/>
  <c r="CI38" i="157" s="1"/>
  <c r="CF38" i="157"/>
  <c r="CE38" i="157"/>
  <c r="CD38" i="157"/>
  <c r="BX38" i="157"/>
  <c r="BY38" i="157" s="1"/>
  <c r="BV38" i="157"/>
  <c r="BU38" i="157"/>
  <c r="BT38" i="157"/>
  <c r="BN38" i="157"/>
  <c r="BO38" i="157" s="1"/>
  <c r="BL38" i="157"/>
  <c r="BK38" i="157"/>
  <c r="BJ38" i="157"/>
  <c r="BD38" i="157"/>
  <c r="BE38" i="157" s="1"/>
  <c r="BB38" i="157"/>
  <c r="BA38" i="157"/>
  <c r="AZ38" i="157"/>
  <c r="AT38" i="157"/>
  <c r="AU38" i="157" s="1"/>
  <c r="AR38" i="157"/>
  <c r="AQ38" i="157"/>
  <c r="AP38" i="157"/>
  <c r="FT37" i="157"/>
  <c r="FU37" i="157" s="1"/>
  <c r="FR37" i="157"/>
  <c r="FQ37" i="157"/>
  <c r="FP37" i="157"/>
  <c r="FJ37" i="157"/>
  <c r="FK37" i="157" s="1"/>
  <c r="FH37" i="157"/>
  <c r="FG37" i="157"/>
  <c r="FF37" i="157"/>
  <c r="EZ37" i="157"/>
  <c r="FA37" i="157" s="1"/>
  <c r="EX37" i="157"/>
  <c r="EW37" i="157"/>
  <c r="EV37" i="157"/>
  <c r="EP37" i="157"/>
  <c r="EQ37" i="157" s="1"/>
  <c r="EN37" i="157"/>
  <c r="EM37" i="157"/>
  <c r="EL37" i="157"/>
  <c r="EF37" i="157"/>
  <c r="EG37" i="157" s="1"/>
  <c r="ED37" i="157"/>
  <c r="EC37" i="157"/>
  <c r="EB37" i="157"/>
  <c r="DV37" i="157"/>
  <c r="DW37" i="157" s="1"/>
  <c r="DT37" i="157"/>
  <c r="DS37" i="157"/>
  <c r="DR37" i="157"/>
  <c r="DL37" i="157"/>
  <c r="DM37" i="157" s="1"/>
  <c r="DJ37" i="157"/>
  <c r="DI37" i="157"/>
  <c r="DH37" i="157"/>
  <c r="DB37" i="157"/>
  <c r="DC37" i="157" s="1"/>
  <c r="CZ37" i="157"/>
  <c r="CY37" i="157"/>
  <c r="CX37" i="157"/>
  <c r="CR37" i="157"/>
  <c r="CS37" i="157" s="1"/>
  <c r="CP37" i="157"/>
  <c r="CO37" i="157"/>
  <c r="CN37" i="157"/>
  <c r="CH37" i="157"/>
  <c r="CI37" i="157" s="1"/>
  <c r="CF37" i="157"/>
  <c r="CE37" i="157"/>
  <c r="CD37" i="157"/>
  <c r="BX37" i="157"/>
  <c r="BY37" i="157" s="1"/>
  <c r="BV37" i="157"/>
  <c r="BU37" i="157"/>
  <c r="BT37" i="157"/>
  <c r="BN37" i="157"/>
  <c r="BO37" i="157" s="1"/>
  <c r="BL37" i="157"/>
  <c r="BK37" i="157"/>
  <c r="BJ37" i="157"/>
  <c r="BD37" i="157"/>
  <c r="BE37" i="157" s="1"/>
  <c r="BB37" i="157"/>
  <c r="BA37" i="157"/>
  <c r="AZ37" i="157"/>
  <c r="AT37" i="157"/>
  <c r="AU37" i="157" s="1"/>
  <c r="AR37" i="157"/>
  <c r="AQ37" i="157"/>
  <c r="AP37" i="157"/>
  <c r="FT36" i="157"/>
  <c r="FU36" i="157" s="1"/>
  <c r="FR36" i="157"/>
  <c r="FQ36" i="157"/>
  <c r="FP36" i="157"/>
  <c r="FJ36" i="157"/>
  <c r="FK36" i="157" s="1"/>
  <c r="FH36" i="157"/>
  <c r="FG36" i="157"/>
  <c r="FF36" i="157"/>
  <c r="EZ36" i="157"/>
  <c r="FA36" i="157" s="1"/>
  <c r="EX36" i="157"/>
  <c r="EW36" i="157"/>
  <c r="EV36" i="157"/>
  <c r="EP36" i="157"/>
  <c r="EQ36" i="157" s="1"/>
  <c r="EN36" i="157"/>
  <c r="EM36" i="157"/>
  <c r="EL36" i="157"/>
  <c r="EF36" i="157"/>
  <c r="EG36" i="157" s="1"/>
  <c r="ED36" i="157"/>
  <c r="EC36" i="157"/>
  <c r="EB36" i="157"/>
  <c r="DV36" i="157"/>
  <c r="DW36" i="157" s="1"/>
  <c r="DT36" i="157"/>
  <c r="DS36" i="157"/>
  <c r="DR36" i="157"/>
  <c r="DL36" i="157"/>
  <c r="DM36" i="157" s="1"/>
  <c r="DJ36" i="157"/>
  <c r="DI36" i="157"/>
  <c r="DH36" i="157"/>
  <c r="DB36" i="157"/>
  <c r="DC36" i="157" s="1"/>
  <c r="CZ36" i="157"/>
  <c r="CY36" i="157"/>
  <c r="CX36" i="157"/>
  <c r="CR36" i="157"/>
  <c r="CS36" i="157" s="1"/>
  <c r="CP36" i="157"/>
  <c r="CO36" i="157"/>
  <c r="CN36" i="157"/>
  <c r="CH36" i="157"/>
  <c r="CI36" i="157" s="1"/>
  <c r="CF36" i="157"/>
  <c r="CE36" i="157"/>
  <c r="CD36" i="157"/>
  <c r="BX36" i="157"/>
  <c r="BY36" i="157" s="1"/>
  <c r="BV36" i="157"/>
  <c r="BU36" i="157"/>
  <c r="BT36" i="157"/>
  <c r="BN36" i="157"/>
  <c r="BO36" i="157" s="1"/>
  <c r="BL36" i="157"/>
  <c r="BK36" i="157"/>
  <c r="BJ36" i="157"/>
  <c r="BD36" i="157"/>
  <c r="BE36" i="157" s="1"/>
  <c r="BB36" i="157"/>
  <c r="BA36" i="157"/>
  <c r="AZ36" i="157"/>
  <c r="AT36" i="157"/>
  <c r="AU36" i="157" s="1"/>
  <c r="AR36" i="157"/>
  <c r="AQ36" i="157"/>
  <c r="AP36" i="157"/>
  <c r="FQ30" i="157"/>
  <c r="FS30" i="157" s="1"/>
  <c r="FT30" i="157" s="1"/>
  <c r="FG30" i="157"/>
  <c r="FH30" i="157" s="1"/>
  <c r="EW30" i="157"/>
  <c r="EX30" i="157" s="1"/>
  <c r="EM30" i="157"/>
  <c r="EC30" i="157"/>
  <c r="ED30" i="157" s="1"/>
  <c r="DS30" i="157"/>
  <c r="DT30" i="157" s="1"/>
  <c r="DI30" i="157"/>
  <c r="DK30" i="157" s="1"/>
  <c r="DL30" i="157" s="1"/>
  <c r="CY30" i="157"/>
  <c r="CZ30" i="157" s="1"/>
  <c r="CO30" i="157"/>
  <c r="CQ30" i="157" s="1"/>
  <c r="CR30" i="157" s="1"/>
  <c r="CE30" i="157"/>
  <c r="CF30" i="157" s="1"/>
  <c r="BU30" i="157"/>
  <c r="BV30" i="157" s="1"/>
  <c r="BK30" i="157"/>
  <c r="BM30" i="157" s="1"/>
  <c r="BN30" i="157" s="1"/>
  <c r="BA30" i="157"/>
  <c r="BB30" i="157" s="1"/>
  <c r="AQ30" i="157"/>
  <c r="AR30" i="157" s="1"/>
  <c r="AG30" i="157"/>
  <c r="AH30" i="157" s="1"/>
  <c r="X30" i="157"/>
  <c r="Y30" i="157" s="1"/>
  <c r="N30" i="157"/>
  <c r="O30" i="157" s="1"/>
  <c r="D30" i="157"/>
  <c r="FQ29" i="157"/>
  <c r="FR29" i="157" s="1"/>
  <c r="FG29" i="157"/>
  <c r="FI29" i="157" s="1"/>
  <c r="FJ29" i="157" s="1"/>
  <c r="EW29" i="157"/>
  <c r="EM29" i="157"/>
  <c r="EN29" i="157" s="1"/>
  <c r="EC29" i="157"/>
  <c r="EE29" i="157" s="1"/>
  <c r="EF29" i="157" s="1"/>
  <c r="DS29" i="157"/>
  <c r="DT29" i="157" s="1"/>
  <c r="DI29" i="157"/>
  <c r="DJ29" i="157" s="1"/>
  <c r="CY29" i="157"/>
  <c r="CO29" i="157"/>
  <c r="CQ29" i="157" s="1"/>
  <c r="CR29" i="157" s="1"/>
  <c r="CE29" i="157"/>
  <c r="CG29" i="157" s="1"/>
  <c r="CH29" i="157" s="1"/>
  <c r="BU29" i="157"/>
  <c r="BW29" i="157" s="1"/>
  <c r="BX29" i="157" s="1"/>
  <c r="BK29" i="157"/>
  <c r="BL29" i="157" s="1"/>
  <c r="BA29" i="157"/>
  <c r="BC29" i="157" s="1"/>
  <c r="BD29" i="157" s="1"/>
  <c r="AQ29" i="157"/>
  <c r="AG29" i="157"/>
  <c r="X29" i="157"/>
  <c r="N29" i="157"/>
  <c r="D29" i="157"/>
  <c r="FQ28" i="157"/>
  <c r="FS28" i="157" s="1"/>
  <c r="FT28" i="157" s="1"/>
  <c r="FG28" i="157"/>
  <c r="FH28" i="157" s="1"/>
  <c r="EW28" i="157"/>
  <c r="EX28" i="157" s="1"/>
  <c r="EM28" i="157"/>
  <c r="EO28" i="157" s="1"/>
  <c r="EP28" i="157" s="1"/>
  <c r="EC28" i="157"/>
  <c r="EE28" i="157" s="1"/>
  <c r="EF28" i="157" s="1"/>
  <c r="DS28" i="157"/>
  <c r="DT28" i="157" s="1"/>
  <c r="DI28" i="157"/>
  <c r="DJ28" i="157" s="1"/>
  <c r="CY28" i="157"/>
  <c r="CZ28" i="157" s="1"/>
  <c r="CO28" i="157"/>
  <c r="CQ28" i="157" s="1"/>
  <c r="CR28" i="157" s="1"/>
  <c r="CE28" i="157"/>
  <c r="CF28" i="157" s="1"/>
  <c r="BU28" i="157"/>
  <c r="BW28" i="157" s="1"/>
  <c r="BX28" i="157" s="1"/>
  <c r="BK28" i="157"/>
  <c r="BM28" i="157" s="1"/>
  <c r="BN28" i="157" s="1"/>
  <c r="BA28" i="157"/>
  <c r="AQ28" i="157"/>
  <c r="AR28" i="157" s="1"/>
  <c r="AG28" i="157"/>
  <c r="X28" i="157"/>
  <c r="N28" i="157"/>
  <c r="D28" i="157"/>
  <c r="FQ27" i="157"/>
  <c r="FR27" i="157" s="1"/>
  <c r="FG27" i="157"/>
  <c r="FI27" i="157" s="1"/>
  <c r="FJ27" i="157" s="1"/>
  <c r="EW27" i="157"/>
  <c r="EY27" i="157" s="1"/>
  <c r="EZ27" i="157" s="1"/>
  <c r="EM27" i="157"/>
  <c r="EN27" i="157" s="1"/>
  <c r="EC27" i="157"/>
  <c r="EE27" i="157" s="1"/>
  <c r="EF27" i="157" s="1"/>
  <c r="DS27" i="157"/>
  <c r="DT27" i="157" s="1"/>
  <c r="DI27" i="157"/>
  <c r="DJ27" i="157" s="1"/>
  <c r="CY27" i="157"/>
  <c r="CO27" i="157"/>
  <c r="CP27" i="157" s="1"/>
  <c r="CE27" i="157"/>
  <c r="CG27" i="157" s="1"/>
  <c r="CH27" i="157" s="1"/>
  <c r="BU27" i="157"/>
  <c r="BW27" i="157" s="1"/>
  <c r="BX27" i="157" s="1"/>
  <c r="BK27" i="157"/>
  <c r="BL27" i="157" s="1"/>
  <c r="BA27" i="157"/>
  <c r="BB27" i="157" s="1"/>
  <c r="AQ27" i="157"/>
  <c r="AG27" i="157"/>
  <c r="X27" i="157"/>
  <c r="N27" i="157"/>
  <c r="D27" i="157"/>
  <c r="FQ26" i="157"/>
  <c r="FS26" i="157" s="1"/>
  <c r="FT26" i="157" s="1"/>
  <c r="FG26" i="157"/>
  <c r="FH26" i="157" s="1"/>
  <c r="EW26" i="157"/>
  <c r="EY26" i="157" s="1"/>
  <c r="EZ26" i="157" s="1"/>
  <c r="EM26" i="157"/>
  <c r="EO26" i="157" s="1"/>
  <c r="EP26" i="157" s="1"/>
  <c r="EC26" i="157"/>
  <c r="ED26" i="157" s="1"/>
  <c r="DS26" i="157"/>
  <c r="DT26" i="157" s="1"/>
  <c r="DI26" i="157"/>
  <c r="CY26" i="157"/>
  <c r="CZ26" i="157" s="1"/>
  <c r="CO26" i="157"/>
  <c r="CQ26" i="157" s="1"/>
  <c r="CR26" i="157" s="1"/>
  <c r="CE26" i="157"/>
  <c r="BU26" i="157"/>
  <c r="BW26" i="157" s="1"/>
  <c r="BX26" i="157" s="1"/>
  <c r="BK26" i="157"/>
  <c r="BL26" i="157" s="1"/>
  <c r="BA26" i="157"/>
  <c r="AQ26" i="157"/>
  <c r="AR26" i="157" s="1"/>
  <c r="AG26" i="157"/>
  <c r="X26" i="157"/>
  <c r="N26" i="157"/>
  <c r="D26" i="157"/>
  <c r="FQ25" i="157"/>
  <c r="FR25" i="157" s="1"/>
  <c r="FG25" i="157"/>
  <c r="FI25" i="157" s="1"/>
  <c r="FJ25" i="157" s="1"/>
  <c r="EW25" i="157"/>
  <c r="EY25" i="157" s="1"/>
  <c r="EZ25" i="157" s="1"/>
  <c r="EM25" i="157"/>
  <c r="EN25" i="157" s="1"/>
  <c r="EC25" i="157"/>
  <c r="EE25" i="157" s="1"/>
  <c r="EF25" i="157" s="1"/>
  <c r="DS25" i="157"/>
  <c r="DI25" i="157"/>
  <c r="DJ25" i="157" s="1"/>
  <c r="CY25" i="157"/>
  <c r="CO25" i="157"/>
  <c r="CP25" i="157" s="1"/>
  <c r="CE25" i="157"/>
  <c r="CG25" i="157" s="1"/>
  <c r="CH25" i="157" s="1"/>
  <c r="BU25" i="157"/>
  <c r="BW25" i="157" s="1"/>
  <c r="BX25" i="157" s="1"/>
  <c r="BK25" i="157"/>
  <c r="BL25" i="157" s="1"/>
  <c r="BA25" i="157"/>
  <c r="BC25" i="157" s="1"/>
  <c r="BD25" i="157" s="1"/>
  <c r="AQ25" i="157"/>
  <c r="AS25" i="157" s="1"/>
  <c r="AT25" i="157" s="1"/>
  <c r="AG25" i="157"/>
  <c r="X25" i="157"/>
  <c r="N25" i="157"/>
  <c r="D25" i="157"/>
  <c r="FQ24" i="157"/>
  <c r="FS24" i="157" s="1"/>
  <c r="FT24" i="157" s="1"/>
  <c r="FG24" i="157"/>
  <c r="FH24" i="157" s="1"/>
  <c r="EW24" i="157"/>
  <c r="EY24" i="157" s="1"/>
  <c r="EZ24" i="157" s="1"/>
  <c r="EM24" i="157"/>
  <c r="EO24" i="157" s="1"/>
  <c r="EP24" i="157" s="1"/>
  <c r="EC24" i="157"/>
  <c r="DS24" i="157"/>
  <c r="DT24" i="157" s="1"/>
  <c r="DI24" i="157"/>
  <c r="CY24" i="157"/>
  <c r="CZ24" i="157" s="1"/>
  <c r="CO24" i="157"/>
  <c r="CQ24" i="157" s="1"/>
  <c r="CR24" i="157" s="1"/>
  <c r="CE24" i="157"/>
  <c r="CF24" i="157" s="1"/>
  <c r="BU24" i="157"/>
  <c r="BV24" i="157" s="1"/>
  <c r="BK24" i="157"/>
  <c r="BL24" i="157" s="1"/>
  <c r="BA24" i="157"/>
  <c r="BC24" i="157" s="1"/>
  <c r="BD24" i="157" s="1"/>
  <c r="AQ24" i="157"/>
  <c r="AR24" i="157" s="1"/>
  <c r="AG24" i="157"/>
  <c r="X24" i="157"/>
  <c r="N24" i="157"/>
  <c r="D24" i="157"/>
  <c r="FQ23" i="157"/>
  <c r="FR23" i="157" s="1"/>
  <c r="FG23" i="157"/>
  <c r="FH23" i="157" s="1"/>
  <c r="EW23" i="157"/>
  <c r="EY23" i="157" s="1"/>
  <c r="EZ23" i="157" s="1"/>
  <c r="EM23" i="157"/>
  <c r="EN23" i="157" s="1"/>
  <c r="EC23" i="157"/>
  <c r="ED23" i="157" s="1"/>
  <c r="DS23" i="157"/>
  <c r="DI23" i="157"/>
  <c r="DJ23" i="157" s="1"/>
  <c r="CY23" i="157"/>
  <c r="CZ23" i="157" s="1"/>
  <c r="CO23" i="157"/>
  <c r="CP23" i="157" s="1"/>
  <c r="CE23" i="157"/>
  <c r="CF23" i="157" s="1"/>
  <c r="BU23" i="157"/>
  <c r="BV23" i="157" s="1"/>
  <c r="BK23" i="157"/>
  <c r="BL23" i="157" s="1"/>
  <c r="BA23" i="157"/>
  <c r="BC23" i="157" s="1"/>
  <c r="BD23" i="157" s="1"/>
  <c r="AQ23" i="157"/>
  <c r="AS23" i="157" s="1"/>
  <c r="AT23" i="157" s="1"/>
  <c r="AG23" i="157"/>
  <c r="X23" i="157"/>
  <c r="N23" i="157"/>
  <c r="D23" i="157"/>
  <c r="FQ22" i="157"/>
  <c r="FR22" i="157" s="1"/>
  <c r="FG22" i="157"/>
  <c r="EW22" i="157"/>
  <c r="EY22" i="157" s="1"/>
  <c r="EZ22" i="157" s="1"/>
  <c r="EM22" i="157"/>
  <c r="EN22" i="157" s="1"/>
  <c r="EC22" i="157"/>
  <c r="DS22" i="157"/>
  <c r="DT22" i="157" s="1"/>
  <c r="DI22" i="157"/>
  <c r="CY22" i="157"/>
  <c r="DA22" i="157" s="1"/>
  <c r="DB22" i="157" s="1"/>
  <c r="CO22" i="157"/>
  <c r="CP22" i="157" s="1"/>
  <c r="CE22" i="157"/>
  <c r="BU22" i="157"/>
  <c r="BW22" i="157" s="1"/>
  <c r="BX22" i="157" s="1"/>
  <c r="BK22" i="157"/>
  <c r="BM22" i="157" s="1"/>
  <c r="BN22" i="157" s="1"/>
  <c r="BA22" i="157"/>
  <c r="BC22" i="157" s="1"/>
  <c r="BD22" i="157" s="1"/>
  <c r="AQ22" i="157"/>
  <c r="AR22" i="157" s="1"/>
  <c r="AG22" i="157"/>
  <c r="X22" i="157"/>
  <c r="N22" i="157"/>
  <c r="D22" i="157"/>
  <c r="FQ21" i="157"/>
  <c r="FR21" i="157" s="1"/>
  <c r="FG21" i="157"/>
  <c r="FI21" i="157" s="1"/>
  <c r="FJ21" i="157" s="1"/>
  <c r="EW21" i="157"/>
  <c r="EY21" i="157" s="1"/>
  <c r="EZ21" i="157" s="1"/>
  <c r="EM21" i="157"/>
  <c r="EN21" i="157" s="1"/>
  <c r="EC21" i="157"/>
  <c r="EE21" i="157" s="1"/>
  <c r="EF21" i="157" s="1"/>
  <c r="DS21" i="157"/>
  <c r="DT21" i="157" s="1"/>
  <c r="DI21" i="157"/>
  <c r="DK21" i="157" s="1"/>
  <c r="DL21" i="157" s="1"/>
  <c r="CY21" i="157"/>
  <c r="CZ21" i="157" s="1"/>
  <c r="CO21" i="157"/>
  <c r="CP21" i="157" s="1"/>
  <c r="CE21" i="157"/>
  <c r="CF21" i="157" s="1"/>
  <c r="BU21" i="157"/>
  <c r="BW21" i="157" s="1"/>
  <c r="BX21" i="157" s="1"/>
  <c r="BK21" i="157"/>
  <c r="BL21" i="157" s="1"/>
  <c r="BA21" i="157"/>
  <c r="BC21" i="157" s="1"/>
  <c r="BD21" i="157" s="1"/>
  <c r="AQ21" i="157"/>
  <c r="AS21" i="157" s="1"/>
  <c r="AT21" i="157" s="1"/>
  <c r="AG21" i="157"/>
  <c r="X21" i="157"/>
  <c r="N21" i="157"/>
  <c r="D21" i="157"/>
  <c r="FQ20" i="157"/>
  <c r="FS20" i="157" s="1"/>
  <c r="FT20" i="157" s="1"/>
  <c r="FG20" i="157"/>
  <c r="FH20" i="157" s="1"/>
  <c r="EW20" i="157"/>
  <c r="EX20" i="157" s="1"/>
  <c r="EM20" i="157"/>
  <c r="EN20" i="157" s="1"/>
  <c r="EC20" i="157"/>
  <c r="ED20" i="157" s="1"/>
  <c r="DS20" i="157"/>
  <c r="DT20" i="157" s="1"/>
  <c r="DI20" i="157"/>
  <c r="DK20" i="157" s="1"/>
  <c r="DL20" i="157" s="1"/>
  <c r="CY20" i="157"/>
  <c r="CZ20" i="157" s="1"/>
  <c r="CO20" i="157"/>
  <c r="CP20" i="157" s="1"/>
  <c r="CE20" i="157"/>
  <c r="BU20" i="157"/>
  <c r="BV20" i="157" s="1"/>
  <c r="BK20" i="157"/>
  <c r="BM20" i="157" s="1"/>
  <c r="BN20" i="157" s="1"/>
  <c r="BA20" i="157"/>
  <c r="BC20" i="157" s="1"/>
  <c r="BD20" i="157" s="1"/>
  <c r="AQ20" i="157"/>
  <c r="AR20" i="157" s="1"/>
  <c r="AG20" i="157"/>
  <c r="X20" i="157"/>
  <c r="N20" i="157"/>
  <c r="D20" i="157"/>
  <c r="FQ19" i="157"/>
  <c r="FS19" i="157" s="1"/>
  <c r="FT19" i="157" s="1"/>
  <c r="FG19" i="157"/>
  <c r="FH19" i="157" s="1"/>
  <c r="EW19" i="157"/>
  <c r="EX19" i="157" s="1"/>
  <c r="EM19" i="157"/>
  <c r="EN19" i="157" s="1"/>
  <c r="EC19" i="157"/>
  <c r="EE19" i="157" s="1"/>
  <c r="EF19" i="157" s="1"/>
  <c r="DS19" i="157"/>
  <c r="DU19" i="157" s="1"/>
  <c r="DV19" i="157" s="1"/>
  <c r="DI19" i="157"/>
  <c r="DJ19" i="157" s="1"/>
  <c r="CY19" i="157"/>
  <c r="CZ19" i="157" s="1"/>
  <c r="CO19" i="157"/>
  <c r="CP19" i="157" s="1"/>
  <c r="CE19" i="157"/>
  <c r="CF19" i="157" s="1"/>
  <c r="BU19" i="157"/>
  <c r="BW19" i="157" s="1"/>
  <c r="BX19" i="157" s="1"/>
  <c r="BK19" i="157"/>
  <c r="BA19" i="157"/>
  <c r="BC19" i="157" s="1"/>
  <c r="BD19" i="157" s="1"/>
  <c r="AQ19" i="157"/>
  <c r="AS19" i="157" s="1"/>
  <c r="AT19" i="157" s="1"/>
  <c r="AG19" i="157"/>
  <c r="X19" i="157"/>
  <c r="N19" i="157"/>
  <c r="D19" i="157"/>
  <c r="FQ18" i="157"/>
  <c r="FG18" i="157"/>
  <c r="FH18" i="157" s="1"/>
  <c r="EW18" i="157"/>
  <c r="EY18" i="157" s="1"/>
  <c r="EZ18" i="157" s="1"/>
  <c r="EM18" i="157"/>
  <c r="EN18" i="157" s="1"/>
  <c r="EC18" i="157"/>
  <c r="DS18" i="157"/>
  <c r="DT18" i="157" s="1"/>
  <c r="DI18" i="157"/>
  <c r="DK18" i="157" s="1"/>
  <c r="DL18" i="157" s="1"/>
  <c r="CY18" i="157"/>
  <c r="DA18" i="157" s="1"/>
  <c r="DB18" i="157" s="1"/>
  <c r="CO18" i="157"/>
  <c r="CE18" i="157"/>
  <c r="CF18" i="157" s="1"/>
  <c r="BU18" i="157"/>
  <c r="BW18" i="157" s="1"/>
  <c r="BX18" i="157" s="1"/>
  <c r="BK18" i="157"/>
  <c r="BL18" i="157" s="1"/>
  <c r="BA18" i="157"/>
  <c r="AQ18" i="157"/>
  <c r="AR18" i="157" s="1"/>
  <c r="AG18" i="157"/>
  <c r="X18" i="157"/>
  <c r="N18" i="157"/>
  <c r="D18" i="157"/>
  <c r="FQ17" i="157"/>
  <c r="FS17" i="157" s="1"/>
  <c r="FT17" i="157" s="1"/>
  <c r="FG17" i="157"/>
  <c r="FI17" i="157" s="1"/>
  <c r="FJ17" i="157" s="1"/>
  <c r="EW17" i="157"/>
  <c r="EY17" i="157" s="1"/>
  <c r="EZ17" i="157" s="1"/>
  <c r="EM17" i="157"/>
  <c r="EN17" i="157" s="1"/>
  <c r="EC17" i="157"/>
  <c r="EE17" i="157" s="1"/>
  <c r="EF17" i="157" s="1"/>
  <c r="DS17" i="157"/>
  <c r="DT17" i="157" s="1"/>
  <c r="DI17" i="157"/>
  <c r="DK17" i="157" s="1"/>
  <c r="DL17" i="157" s="1"/>
  <c r="CY17" i="157"/>
  <c r="CZ17" i="157" s="1"/>
  <c r="CO17" i="157"/>
  <c r="CQ17" i="157" s="1"/>
  <c r="CR17" i="157" s="1"/>
  <c r="CE17" i="157"/>
  <c r="CF17" i="157" s="1"/>
  <c r="BU17" i="157"/>
  <c r="BW17" i="157" s="1"/>
  <c r="BX17" i="157" s="1"/>
  <c r="BK17" i="157"/>
  <c r="BL17" i="157" s="1"/>
  <c r="BA17" i="157"/>
  <c r="BC17" i="157" s="1"/>
  <c r="BD17" i="157" s="1"/>
  <c r="AQ17" i="157"/>
  <c r="AS17" i="157" s="1"/>
  <c r="AT17" i="157" s="1"/>
  <c r="AG17" i="157"/>
  <c r="X17" i="157"/>
  <c r="N17" i="157"/>
  <c r="D17" i="157"/>
  <c r="FQ16" i="157"/>
  <c r="FS16" i="157" s="1"/>
  <c r="FT16" i="157" s="1"/>
  <c r="FG16" i="157"/>
  <c r="FH16" i="157" s="1"/>
  <c r="EW16" i="157"/>
  <c r="EY16" i="157" s="1"/>
  <c r="EZ16" i="157" s="1"/>
  <c r="EM16" i="157"/>
  <c r="EN16" i="157" s="1"/>
  <c r="EC16" i="157"/>
  <c r="EE16" i="157" s="1"/>
  <c r="EF16" i="157" s="1"/>
  <c r="DS16" i="157"/>
  <c r="DT16" i="157" s="1"/>
  <c r="DI16" i="157"/>
  <c r="DK16" i="157" s="1"/>
  <c r="DL16" i="157" s="1"/>
  <c r="CY16" i="157"/>
  <c r="DA16" i="157" s="1"/>
  <c r="DB16" i="157" s="1"/>
  <c r="CO16" i="157"/>
  <c r="CQ16" i="157" s="1"/>
  <c r="CR16" i="157" s="1"/>
  <c r="CE16" i="157"/>
  <c r="CF16" i="157" s="1"/>
  <c r="BU16" i="157"/>
  <c r="BW16" i="157" s="1"/>
  <c r="BX16" i="157" s="1"/>
  <c r="BK16" i="157"/>
  <c r="BL16" i="157" s="1"/>
  <c r="BA16" i="157"/>
  <c r="BC16" i="157" s="1"/>
  <c r="BD16" i="157" s="1"/>
  <c r="AQ16" i="157"/>
  <c r="AR16" i="157" s="1"/>
  <c r="AG16" i="157"/>
  <c r="X16" i="157"/>
  <c r="N16" i="157"/>
  <c r="D16" i="157"/>
  <c r="FQ15" i="157"/>
  <c r="FS15" i="157" s="1"/>
  <c r="FT15" i="157" s="1"/>
  <c r="FG15" i="157"/>
  <c r="FI15" i="157" s="1"/>
  <c r="FJ15" i="157" s="1"/>
  <c r="EW15" i="157"/>
  <c r="EY15" i="157" s="1"/>
  <c r="EZ15" i="157" s="1"/>
  <c r="EM15" i="157"/>
  <c r="EN15" i="157" s="1"/>
  <c r="EC15" i="157"/>
  <c r="EE15" i="157" s="1"/>
  <c r="EF15" i="157" s="1"/>
  <c r="DS15" i="157"/>
  <c r="DU15" i="157" s="1"/>
  <c r="DV15" i="157" s="1"/>
  <c r="DI15" i="157"/>
  <c r="DK15" i="157" s="1"/>
  <c r="DL15" i="157" s="1"/>
  <c r="CY15" i="157"/>
  <c r="CZ15" i="157" s="1"/>
  <c r="CO15" i="157"/>
  <c r="CQ15" i="157" s="1"/>
  <c r="CR15" i="157" s="1"/>
  <c r="CE15" i="157"/>
  <c r="CG15" i="157" s="1"/>
  <c r="CH15" i="157" s="1"/>
  <c r="BU15" i="157"/>
  <c r="BW15" i="157" s="1"/>
  <c r="BX15" i="157" s="1"/>
  <c r="BK15" i="157"/>
  <c r="BL15" i="157" s="1"/>
  <c r="BA15" i="157"/>
  <c r="BC15" i="157" s="1"/>
  <c r="BD15" i="157" s="1"/>
  <c r="AQ15" i="157"/>
  <c r="AR15" i="157" s="1"/>
  <c r="AG15" i="157"/>
  <c r="X15" i="157"/>
  <c r="N15" i="157"/>
  <c r="D15" i="157"/>
  <c r="FQ14" i="157"/>
  <c r="FS14" i="157" s="1"/>
  <c r="FT14" i="157" s="1"/>
  <c r="FG14" i="157"/>
  <c r="FH14" i="157" s="1"/>
  <c r="EW14" i="157"/>
  <c r="EY14" i="157" s="1"/>
  <c r="EZ14" i="157" s="1"/>
  <c r="EM14" i="157"/>
  <c r="EN14" i="157" s="1"/>
  <c r="EC14" i="157"/>
  <c r="EE14" i="157" s="1"/>
  <c r="EF14" i="157" s="1"/>
  <c r="DS14" i="157"/>
  <c r="DT14" i="157" s="1"/>
  <c r="DI14" i="157"/>
  <c r="DK14" i="157" s="1"/>
  <c r="DL14" i="157" s="1"/>
  <c r="CY14" i="157"/>
  <c r="DA14" i="157" s="1"/>
  <c r="DB14" i="157" s="1"/>
  <c r="CO14" i="157"/>
  <c r="CQ14" i="157" s="1"/>
  <c r="CR14" i="157" s="1"/>
  <c r="CE14" i="157"/>
  <c r="CF14" i="157" s="1"/>
  <c r="BU14" i="157"/>
  <c r="BW14" i="157" s="1"/>
  <c r="BX14" i="157" s="1"/>
  <c r="BK14" i="157"/>
  <c r="BL14" i="157" s="1"/>
  <c r="BA14" i="157"/>
  <c r="BC14" i="157" s="1"/>
  <c r="BD14" i="157" s="1"/>
  <c r="AQ14" i="157"/>
  <c r="AR14" i="157" s="1"/>
  <c r="AG14" i="157"/>
  <c r="X14" i="157"/>
  <c r="N14" i="157"/>
  <c r="D14" i="157"/>
  <c r="FQ13" i="157"/>
  <c r="FS13" i="157" s="1"/>
  <c r="FT13" i="157" s="1"/>
  <c r="FG13" i="157"/>
  <c r="FI13" i="157" s="1"/>
  <c r="FJ13" i="157" s="1"/>
  <c r="EW13" i="157"/>
  <c r="EY13" i="157" s="1"/>
  <c r="EZ13" i="157" s="1"/>
  <c r="EM13" i="157"/>
  <c r="EN13" i="157" s="1"/>
  <c r="EC13" i="157"/>
  <c r="EE13" i="157" s="1"/>
  <c r="EF13" i="157" s="1"/>
  <c r="DS13" i="157"/>
  <c r="DU13" i="157" s="1"/>
  <c r="DV13" i="157" s="1"/>
  <c r="DI13" i="157"/>
  <c r="DK13" i="157" s="1"/>
  <c r="DL13" i="157" s="1"/>
  <c r="CY13" i="157"/>
  <c r="CZ13" i="157" s="1"/>
  <c r="CO13" i="157"/>
  <c r="CQ13" i="157" s="1"/>
  <c r="CR13" i="157" s="1"/>
  <c r="CE13" i="157"/>
  <c r="CF13" i="157" s="1"/>
  <c r="BU13" i="157"/>
  <c r="BW13" i="157" s="1"/>
  <c r="BX13" i="157" s="1"/>
  <c r="BK13" i="157"/>
  <c r="BL13" i="157" s="1"/>
  <c r="BA13" i="157"/>
  <c r="BC13" i="157" s="1"/>
  <c r="BD13" i="157" s="1"/>
  <c r="AQ13" i="157"/>
  <c r="AR13" i="157" s="1"/>
  <c r="AG13" i="157"/>
  <c r="X13" i="157"/>
  <c r="N13" i="157"/>
  <c r="D13" i="157"/>
  <c r="B3" i="157"/>
  <c r="B1" i="157"/>
  <c r="AF55" i="6"/>
  <c r="AJ55" i="6" s="1"/>
  <c r="AK55" i="6" s="1"/>
  <c r="AG55" i="6"/>
  <c r="AH55" i="6"/>
  <c r="W55" i="6"/>
  <c r="X55" i="6"/>
  <c r="Y55" i="6"/>
  <c r="N54" i="6"/>
  <c r="O54" i="6"/>
  <c r="G105" i="157" l="1"/>
  <c r="AA55" i="6"/>
  <c r="AB55" i="6" s="1"/>
  <c r="EO62" i="157"/>
  <c r="E81" i="157" s="1"/>
  <c r="P64" i="157"/>
  <c r="E68" i="157" s="1"/>
  <c r="BM62" i="157"/>
  <c r="E73" i="157" s="1"/>
  <c r="BW62" i="157"/>
  <c r="E74" i="157" s="1"/>
  <c r="EY62" i="157"/>
  <c r="E82" i="157" s="1"/>
  <c r="Q50" i="157"/>
  <c r="R50" i="157" s="1"/>
  <c r="FI62" i="157"/>
  <c r="E83" i="157" s="1"/>
  <c r="CG62" i="157"/>
  <c r="E75" i="157" s="1"/>
  <c r="FS62" i="157"/>
  <c r="E84" i="157" s="1"/>
  <c r="DK62" i="157"/>
  <c r="E78" i="157" s="1"/>
  <c r="BW20" i="157"/>
  <c r="BX20" i="157" s="1"/>
  <c r="EO18" i="157"/>
  <c r="EP18" i="157" s="1"/>
  <c r="E95" i="157"/>
  <c r="CQ62" i="157"/>
  <c r="E76" i="157" s="1"/>
  <c r="DA62" i="157"/>
  <c r="E77" i="157" s="1"/>
  <c r="DU62" i="157"/>
  <c r="E79" i="157" s="1"/>
  <c r="EE62" i="157"/>
  <c r="E80" i="157" s="1"/>
  <c r="FR24" i="157"/>
  <c r="BV22" i="157"/>
  <c r="EO14" i="157"/>
  <c r="EP14" i="157" s="1"/>
  <c r="CQ19" i="157"/>
  <c r="CR19" i="157" s="1"/>
  <c r="BL20" i="157"/>
  <c r="BC27" i="157"/>
  <c r="BD27" i="157" s="1"/>
  <c r="EN24" i="157"/>
  <c r="ED29" i="157"/>
  <c r="BV27" i="157"/>
  <c r="EN26" i="157"/>
  <c r="EO29" i="157"/>
  <c r="EP29" i="157" s="1"/>
  <c r="EO16" i="157"/>
  <c r="EP16" i="157" s="1"/>
  <c r="BV21" i="157"/>
  <c r="EE23" i="157"/>
  <c r="EF23" i="157" s="1"/>
  <c r="EE20" i="157"/>
  <c r="EF20" i="157" s="1"/>
  <c r="FR28" i="157"/>
  <c r="AS20" i="157"/>
  <c r="AT20" i="157" s="1"/>
  <c r="FS23" i="157"/>
  <c r="FT23" i="157" s="1"/>
  <c r="BM17" i="157"/>
  <c r="BN17" i="157" s="1"/>
  <c r="ED14" i="157"/>
  <c r="FI20" i="157"/>
  <c r="FJ20" i="157" s="1"/>
  <c r="ED28" i="157"/>
  <c r="BW30" i="157"/>
  <c r="BX30" i="157" s="1"/>
  <c r="ED16" i="157"/>
  <c r="EY19" i="157"/>
  <c r="EZ19" i="157" s="1"/>
  <c r="EE30" i="157"/>
  <c r="EF30" i="157" s="1"/>
  <c r="EY20" i="157"/>
  <c r="EZ20" i="157" s="1"/>
  <c r="DK25" i="157"/>
  <c r="DL25" i="157" s="1"/>
  <c r="ED17" i="157"/>
  <c r="BL22" i="157"/>
  <c r="AS24" i="157"/>
  <c r="AT24" i="157" s="1"/>
  <c r="DU26" i="157"/>
  <c r="DV26" i="157" s="1"/>
  <c r="BM14" i="157"/>
  <c r="BN14" i="157" s="1"/>
  <c r="BM16" i="157"/>
  <c r="BN16" i="157" s="1"/>
  <c r="AR23" i="157"/>
  <c r="FI26" i="157"/>
  <c r="FJ26" i="157" s="1"/>
  <c r="FS29" i="157"/>
  <c r="FT29" i="157" s="1"/>
  <c r="EO25" i="157"/>
  <c r="EP25" i="157" s="1"/>
  <c r="CP17" i="157"/>
  <c r="DU20" i="157"/>
  <c r="DV20" i="157" s="1"/>
  <c r="DU22" i="157"/>
  <c r="DV22" i="157" s="1"/>
  <c r="FI23" i="157"/>
  <c r="FJ23" i="157" s="1"/>
  <c r="EX25" i="157"/>
  <c r="DK27" i="157"/>
  <c r="DL27" i="157" s="1"/>
  <c r="CP29" i="157"/>
  <c r="P30" i="157"/>
  <c r="Q30" i="157" s="1"/>
  <c r="BW23" i="157"/>
  <c r="BX23" i="157" s="1"/>
  <c r="CP26" i="157"/>
  <c r="FH17" i="157"/>
  <c r="CF27" i="157"/>
  <c r="BV17" i="157"/>
  <c r="DJ18" i="157"/>
  <c r="ED25" i="157"/>
  <c r="DU18" i="157"/>
  <c r="DV18" i="157" s="1"/>
  <c r="DJ20" i="157"/>
  <c r="FS21" i="157"/>
  <c r="FT21" i="157" s="1"/>
  <c r="CP13" i="157"/>
  <c r="BM26" i="157"/>
  <c r="BN26" i="157" s="1"/>
  <c r="CG17" i="157"/>
  <c r="CH17" i="157" s="1"/>
  <c r="CF29" i="157"/>
  <c r="ED27" i="157"/>
  <c r="DU17" i="157"/>
  <c r="DV17" i="157" s="1"/>
  <c r="EX18" i="157"/>
  <c r="DA19" i="157"/>
  <c r="DB19" i="157" s="1"/>
  <c r="BB20" i="157"/>
  <c r="EO20" i="157"/>
  <c r="EP20" i="157" s="1"/>
  <c r="FS25" i="157"/>
  <c r="FT25" i="157" s="1"/>
  <c r="DU29" i="157"/>
  <c r="DV29" i="157" s="1"/>
  <c r="DJ16" i="157"/>
  <c r="AR17" i="157"/>
  <c r="BM18" i="157"/>
  <c r="BN18" i="157" s="1"/>
  <c r="CG21" i="157"/>
  <c r="CH21" i="157" s="1"/>
  <c r="DA28" i="157"/>
  <c r="DB28" i="157" s="1"/>
  <c r="AS30" i="157"/>
  <c r="AT30" i="157" s="1"/>
  <c r="EY30" i="157"/>
  <c r="EZ30" i="157" s="1"/>
  <c r="CG24" i="157"/>
  <c r="CH24" i="157" s="1"/>
  <c r="EY28" i="157"/>
  <c r="EZ28" i="157" s="1"/>
  <c r="AS15" i="157"/>
  <c r="AT15" i="157" s="1"/>
  <c r="EO22" i="157"/>
  <c r="EP22" i="157" s="1"/>
  <c r="DA26" i="157"/>
  <c r="DB26" i="157" s="1"/>
  <c r="BV26" i="157"/>
  <c r="DT13" i="157"/>
  <c r="BV16" i="157"/>
  <c r="BL28" i="157"/>
  <c r="AI30" i="157"/>
  <c r="AJ30" i="157" s="1"/>
  <c r="CF25" i="157"/>
  <c r="BV18" i="157"/>
  <c r="FS22" i="157"/>
  <c r="FT22" i="157" s="1"/>
  <c r="CQ20" i="157"/>
  <c r="CR20" i="157" s="1"/>
  <c r="BM24" i="157"/>
  <c r="BN24" i="157" s="1"/>
  <c r="BM29" i="157"/>
  <c r="BN29" i="157" s="1"/>
  <c r="CG30" i="157"/>
  <c r="CH30" i="157" s="1"/>
  <c r="CQ23" i="157"/>
  <c r="CR23" i="157" s="1"/>
  <c r="DU28" i="157"/>
  <c r="DV28" i="157" s="1"/>
  <c r="FR26" i="157"/>
  <c r="CP15" i="157"/>
  <c r="AS16" i="157"/>
  <c r="AT16" i="157" s="1"/>
  <c r="BM13" i="157"/>
  <c r="BN13" i="157" s="1"/>
  <c r="EO13" i="157"/>
  <c r="EP13" i="157" s="1"/>
  <c r="DT15" i="157"/>
  <c r="CP16" i="157"/>
  <c r="FH21" i="157"/>
  <c r="BV13" i="157"/>
  <c r="EX13" i="157"/>
  <c r="BM15" i="157"/>
  <c r="BN15" i="157" s="1"/>
  <c r="CZ16" i="157"/>
  <c r="FI19" i="157"/>
  <c r="FJ19" i="157" s="1"/>
  <c r="DA21" i="157"/>
  <c r="DB21" i="157" s="1"/>
  <c r="EX22" i="157"/>
  <c r="BM23" i="157"/>
  <c r="BN23" i="157" s="1"/>
  <c r="CP24" i="157"/>
  <c r="BV25" i="157"/>
  <c r="AS26" i="157"/>
  <c r="AT26" i="157" s="1"/>
  <c r="FH27" i="157"/>
  <c r="FH29" i="157"/>
  <c r="CP30" i="157"/>
  <c r="FI30" i="157"/>
  <c r="FJ30" i="157" s="1"/>
  <c r="FH13" i="157"/>
  <c r="CG13" i="157"/>
  <c r="CH13" i="157" s="1"/>
  <c r="BV15" i="157"/>
  <c r="ED15" i="157"/>
  <c r="FR19" i="157"/>
  <c r="DJ21" i="157"/>
  <c r="DA24" i="157"/>
  <c r="DB24" i="157" s="1"/>
  <c r="CQ27" i="157"/>
  <c r="CR27" i="157" s="1"/>
  <c r="BV28" i="157"/>
  <c r="FR30" i="157"/>
  <c r="CG14" i="157"/>
  <c r="CH14" i="157" s="1"/>
  <c r="EX14" i="157"/>
  <c r="BB16" i="157"/>
  <c r="DK19" i="157"/>
  <c r="DL19" i="157" s="1"/>
  <c r="AR21" i="157"/>
  <c r="EO23" i="157"/>
  <c r="EP23" i="157" s="1"/>
  <c r="BC30" i="157"/>
  <c r="BD30" i="157" s="1"/>
  <c r="EQ54" i="157"/>
  <c r="D81" i="157" s="1"/>
  <c r="FU54" i="157"/>
  <c r="D84" i="157" s="1"/>
  <c r="BB21" i="157"/>
  <c r="ED21" i="157"/>
  <c r="FH25" i="157"/>
  <c r="BL30" i="157"/>
  <c r="CF15" i="157"/>
  <c r="EX15" i="157"/>
  <c r="AR19" i="157"/>
  <c r="DT19" i="157"/>
  <c r="EX23" i="157"/>
  <c r="DU24" i="157"/>
  <c r="DV24" i="157" s="1"/>
  <c r="BB29" i="157"/>
  <c r="DJ30" i="157"/>
  <c r="DA13" i="157"/>
  <c r="DB13" i="157" s="1"/>
  <c r="FR13" i="157"/>
  <c r="CZ14" i="157"/>
  <c r="CZ22" i="157"/>
  <c r="CQ25" i="157"/>
  <c r="CR25" i="157" s="1"/>
  <c r="CP28" i="157"/>
  <c r="DJ14" i="157"/>
  <c r="FR15" i="157"/>
  <c r="BB19" i="157"/>
  <c r="EX26" i="157"/>
  <c r="DW54" i="157"/>
  <c r="D79" i="157" s="1"/>
  <c r="DA15" i="157"/>
  <c r="DB15" i="157" s="1"/>
  <c r="FI18" i="157"/>
  <c r="FJ18" i="157" s="1"/>
  <c r="EO19" i="157"/>
  <c r="EP19" i="157" s="1"/>
  <c r="EX21" i="157"/>
  <c r="AS22" i="157"/>
  <c r="AT22" i="157" s="1"/>
  <c r="AS13" i="157"/>
  <c r="AT13" i="157" s="1"/>
  <c r="ED13" i="157"/>
  <c r="DU14" i="157"/>
  <c r="DV14" i="157" s="1"/>
  <c r="CZ18" i="157"/>
  <c r="BV19" i="157"/>
  <c r="DA20" i="157"/>
  <c r="DB20" i="157" s="1"/>
  <c r="FR20" i="157"/>
  <c r="EX24" i="157"/>
  <c r="BB25" i="157"/>
  <c r="BM27" i="157"/>
  <c r="BN27" i="157" s="1"/>
  <c r="AS28" i="157"/>
  <c r="AT28" i="157" s="1"/>
  <c r="DK28" i="157"/>
  <c r="DL28" i="157" s="1"/>
  <c r="BV29" i="157"/>
  <c r="Z30" i="157"/>
  <c r="AA30" i="157" s="1"/>
  <c r="DJ17" i="157"/>
  <c r="DJ15" i="157"/>
  <c r="CG16" i="157"/>
  <c r="CH16" i="157" s="1"/>
  <c r="EX16" i="157"/>
  <c r="BB17" i="157"/>
  <c r="BB22" i="157"/>
  <c r="DK23" i="157"/>
  <c r="DL23" i="157" s="1"/>
  <c r="BL19" i="157"/>
  <c r="BM19" i="157"/>
  <c r="BN19" i="157" s="1"/>
  <c r="DJ13" i="157"/>
  <c r="CP14" i="157"/>
  <c r="EE18" i="157"/>
  <c r="EF18" i="157" s="1"/>
  <c r="ED18" i="157"/>
  <c r="DK26" i="157"/>
  <c r="DL26" i="157" s="1"/>
  <c r="DJ26" i="157"/>
  <c r="CF22" i="157"/>
  <c r="CG22" i="157"/>
  <c r="CH22" i="157" s="1"/>
  <c r="EE24" i="157"/>
  <c r="EF24" i="157" s="1"/>
  <c r="ED24" i="157"/>
  <c r="BC26" i="157"/>
  <c r="BD26" i="157" s="1"/>
  <c r="BB26" i="157"/>
  <c r="AS14" i="157"/>
  <c r="AT14" i="157" s="1"/>
  <c r="FI16" i="157"/>
  <c r="FJ16" i="157" s="1"/>
  <c r="EO17" i="157"/>
  <c r="EP17" i="157" s="1"/>
  <c r="ED19" i="157"/>
  <c r="FH22" i="157"/>
  <c r="FI22" i="157"/>
  <c r="FJ22" i="157" s="1"/>
  <c r="E30" i="157"/>
  <c r="F30" i="157"/>
  <c r="G30" i="157" s="1"/>
  <c r="EX17" i="157"/>
  <c r="CG18" i="157"/>
  <c r="CH18" i="157" s="1"/>
  <c r="CF20" i="157"/>
  <c r="CG20" i="157"/>
  <c r="CH20" i="157" s="1"/>
  <c r="BB23" i="157"/>
  <c r="DU23" i="157"/>
  <c r="DV23" i="157" s="1"/>
  <c r="DT23" i="157"/>
  <c r="CZ25" i="157"/>
  <c r="DA25" i="157"/>
  <c r="DB25" i="157" s="1"/>
  <c r="EE26" i="157"/>
  <c r="EF26" i="157" s="1"/>
  <c r="EO27" i="157"/>
  <c r="EP27" i="157" s="1"/>
  <c r="BB14" i="157"/>
  <c r="FR16" i="157"/>
  <c r="CQ18" i="157"/>
  <c r="CR18" i="157" s="1"/>
  <c r="CP18" i="157"/>
  <c r="CG19" i="157"/>
  <c r="CH19" i="157" s="1"/>
  <c r="FI14" i="157"/>
  <c r="FJ14" i="157" s="1"/>
  <c r="EO15" i="157"/>
  <c r="EP15" i="157" s="1"/>
  <c r="DU16" i="157"/>
  <c r="DV16" i="157" s="1"/>
  <c r="DA17" i="157"/>
  <c r="DB17" i="157" s="1"/>
  <c r="CQ21" i="157"/>
  <c r="CR21" i="157" s="1"/>
  <c r="DK22" i="157"/>
  <c r="DL22" i="157" s="1"/>
  <c r="DJ22" i="157"/>
  <c r="BC28" i="157"/>
  <c r="BD28" i="157" s="1"/>
  <c r="BB28" i="157"/>
  <c r="DU25" i="157"/>
  <c r="DV25" i="157" s="1"/>
  <c r="DT25" i="157"/>
  <c r="CF26" i="157"/>
  <c r="CG26" i="157"/>
  <c r="CH26" i="157" s="1"/>
  <c r="EO30" i="157"/>
  <c r="EP30" i="157" s="1"/>
  <c r="EN30" i="157"/>
  <c r="FR14" i="157"/>
  <c r="AS18" i="157"/>
  <c r="AT18" i="157" s="1"/>
  <c r="AS27" i="157"/>
  <c r="AT27" i="157" s="1"/>
  <c r="AR27" i="157"/>
  <c r="CZ27" i="157"/>
  <c r="DA27" i="157"/>
  <c r="DB27" i="157" s="1"/>
  <c r="FA54" i="157"/>
  <c r="D82" i="157" s="1"/>
  <c r="EY29" i="157"/>
  <c r="EZ29" i="157" s="1"/>
  <c r="EX29" i="157"/>
  <c r="BV14" i="157"/>
  <c r="BB15" i="157"/>
  <c r="FH15" i="157"/>
  <c r="FR17" i="157"/>
  <c r="FS18" i="157"/>
  <c r="FT18" i="157" s="1"/>
  <c r="FR18" i="157"/>
  <c r="EE22" i="157"/>
  <c r="EF22" i="157" s="1"/>
  <c r="ED22" i="157"/>
  <c r="F62" i="157"/>
  <c r="E67" i="157" s="1"/>
  <c r="BE54" i="157"/>
  <c r="D72" i="157" s="1"/>
  <c r="AU54" i="157"/>
  <c r="D71" i="157" s="1"/>
  <c r="AT31" i="157"/>
  <c r="C71" i="157" s="1"/>
  <c r="AI64" i="157"/>
  <c r="E70" i="157" s="1"/>
  <c r="Z64" i="157"/>
  <c r="E69" i="157" s="1"/>
  <c r="BC62" i="157"/>
  <c r="E72" i="157" s="1"/>
  <c r="AS62" i="157"/>
  <c r="E71" i="157" s="1"/>
  <c r="BD31" i="157"/>
  <c r="C72" i="157" s="1"/>
  <c r="BC18" i="157"/>
  <c r="BD18" i="157" s="1"/>
  <c r="BB18" i="157"/>
  <c r="BB13" i="157"/>
  <c r="DU21" i="157"/>
  <c r="DV21" i="157" s="1"/>
  <c r="DK24" i="157"/>
  <c r="DL24" i="157" s="1"/>
  <c r="DJ24" i="157"/>
  <c r="FK54" i="157"/>
  <c r="D83" i="157" s="1"/>
  <c r="DU27" i="157"/>
  <c r="DV27" i="157" s="1"/>
  <c r="AS29" i="157"/>
  <c r="AT29" i="157" s="1"/>
  <c r="AR29" i="157"/>
  <c r="CZ29" i="157"/>
  <c r="DA29" i="157"/>
  <c r="DB29" i="157" s="1"/>
  <c r="CQ22" i="157"/>
  <c r="CR22" i="157" s="1"/>
  <c r="CG23" i="157"/>
  <c r="CH23" i="157" s="1"/>
  <c r="BW24" i="157"/>
  <c r="BX24" i="157" s="1"/>
  <c r="FS27" i="157"/>
  <c r="FT27" i="157" s="1"/>
  <c r="DK29" i="157"/>
  <c r="DL29" i="157" s="1"/>
  <c r="DA30" i="157"/>
  <c r="DB30" i="157" s="1"/>
  <c r="EG54" i="157"/>
  <c r="D80" i="157" s="1"/>
  <c r="BM21" i="157"/>
  <c r="BN21" i="157" s="1"/>
  <c r="FI24" i="157"/>
  <c r="FJ24" i="157" s="1"/>
  <c r="CG28" i="157"/>
  <c r="CH28" i="157" s="1"/>
  <c r="DC54" i="157"/>
  <c r="D77" i="157" s="1"/>
  <c r="BY54" i="157"/>
  <c r="D74" i="157" s="1"/>
  <c r="DM54" i="157"/>
  <c r="D78" i="157" s="1"/>
  <c r="DA23" i="157"/>
  <c r="DB23" i="157" s="1"/>
  <c r="BB24" i="157"/>
  <c r="AR25" i="157"/>
  <c r="EX27" i="157"/>
  <c r="EN28" i="157"/>
  <c r="DU30" i="157"/>
  <c r="DV30" i="157" s="1"/>
  <c r="CI54" i="157"/>
  <c r="D75" i="157" s="1"/>
  <c r="CS54" i="157"/>
  <c r="D76" i="157" s="1"/>
  <c r="EO21" i="157"/>
  <c r="EP21" i="157" s="1"/>
  <c r="BM25" i="157"/>
  <c r="BN25" i="157" s="1"/>
  <c r="FI28" i="157"/>
  <c r="FJ28" i="157" s="1"/>
  <c r="BO54" i="157"/>
  <c r="D73" i="157" s="1"/>
  <c r="Q54" i="6"/>
  <c r="R54" i="6" s="1"/>
  <c r="FT31" i="157" l="1"/>
  <c r="C84" i="157" s="1"/>
  <c r="F84" i="157" s="1"/>
  <c r="EZ31" i="157"/>
  <c r="C82" i="157" s="1"/>
  <c r="F82" i="157" s="1"/>
  <c r="DL31" i="157"/>
  <c r="C78" i="157" s="1"/>
  <c r="F78" i="157" s="1"/>
  <c r="BX31" i="157"/>
  <c r="C74" i="157" s="1"/>
  <c r="F74" i="157" s="1"/>
  <c r="DB31" i="157"/>
  <c r="C77" i="157" s="1"/>
  <c r="F77" i="157" s="1"/>
  <c r="BN31" i="157"/>
  <c r="C73" i="157" s="1"/>
  <c r="F73" i="157" s="1"/>
  <c r="DV31" i="157"/>
  <c r="C79" i="157" s="1"/>
  <c r="F79" i="157" s="1"/>
  <c r="EP31" i="157"/>
  <c r="C81" i="157" s="1"/>
  <c r="F81" i="157" s="1"/>
  <c r="FJ31" i="157"/>
  <c r="C83" i="157" s="1"/>
  <c r="F83" i="157" s="1"/>
  <c r="EF31" i="157"/>
  <c r="C80" i="157" s="1"/>
  <c r="F80" i="157" s="1"/>
  <c r="CR31" i="157"/>
  <c r="C76" i="157" s="1"/>
  <c r="F76" i="157" s="1"/>
  <c r="CH31" i="157"/>
  <c r="C75" i="157" s="1"/>
  <c r="F75" i="157" s="1"/>
  <c r="F71" i="157"/>
  <c r="E85" i="157"/>
  <c r="F72" i="157"/>
  <c r="F6" i="2" l="1"/>
  <c r="F8" i="2"/>
  <c r="F9" i="2"/>
  <c r="F10" i="2"/>
  <c r="F11" i="2"/>
  <c r="F12" i="2"/>
  <c r="F13" i="2"/>
  <c r="F14" i="2"/>
  <c r="F15" i="2"/>
  <c r="F16" i="2"/>
  <c r="F17" i="2"/>
  <c r="F18" i="2"/>
  <c r="F19" i="2"/>
  <c r="F20" i="2"/>
  <c r="F21" i="2"/>
  <c r="F22" i="2"/>
  <c r="F23" i="2"/>
  <c r="F24" i="2"/>
  <c r="F25" i="2"/>
  <c r="F26" i="2"/>
  <c r="F27" i="2"/>
  <c r="F28" i="2"/>
  <c r="F29"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30" i="2"/>
  <c r="H20" i="96" l="1"/>
  <c r="G20" i="73"/>
  <c r="G20" i="72"/>
  <c r="D36" i="4"/>
  <c r="G20" i="74"/>
  <c r="D34" i="4"/>
  <c r="G20" i="71"/>
  <c r="D32" i="4"/>
  <c r="D31" i="4" l="1"/>
  <c r="F62" i="154" l="1"/>
  <c r="F61" i="154"/>
  <c r="F60" i="154"/>
  <c r="G54" i="154"/>
  <c r="F54" i="154"/>
  <c r="E54" i="154"/>
  <c r="D54" i="154"/>
  <c r="G53" i="154"/>
  <c r="F53" i="154"/>
  <c r="E53" i="154"/>
  <c r="D53" i="154"/>
  <c r="G52" i="154"/>
  <c r="F52" i="154"/>
  <c r="E52" i="154"/>
  <c r="D52" i="154"/>
  <c r="G51" i="154"/>
  <c r="F51" i="154"/>
  <c r="E51" i="154"/>
  <c r="D51" i="154"/>
  <c r="G50" i="154"/>
  <c r="F50" i="154"/>
  <c r="E50" i="154"/>
  <c r="D50" i="154"/>
  <c r="L46" i="154"/>
  <c r="M46" i="154" s="1"/>
  <c r="G46" i="154"/>
  <c r="N46" i="154" s="1"/>
  <c r="F46" i="154"/>
  <c r="E46" i="154"/>
  <c r="C46" i="154"/>
  <c r="L45" i="154"/>
  <c r="M45" i="154" s="1"/>
  <c r="G45" i="154"/>
  <c r="N45" i="154" s="1"/>
  <c r="F45" i="154"/>
  <c r="E45" i="154"/>
  <c r="C45" i="154"/>
  <c r="L44" i="154"/>
  <c r="M44" i="154" s="1"/>
  <c r="G44" i="154"/>
  <c r="N44" i="154" s="1"/>
  <c r="F44" i="154"/>
  <c r="E44" i="154"/>
  <c r="C44" i="154"/>
  <c r="L43" i="154"/>
  <c r="M43" i="154" s="1"/>
  <c r="G43" i="154"/>
  <c r="N43" i="154" s="1"/>
  <c r="F43" i="154"/>
  <c r="E43" i="154"/>
  <c r="C43" i="154"/>
  <c r="L42" i="154"/>
  <c r="M42" i="154" s="1"/>
  <c r="G42" i="154"/>
  <c r="N42" i="154" s="1"/>
  <c r="F42" i="154"/>
  <c r="E42" i="154"/>
  <c r="C42" i="154"/>
  <c r="M38" i="154"/>
  <c r="L38" i="154"/>
  <c r="G38" i="154"/>
  <c r="E38" i="154"/>
  <c r="C38" i="154"/>
  <c r="M37" i="154"/>
  <c r="L37" i="154"/>
  <c r="G37" i="154"/>
  <c r="E37" i="154"/>
  <c r="C37" i="154"/>
  <c r="M36" i="154"/>
  <c r="L36" i="154"/>
  <c r="G36" i="154"/>
  <c r="E36" i="154"/>
  <c r="C36" i="154"/>
  <c r="M35" i="154"/>
  <c r="L35" i="154"/>
  <c r="G35" i="154"/>
  <c r="E35" i="154"/>
  <c r="C35" i="154"/>
  <c r="M34" i="154"/>
  <c r="L34" i="154"/>
  <c r="G34" i="154"/>
  <c r="E34" i="154"/>
  <c r="C34" i="154"/>
  <c r="M33" i="154"/>
  <c r="L33" i="154"/>
  <c r="G33" i="154"/>
  <c r="E33" i="154"/>
  <c r="C33" i="154"/>
  <c r="M32" i="154"/>
  <c r="L32" i="154"/>
  <c r="G32" i="154"/>
  <c r="E32" i="154"/>
  <c r="C32" i="154"/>
  <c r="M31" i="154"/>
  <c r="L31" i="154"/>
  <c r="G31" i="154"/>
  <c r="E31" i="154"/>
  <c r="C31" i="154"/>
  <c r="L27" i="154"/>
  <c r="M27" i="154" s="1"/>
  <c r="G27" i="154"/>
  <c r="N27" i="154" s="1"/>
  <c r="F27" i="154"/>
  <c r="E27" i="154"/>
  <c r="C27" i="154"/>
  <c r="L26" i="154"/>
  <c r="M26" i="154" s="1"/>
  <c r="G26" i="154"/>
  <c r="N26" i="154" s="1"/>
  <c r="F26" i="154"/>
  <c r="E26" i="154"/>
  <c r="C26" i="154"/>
  <c r="L25" i="154"/>
  <c r="M25" i="154" s="1"/>
  <c r="G25" i="154"/>
  <c r="N25" i="154" s="1"/>
  <c r="F25" i="154"/>
  <c r="E25" i="154"/>
  <c r="C25" i="154"/>
  <c r="L24" i="154"/>
  <c r="M24" i="154" s="1"/>
  <c r="G24" i="154"/>
  <c r="N24" i="154" s="1"/>
  <c r="F24" i="154"/>
  <c r="E24" i="154"/>
  <c r="C24" i="154"/>
  <c r="L23" i="154"/>
  <c r="M23" i="154" s="1"/>
  <c r="G23" i="154"/>
  <c r="F23" i="154"/>
  <c r="E23" i="154"/>
  <c r="C23" i="154"/>
  <c r="G19" i="154"/>
  <c r="B16" i="154"/>
  <c r="B3" i="154"/>
  <c r="B2" i="154"/>
  <c r="B1" i="154"/>
  <c r="F62" i="153"/>
  <c r="F61" i="153"/>
  <c r="F60" i="153"/>
  <c r="G54" i="153"/>
  <c r="F54" i="153"/>
  <c r="E54" i="153"/>
  <c r="D54" i="153"/>
  <c r="G53" i="153"/>
  <c r="F53" i="153"/>
  <c r="E53" i="153"/>
  <c r="D53" i="153"/>
  <c r="G52" i="153"/>
  <c r="F52" i="153"/>
  <c r="E52" i="153"/>
  <c r="D52" i="153"/>
  <c r="G51" i="153"/>
  <c r="F51" i="153"/>
  <c r="E51" i="153"/>
  <c r="D51" i="153"/>
  <c r="G50" i="153"/>
  <c r="F50" i="153"/>
  <c r="E50" i="153"/>
  <c r="D50" i="153"/>
  <c r="L46" i="153"/>
  <c r="M46" i="153" s="1"/>
  <c r="G46" i="153"/>
  <c r="N46" i="153" s="1"/>
  <c r="F46" i="153"/>
  <c r="E46" i="153"/>
  <c r="C46" i="153"/>
  <c r="L45" i="153"/>
  <c r="M45" i="153" s="1"/>
  <c r="G45" i="153"/>
  <c r="N45" i="153" s="1"/>
  <c r="F45" i="153"/>
  <c r="E45" i="153"/>
  <c r="C45" i="153"/>
  <c r="L44" i="153"/>
  <c r="M44" i="153" s="1"/>
  <c r="G44" i="153"/>
  <c r="N44" i="153" s="1"/>
  <c r="F44" i="153"/>
  <c r="E44" i="153"/>
  <c r="C44" i="153"/>
  <c r="L43" i="153"/>
  <c r="M43" i="153" s="1"/>
  <c r="G43" i="153"/>
  <c r="N43" i="153" s="1"/>
  <c r="F43" i="153"/>
  <c r="E43" i="153"/>
  <c r="C43" i="153"/>
  <c r="L42" i="153"/>
  <c r="M42" i="153" s="1"/>
  <c r="G42" i="153"/>
  <c r="N42" i="153" s="1"/>
  <c r="F42" i="153"/>
  <c r="E42" i="153"/>
  <c r="C42" i="153"/>
  <c r="M38" i="153"/>
  <c r="L38" i="153"/>
  <c r="G38" i="153"/>
  <c r="E38" i="153"/>
  <c r="C38" i="153"/>
  <c r="M37" i="153"/>
  <c r="L37" i="153"/>
  <c r="G37" i="153"/>
  <c r="E37" i="153"/>
  <c r="C37" i="153"/>
  <c r="M36" i="153"/>
  <c r="L36" i="153"/>
  <c r="G36" i="153"/>
  <c r="E36" i="153"/>
  <c r="C36" i="153"/>
  <c r="M35" i="153"/>
  <c r="L35" i="153"/>
  <c r="G35" i="153"/>
  <c r="E35" i="153"/>
  <c r="C35" i="153"/>
  <c r="M34" i="153"/>
  <c r="L34" i="153"/>
  <c r="G34" i="153"/>
  <c r="E34" i="153"/>
  <c r="C34" i="153"/>
  <c r="M33" i="153"/>
  <c r="L33" i="153"/>
  <c r="G33" i="153"/>
  <c r="E33" i="153"/>
  <c r="C33" i="153"/>
  <c r="M32" i="153"/>
  <c r="L32" i="153"/>
  <c r="G32" i="153"/>
  <c r="E32" i="153"/>
  <c r="C32" i="153"/>
  <c r="M31" i="153"/>
  <c r="L31" i="153"/>
  <c r="G31" i="153"/>
  <c r="E31" i="153"/>
  <c r="C31" i="153"/>
  <c r="L27" i="153"/>
  <c r="M27" i="153" s="1"/>
  <c r="G27" i="153"/>
  <c r="N27" i="153" s="1"/>
  <c r="F27" i="153"/>
  <c r="E27" i="153"/>
  <c r="C27" i="153"/>
  <c r="L26" i="153"/>
  <c r="M26" i="153" s="1"/>
  <c r="G26" i="153"/>
  <c r="N26" i="153" s="1"/>
  <c r="F26" i="153"/>
  <c r="E26" i="153"/>
  <c r="C26" i="153"/>
  <c r="L25" i="153"/>
  <c r="M25" i="153" s="1"/>
  <c r="G25" i="153"/>
  <c r="N25" i="153" s="1"/>
  <c r="F25" i="153"/>
  <c r="E25" i="153"/>
  <c r="C25" i="153"/>
  <c r="L24" i="153"/>
  <c r="M24" i="153" s="1"/>
  <c r="G24" i="153"/>
  <c r="N24" i="153" s="1"/>
  <c r="F24" i="153"/>
  <c r="E24" i="153"/>
  <c r="C24" i="153"/>
  <c r="L23" i="153"/>
  <c r="M23" i="153" s="1"/>
  <c r="G23" i="153"/>
  <c r="N23" i="153" s="1"/>
  <c r="F23" i="153"/>
  <c r="E23" i="153"/>
  <c r="C23" i="153"/>
  <c r="G19" i="153"/>
  <c r="B16" i="153"/>
  <c r="B3" i="153"/>
  <c r="B2" i="153"/>
  <c r="B1" i="153"/>
  <c r="F62" i="152"/>
  <c r="F61" i="152"/>
  <c r="F60" i="152"/>
  <c r="G54" i="152"/>
  <c r="F54" i="152"/>
  <c r="E54" i="152"/>
  <c r="D54" i="152"/>
  <c r="G53" i="152"/>
  <c r="F53" i="152"/>
  <c r="E53" i="152"/>
  <c r="D53" i="152"/>
  <c r="G52" i="152"/>
  <c r="F52" i="152"/>
  <c r="E52" i="152"/>
  <c r="D52" i="152"/>
  <c r="G51" i="152"/>
  <c r="F51" i="152"/>
  <c r="E51" i="152"/>
  <c r="D51" i="152"/>
  <c r="G50" i="152"/>
  <c r="F50" i="152"/>
  <c r="E50" i="152"/>
  <c r="D50" i="152"/>
  <c r="L46" i="152"/>
  <c r="M46" i="152" s="1"/>
  <c r="G46" i="152"/>
  <c r="N46" i="152" s="1"/>
  <c r="F46" i="152"/>
  <c r="E46" i="152"/>
  <c r="C46" i="152"/>
  <c r="L45" i="152"/>
  <c r="M45" i="152" s="1"/>
  <c r="G45" i="152"/>
  <c r="N45" i="152" s="1"/>
  <c r="F45" i="152"/>
  <c r="E45" i="152"/>
  <c r="C45" i="152"/>
  <c r="L44" i="152"/>
  <c r="M44" i="152" s="1"/>
  <c r="G44" i="152"/>
  <c r="N44" i="152" s="1"/>
  <c r="F44" i="152"/>
  <c r="E44" i="152"/>
  <c r="C44" i="152"/>
  <c r="L43" i="152"/>
  <c r="M43" i="152" s="1"/>
  <c r="G43" i="152"/>
  <c r="N43" i="152" s="1"/>
  <c r="F43" i="152"/>
  <c r="E43" i="152"/>
  <c r="C43" i="152"/>
  <c r="L42" i="152"/>
  <c r="M42" i="152" s="1"/>
  <c r="G42" i="152"/>
  <c r="N42" i="152" s="1"/>
  <c r="F42" i="152"/>
  <c r="E42" i="152"/>
  <c r="C42" i="152"/>
  <c r="M38" i="152"/>
  <c r="L38" i="152"/>
  <c r="G38" i="152"/>
  <c r="E38" i="152"/>
  <c r="C38" i="152"/>
  <c r="M37" i="152"/>
  <c r="L37" i="152"/>
  <c r="G37" i="152"/>
  <c r="E37" i="152"/>
  <c r="C37" i="152"/>
  <c r="M36" i="152"/>
  <c r="L36" i="152"/>
  <c r="G36" i="152"/>
  <c r="E36" i="152"/>
  <c r="C36" i="152"/>
  <c r="M35" i="152"/>
  <c r="L35" i="152"/>
  <c r="G35" i="152"/>
  <c r="E35" i="152"/>
  <c r="C35" i="152"/>
  <c r="M34" i="152"/>
  <c r="L34" i="152"/>
  <c r="G34" i="152"/>
  <c r="E34" i="152"/>
  <c r="C34" i="152"/>
  <c r="M33" i="152"/>
  <c r="L33" i="152"/>
  <c r="G33" i="152"/>
  <c r="E33" i="152"/>
  <c r="C33" i="152"/>
  <c r="M32" i="152"/>
  <c r="L32" i="152"/>
  <c r="G32" i="152"/>
  <c r="E32" i="152"/>
  <c r="C32" i="152"/>
  <c r="M31" i="152"/>
  <c r="L31" i="152"/>
  <c r="G31" i="152"/>
  <c r="E31" i="152"/>
  <c r="C31" i="152"/>
  <c r="L27" i="152"/>
  <c r="M27" i="152" s="1"/>
  <c r="G27" i="152"/>
  <c r="N27" i="152" s="1"/>
  <c r="F27" i="152"/>
  <c r="E27" i="152"/>
  <c r="C27" i="152"/>
  <c r="L26" i="152"/>
  <c r="M26" i="152" s="1"/>
  <c r="G26" i="152"/>
  <c r="N26" i="152" s="1"/>
  <c r="F26" i="152"/>
  <c r="E26" i="152"/>
  <c r="C26" i="152"/>
  <c r="L25" i="152"/>
  <c r="M25" i="152" s="1"/>
  <c r="G25" i="152"/>
  <c r="N25" i="152" s="1"/>
  <c r="F25" i="152"/>
  <c r="E25" i="152"/>
  <c r="C25" i="152"/>
  <c r="L24" i="152"/>
  <c r="M24" i="152" s="1"/>
  <c r="G24" i="152"/>
  <c r="N24" i="152" s="1"/>
  <c r="F24" i="152"/>
  <c r="E24" i="152"/>
  <c r="C24" i="152"/>
  <c r="L23" i="152"/>
  <c r="M23" i="152" s="1"/>
  <c r="G23" i="152"/>
  <c r="N23" i="152" s="1"/>
  <c r="F23" i="152"/>
  <c r="E23" i="152"/>
  <c r="C23" i="152"/>
  <c r="G19" i="152"/>
  <c r="B16" i="152"/>
  <c r="B3" i="152"/>
  <c r="B2" i="152"/>
  <c r="B1" i="152"/>
  <c r="F62" i="151"/>
  <c r="F61" i="151"/>
  <c r="F60" i="151"/>
  <c r="G54" i="151"/>
  <c r="F54" i="151"/>
  <c r="E54" i="151"/>
  <c r="D54" i="151"/>
  <c r="G53" i="151"/>
  <c r="F53" i="151"/>
  <c r="E53" i="151"/>
  <c r="D53" i="151"/>
  <c r="G52" i="151"/>
  <c r="F52" i="151"/>
  <c r="E52" i="151"/>
  <c r="D52" i="151"/>
  <c r="G51" i="151"/>
  <c r="F51" i="151"/>
  <c r="E51" i="151"/>
  <c r="D51" i="151"/>
  <c r="G50" i="151"/>
  <c r="F50" i="151"/>
  <c r="E50" i="151"/>
  <c r="D50" i="151"/>
  <c r="L46" i="151"/>
  <c r="M46" i="151" s="1"/>
  <c r="G46" i="151"/>
  <c r="N46" i="151" s="1"/>
  <c r="F46" i="151"/>
  <c r="E46" i="151"/>
  <c r="C46" i="151"/>
  <c r="L45" i="151"/>
  <c r="M45" i="151" s="1"/>
  <c r="G45" i="151"/>
  <c r="N45" i="151" s="1"/>
  <c r="F45" i="151"/>
  <c r="E45" i="151"/>
  <c r="C45" i="151"/>
  <c r="L44" i="151"/>
  <c r="M44" i="151" s="1"/>
  <c r="G44" i="151"/>
  <c r="F44" i="151"/>
  <c r="E44" i="151"/>
  <c r="C44" i="151"/>
  <c r="L43" i="151"/>
  <c r="M43" i="151" s="1"/>
  <c r="G43" i="151"/>
  <c r="N43" i="151" s="1"/>
  <c r="F43" i="151"/>
  <c r="E43" i="151"/>
  <c r="C43" i="151"/>
  <c r="L42" i="151"/>
  <c r="M42" i="151" s="1"/>
  <c r="G42" i="151"/>
  <c r="N42" i="151" s="1"/>
  <c r="F42" i="151"/>
  <c r="E42" i="151"/>
  <c r="C42" i="151"/>
  <c r="M38" i="151"/>
  <c r="L38" i="151"/>
  <c r="G38" i="151"/>
  <c r="E38" i="151"/>
  <c r="C38" i="151"/>
  <c r="M37" i="151"/>
  <c r="L37" i="151"/>
  <c r="G37" i="151"/>
  <c r="E37" i="151"/>
  <c r="C37" i="151"/>
  <c r="M36" i="151"/>
  <c r="L36" i="151"/>
  <c r="G36" i="151"/>
  <c r="E36" i="151"/>
  <c r="C36" i="151"/>
  <c r="M35" i="151"/>
  <c r="L35" i="151"/>
  <c r="G35" i="151"/>
  <c r="E35" i="151"/>
  <c r="C35" i="151"/>
  <c r="M34" i="151"/>
  <c r="L34" i="151"/>
  <c r="G34" i="151"/>
  <c r="E34" i="151"/>
  <c r="C34" i="151"/>
  <c r="M33" i="151"/>
  <c r="L33" i="151"/>
  <c r="G33" i="151"/>
  <c r="E33" i="151"/>
  <c r="C33" i="151"/>
  <c r="M32" i="151"/>
  <c r="L32" i="151"/>
  <c r="G32" i="151"/>
  <c r="E32" i="151"/>
  <c r="C32" i="151"/>
  <c r="M31" i="151"/>
  <c r="L31" i="151"/>
  <c r="G31" i="151"/>
  <c r="E31" i="151"/>
  <c r="C31" i="151"/>
  <c r="L27" i="151"/>
  <c r="M27" i="151" s="1"/>
  <c r="G27" i="151"/>
  <c r="N27" i="151" s="1"/>
  <c r="F27" i="151"/>
  <c r="E27" i="151"/>
  <c r="C27" i="151"/>
  <c r="L26" i="151"/>
  <c r="M26" i="151" s="1"/>
  <c r="G26" i="151"/>
  <c r="N26" i="151" s="1"/>
  <c r="F26" i="151"/>
  <c r="E26" i="151"/>
  <c r="C26" i="151"/>
  <c r="L25" i="151"/>
  <c r="M25" i="151" s="1"/>
  <c r="G25" i="151"/>
  <c r="N25" i="151" s="1"/>
  <c r="F25" i="151"/>
  <c r="E25" i="151"/>
  <c r="C25" i="151"/>
  <c r="L24" i="151"/>
  <c r="M24" i="151" s="1"/>
  <c r="G24" i="151"/>
  <c r="N24" i="151" s="1"/>
  <c r="F24" i="151"/>
  <c r="E24" i="151"/>
  <c r="C24" i="151"/>
  <c r="L23" i="151"/>
  <c r="M23" i="151" s="1"/>
  <c r="G23" i="151"/>
  <c r="N23" i="151" s="1"/>
  <c r="F23" i="151"/>
  <c r="E23" i="151"/>
  <c r="C23" i="151"/>
  <c r="G19" i="151"/>
  <c r="B16" i="151"/>
  <c r="B3" i="151"/>
  <c r="B2" i="151"/>
  <c r="B1" i="151"/>
  <c r="F62" i="150"/>
  <c r="F61" i="150"/>
  <c r="F60" i="150"/>
  <c r="G54" i="150"/>
  <c r="F54" i="150"/>
  <c r="E54" i="150"/>
  <c r="D54" i="150"/>
  <c r="G53" i="150"/>
  <c r="F53" i="150"/>
  <c r="E53" i="150"/>
  <c r="D53" i="150"/>
  <c r="G52" i="150"/>
  <c r="F52" i="150"/>
  <c r="E52" i="150"/>
  <c r="D52" i="150"/>
  <c r="G51" i="150"/>
  <c r="F51" i="150"/>
  <c r="E51" i="150"/>
  <c r="D51" i="150"/>
  <c r="G50" i="150"/>
  <c r="F50" i="150"/>
  <c r="E50" i="150"/>
  <c r="D50" i="150"/>
  <c r="L46" i="150"/>
  <c r="M46" i="150" s="1"/>
  <c r="G46" i="150"/>
  <c r="N46" i="150" s="1"/>
  <c r="F46" i="150"/>
  <c r="E46" i="150"/>
  <c r="C46" i="150"/>
  <c r="L45" i="150"/>
  <c r="M45" i="150" s="1"/>
  <c r="G45" i="150"/>
  <c r="N45" i="150" s="1"/>
  <c r="F45" i="150"/>
  <c r="E45" i="150"/>
  <c r="C45" i="150"/>
  <c r="L44" i="150"/>
  <c r="M44" i="150" s="1"/>
  <c r="G44" i="150"/>
  <c r="N44" i="150" s="1"/>
  <c r="F44" i="150"/>
  <c r="E44" i="150"/>
  <c r="C44" i="150"/>
  <c r="L43" i="150"/>
  <c r="M43" i="150" s="1"/>
  <c r="G43" i="150"/>
  <c r="F43" i="150"/>
  <c r="E43" i="150"/>
  <c r="C43" i="150"/>
  <c r="L42" i="150"/>
  <c r="M42" i="150" s="1"/>
  <c r="G42" i="150"/>
  <c r="N42" i="150" s="1"/>
  <c r="F42" i="150"/>
  <c r="E42" i="150"/>
  <c r="C42" i="150"/>
  <c r="M38" i="150"/>
  <c r="L38" i="150"/>
  <c r="G38" i="150"/>
  <c r="E38" i="150"/>
  <c r="C38" i="150"/>
  <c r="M37" i="150"/>
  <c r="L37" i="150"/>
  <c r="G37" i="150"/>
  <c r="E37" i="150"/>
  <c r="C37" i="150"/>
  <c r="M36" i="150"/>
  <c r="L36" i="150"/>
  <c r="G36" i="150"/>
  <c r="E36" i="150"/>
  <c r="C36" i="150"/>
  <c r="M35" i="150"/>
  <c r="L35" i="150"/>
  <c r="G35" i="150"/>
  <c r="E35" i="150"/>
  <c r="C35" i="150"/>
  <c r="M34" i="150"/>
  <c r="L34" i="150"/>
  <c r="G34" i="150"/>
  <c r="E34" i="150"/>
  <c r="C34" i="150"/>
  <c r="M33" i="150"/>
  <c r="L33" i="150"/>
  <c r="G33" i="150"/>
  <c r="E33" i="150"/>
  <c r="C33" i="150"/>
  <c r="M32" i="150"/>
  <c r="L32" i="150"/>
  <c r="G32" i="150"/>
  <c r="E32" i="150"/>
  <c r="C32" i="150"/>
  <c r="M31" i="150"/>
  <c r="L31" i="150"/>
  <c r="G31" i="150"/>
  <c r="E31" i="150"/>
  <c r="C31" i="150"/>
  <c r="L27" i="150"/>
  <c r="M27" i="150" s="1"/>
  <c r="G27" i="150"/>
  <c r="N27" i="150" s="1"/>
  <c r="F27" i="150"/>
  <c r="E27" i="150"/>
  <c r="C27" i="150"/>
  <c r="L26" i="150"/>
  <c r="M26" i="150" s="1"/>
  <c r="G26" i="150"/>
  <c r="N26" i="150" s="1"/>
  <c r="F26" i="150"/>
  <c r="E26" i="150"/>
  <c r="C26" i="150"/>
  <c r="L25" i="150"/>
  <c r="M25" i="150" s="1"/>
  <c r="G25" i="150"/>
  <c r="N25" i="150" s="1"/>
  <c r="F25" i="150"/>
  <c r="E25" i="150"/>
  <c r="C25" i="150"/>
  <c r="L24" i="150"/>
  <c r="M24" i="150" s="1"/>
  <c r="G24" i="150"/>
  <c r="N24" i="150" s="1"/>
  <c r="F24" i="150"/>
  <c r="E24" i="150"/>
  <c r="C24" i="150"/>
  <c r="L23" i="150"/>
  <c r="M23" i="150" s="1"/>
  <c r="G23" i="150"/>
  <c r="N23" i="150" s="1"/>
  <c r="F23" i="150"/>
  <c r="E23" i="150"/>
  <c r="C23" i="150"/>
  <c r="G19" i="150"/>
  <c r="B16" i="150"/>
  <c r="B3" i="150"/>
  <c r="B2" i="150"/>
  <c r="B1" i="150"/>
  <c r="F62" i="149"/>
  <c r="F61" i="149"/>
  <c r="F60" i="149"/>
  <c r="G54" i="149"/>
  <c r="F54" i="149"/>
  <c r="E54" i="149"/>
  <c r="D54" i="149"/>
  <c r="G53" i="149"/>
  <c r="F53" i="149"/>
  <c r="E53" i="149"/>
  <c r="D53" i="149"/>
  <c r="G52" i="149"/>
  <c r="F52" i="149"/>
  <c r="E52" i="149"/>
  <c r="D52" i="149"/>
  <c r="G51" i="149"/>
  <c r="F51" i="149"/>
  <c r="E51" i="149"/>
  <c r="D51" i="149"/>
  <c r="G50" i="149"/>
  <c r="F50" i="149"/>
  <c r="E50" i="149"/>
  <c r="D50" i="149"/>
  <c r="L46" i="149"/>
  <c r="M46" i="149" s="1"/>
  <c r="G46" i="149"/>
  <c r="N46" i="149" s="1"/>
  <c r="F46" i="149"/>
  <c r="E46" i="149"/>
  <c r="C46" i="149"/>
  <c r="L45" i="149"/>
  <c r="M45" i="149" s="1"/>
  <c r="G45" i="149"/>
  <c r="N45" i="149" s="1"/>
  <c r="F45" i="149"/>
  <c r="E45" i="149"/>
  <c r="C45" i="149"/>
  <c r="L44" i="149"/>
  <c r="M44" i="149" s="1"/>
  <c r="G44" i="149"/>
  <c r="N44" i="149" s="1"/>
  <c r="F44" i="149"/>
  <c r="E44" i="149"/>
  <c r="C44" i="149"/>
  <c r="L43" i="149"/>
  <c r="M43" i="149" s="1"/>
  <c r="G43" i="149"/>
  <c r="N43" i="149" s="1"/>
  <c r="F43" i="149"/>
  <c r="E43" i="149"/>
  <c r="C43" i="149"/>
  <c r="L42" i="149"/>
  <c r="M42" i="149" s="1"/>
  <c r="G42" i="149"/>
  <c r="N42" i="149" s="1"/>
  <c r="F42" i="149"/>
  <c r="E42" i="149"/>
  <c r="C42" i="149"/>
  <c r="M38" i="149"/>
  <c r="L38" i="149"/>
  <c r="G38" i="149"/>
  <c r="E38" i="149"/>
  <c r="C38" i="149"/>
  <c r="M37" i="149"/>
  <c r="L37" i="149"/>
  <c r="G37" i="149"/>
  <c r="E37" i="149"/>
  <c r="C37" i="149"/>
  <c r="M36" i="149"/>
  <c r="L36" i="149"/>
  <c r="G36" i="149"/>
  <c r="E36" i="149"/>
  <c r="C36" i="149"/>
  <c r="M35" i="149"/>
  <c r="L35" i="149"/>
  <c r="G35" i="149"/>
  <c r="E35" i="149"/>
  <c r="C35" i="149"/>
  <c r="M34" i="149"/>
  <c r="L34" i="149"/>
  <c r="G34" i="149"/>
  <c r="E34" i="149"/>
  <c r="C34" i="149"/>
  <c r="M33" i="149"/>
  <c r="L33" i="149"/>
  <c r="G33" i="149"/>
  <c r="E33" i="149"/>
  <c r="C33" i="149"/>
  <c r="M32" i="149"/>
  <c r="L32" i="149"/>
  <c r="G32" i="149"/>
  <c r="E32" i="149"/>
  <c r="C32" i="149"/>
  <c r="M31" i="149"/>
  <c r="L31" i="149"/>
  <c r="G31" i="149"/>
  <c r="E31" i="149"/>
  <c r="C31" i="149"/>
  <c r="L27" i="149"/>
  <c r="M27" i="149" s="1"/>
  <c r="G27" i="149"/>
  <c r="N27" i="149" s="1"/>
  <c r="F27" i="149"/>
  <c r="E27" i="149"/>
  <c r="C27" i="149"/>
  <c r="L26" i="149"/>
  <c r="M26" i="149" s="1"/>
  <c r="G26" i="149"/>
  <c r="N26" i="149" s="1"/>
  <c r="F26" i="149"/>
  <c r="E26" i="149"/>
  <c r="C26" i="149"/>
  <c r="L25" i="149"/>
  <c r="M25" i="149" s="1"/>
  <c r="G25" i="149"/>
  <c r="F25" i="149"/>
  <c r="E25" i="149"/>
  <c r="C25" i="149"/>
  <c r="L24" i="149"/>
  <c r="M24" i="149" s="1"/>
  <c r="G24" i="149"/>
  <c r="N24" i="149" s="1"/>
  <c r="F24" i="149"/>
  <c r="E24" i="149"/>
  <c r="C24" i="149"/>
  <c r="L23" i="149"/>
  <c r="M23" i="149" s="1"/>
  <c r="G23" i="149"/>
  <c r="N23" i="149" s="1"/>
  <c r="F23" i="149"/>
  <c r="E23" i="149"/>
  <c r="C23" i="149"/>
  <c r="G19" i="149"/>
  <c r="B16" i="149"/>
  <c r="B3" i="149"/>
  <c r="B2" i="149"/>
  <c r="B1" i="149"/>
  <c r="F62" i="148"/>
  <c r="F61" i="148"/>
  <c r="F60" i="148"/>
  <c r="G54" i="148"/>
  <c r="F54" i="148"/>
  <c r="E54" i="148"/>
  <c r="D54" i="148"/>
  <c r="G53" i="148"/>
  <c r="F53" i="148"/>
  <c r="E53" i="148"/>
  <c r="D53" i="148"/>
  <c r="G52" i="148"/>
  <c r="F52" i="148"/>
  <c r="E52" i="148"/>
  <c r="D52" i="148"/>
  <c r="G51" i="148"/>
  <c r="F51" i="148"/>
  <c r="E51" i="148"/>
  <c r="D51" i="148"/>
  <c r="G50" i="148"/>
  <c r="F50" i="148"/>
  <c r="E50" i="148"/>
  <c r="D50" i="148"/>
  <c r="L46" i="148"/>
  <c r="M46" i="148" s="1"/>
  <c r="G46" i="148"/>
  <c r="N46" i="148" s="1"/>
  <c r="F46" i="148"/>
  <c r="E46" i="148"/>
  <c r="C46" i="148"/>
  <c r="L45" i="148"/>
  <c r="M45" i="148" s="1"/>
  <c r="G45" i="148"/>
  <c r="N45" i="148" s="1"/>
  <c r="F45" i="148"/>
  <c r="E45" i="148"/>
  <c r="C45" i="148"/>
  <c r="L44" i="148"/>
  <c r="M44" i="148" s="1"/>
  <c r="G44" i="148"/>
  <c r="N44" i="148" s="1"/>
  <c r="F44" i="148"/>
  <c r="E44" i="148"/>
  <c r="C44" i="148"/>
  <c r="L43" i="148"/>
  <c r="M43" i="148" s="1"/>
  <c r="G43" i="148"/>
  <c r="N43" i="148" s="1"/>
  <c r="F43" i="148"/>
  <c r="E43" i="148"/>
  <c r="C43" i="148"/>
  <c r="L42" i="148"/>
  <c r="M42" i="148" s="1"/>
  <c r="G42" i="148"/>
  <c r="N42" i="148" s="1"/>
  <c r="F42" i="148"/>
  <c r="E42" i="148"/>
  <c r="C42" i="148"/>
  <c r="M38" i="148"/>
  <c r="L38" i="148"/>
  <c r="G38" i="148"/>
  <c r="E38" i="148"/>
  <c r="C38" i="148"/>
  <c r="M37" i="148"/>
  <c r="L37" i="148"/>
  <c r="G37" i="148"/>
  <c r="E37" i="148"/>
  <c r="C37" i="148"/>
  <c r="M36" i="148"/>
  <c r="L36" i="148"/>
  <c r="G36" i="148"/>
  <c r="E36" i="148"/>
  <c r="C36" i="148"/>
  <c r="M35" i="148"/>
  <c r="L35" i="148"/>
  <c r="G35" i="148"/>
  <c r="E35" i="148"/>
  <c r="C35" i="148"/>
  <c r="M34" i="148"/>
  <c r="L34" i="148"/>
  <c r="G34" i="148"/>
  <c r="E34" i="148"/>
  <c r="C34" i="148"/>
  <c r="M33" i="148"/>
  <c r="L33" i="148"/>
  <c r="G33" i="148"/>
  <c r="E33" i="148"/>
  <c r="C33" i="148"/>
  <c r="M32" i="148"/>
  <c r="L32" i="148"/>
  <c r="G32" i="148"/>
  <c r="E32" i="148"/>
  <c r="C32" i="148"/>
  <c r="M31" i="148"/>
  <c r="L31" i="148"/>
  <c r="G31" i="148"/>
  <c r="E31" i="148"/>
  <c r="C31" i="148"/>
  <c r="L27" i="148"/>
  <c r="M27" i="148" s="1"/>
  <c r="G27" i="148"/>
  <c r="N27" i="148" s="1"/>
  <c r="F27" i="148"/>
  <c r="E27" i="148"/>
  <c r="C27" i="148"/>
  <c r="L26" i="148"/>
  <c r="M26" i="148" s="1"/>
  <c r="G26" i="148"/>
  <c r="N26" i="148" s="1"/>
  <c r="F26" i="148"/>
  <c r="E26" i="148"/>
  <c r="C26" i="148"/>
  <c r="L25" i="148"/>
  <c r="M25" i="148" s="1"/>
  <c r="G25" i="148"/>
  <c r="N25" i="148" s="1"/>
  <c r="F25" i="148"/>
  <c r="E25" i="148"/>
  <c r="C25" i="148"/>
  <c r="L24" i="148"/>
  <c r="M24" i="148" s="1"/>
  <c r="G24" i="148"/>
  <c r="N24" i="148" s="1"/>
  <c r="F24" i="148"/>
  <c r="E24" i="148"/>
  <c r="C24" i="148"/>
  <c r="L23" i="148"/>
  <c r="M23" i="148" s="1"/>
  <c r="G23" i="148"/>
  <c r="N23" i="148" s="1"/>
  <c r="F23" i="148"/>
  <c r="E23" i="148"/>
  <c r="C23" i="148"/>
  <c r="G19" i="148"/>
  <c r="B16" i="148"/>
  <c r="B3" i="148"/>
  <c r="B2" i="148"/>
  <c r="B1" i="148"/>
  <c r="F62" i="147"/>
  <c r="F61" i="147"/>
  <c r="F60" i="147"/>
  <c r="G54" i="147"/>
  <c r="F54" i="147"/>
  <c r="E54" i="147"/>
  <c r="D54" i="147"/>
  <c r="G53" i="147"/>
  <c r="F53" i="147"/>
  <c r="E53" i="147"/>
  <c r="D53" i="147"/>
  <c r="G52" i="147"/>
  <c r="F52" i="147"/>
  <c r="E52" i="147"/>
  <c r="D52" i="147"/>
  <c r="G51" i="147"/>
  <c r="F51" i="147"/>
  <c r="E51" i="147"/>
  <c r="D51" i="147"/>
  <c r="G50" i="147"/>
  <c r="F50" i="147"/>
  <c r="E50" i="147"/>
  <c r="D50" i="147"/>
  <c r="L46" i="147"/>
  <c r="M46" i="147" s="1"/>
  <c r="G46" i="147"/>
  <c r="N46" i="147" s="1"/>
  <c r="F46" i="147"/>
  <c r="E46" i="147"/>
  <c r="C46" i="147"/>
  <c r="L45" i="147"/>
  <c r="M45" i="147" s="1"/>
  <c r="G45" i="147"/>
  <c r="F45" i="147"/>
  <c r="E45" i="147"/>
  <c r="C45" i="147"/>
  <c r="L44" i="147"/>
  <c r="M44" i="147" s="1"/>
  <c r="G44" i="147"/>
  <c r="N44" i="147" s="1"/>
  <c r="F44" i="147"/>
  <c r="E44" i="147"/>
  <c r="C44" i="147"/>
  <c r="L43" i="147"/>
  <c r="M43" i="147" s="1"/>
  <c r="G43" i="147"/>
  <c r="N43" i="147" s="1"/>
  <c r="F43" i="147"/>
  <c r="E43" i="147"/>
  <c r="C43" i="147"/>
  <c r="L42" i="147"/>
  <c r="M42" i="147" s="1"/>
  <c r="G42" i="147"/>
  <c r="N42" i="147" s="1"/>
  <c r="F42" i="147"/>
  <c r="E42" i="147"/>
  <c r="C42" i="147"/>
  <c r="M38" i="147"/>
  <c r="L38" i="147"/>
  <c r="G38" i="147"/>
  <c r="E38" i="147"/>
  <c r="C38" i="147"/>
  <c r="M37" i="147"/>
  <c r="L37" i="147"/>
  <c r="G37" i="147"/>
  <c r="E37" i="147"/>
  <c r="C37" i="147"/>
  <c r="M36" i="147"/>
  <c r="L36" i="147"/>
  <c r="G36" i="147"/>
  <c r="E36" i="147"/>
  <c r="C36" i="147"/>
  <c r="M35" i="147"/>
  <c r="L35" i="147"/>
  <c r="G35" i="147"/>
  <c r="E35" i="147"/>
  <c r="C35" i="147"/>
  <c r="M34" i="147"/>
  <c r="L34" i="147"/>
  <c r="G34" i="147"/>
  <c r="E34" i="147"/>
  <c r="C34" i="147"/>
  <c r="M33" i="147"/>
  <c r="L33" i="147"/>
  <c r="G33" i="147"/>
  <c r="E33" i="147"/>
  <c r="C33" i="147"/>
  <c r="M32" i="147"/>
  <c r="L32" i="147"/>
  <c r="G32" i="147"/>
  <c r="E32" i="147"/>
  <c r="C32" i="147"/>
  <c r="M31" i="147"/>
  <c r="L31" i="147"/>
  <c r="G31" i="147"/>
  <c r="E31" i="147"/>
  <c r="C31" i="147"/>
  <c r="L27" i="147"/>
  <c r="M27" i="147" s="1"/>
  <c r="G27" i="147"/>
  <c r="N27" i="147" s="1"/>
  <c r="F27" i="147"/>
  <c r="E27" i="147"/>
  <c r="C27" i="147"/>
  <c r="L26" i="147"/>
  <c r="M26" i="147" s="1"/>
  <c r="G26" i="147"/>
  <c r="N26" i="147" s="1"/>
  <c r="F26" i="147"/>
  <c r="E26" i="147"/>
  <c r="C26" i="147"/>
  <c r="L25" i="147"/>
  <c r="M25" i="147" s="1"/>
  <c r="G25" i="147"/>
  <c r="N25" i="147" s="1"/>
  <c r="F25" i="147"/>
  <c r="E25" i="147"/>
  <c r="C25" i="147"/>
  <c r="L24" i="147"/>
  <c r="M24" i="147" s="1"/>
  <c r="G24" i="147"/>
  <c r="N24" i="147" s="1"/>
  <c r="F24" i="147"/>
  <c r="E24" i="147"/>
  <c r="C24" i="147"/>
  <c r="L23" i="147"/>
  <c r="M23" i="147" s="1"/>
  <c r="G23" i="147"/>
  <c r="F23" i="147"/>
  <c r="E23" i="147"/>
  <c r="C23" i="147"/>
  <c r="G19" i="147"/>
  <c r="B16" i="147"/>
  <c r="B3" i="147"/>
  <c r="B2" i="147"/>
  <c r="B1" i="147"/>
  <c r="F62" i="146"/>
  <c r="F61" i="146"/>
  <c r="F60" i="146"/>
  <c r="G54" i="146"/>
  <c r="F54" i="146"/>
  <c r="E54" i="146"/>
  <c r="D54" i="146"/>
  <c r="G53" i="146"/>
  <c r="F53" i="146"/>
  <c r="E53" i="146"/>
  <c r="D53" i="146"/>
  <c r="G52" i="146"/>
  <c r="F52" i="146"/>
  <c r="E52" i="146"/>
  <c r="D52" i="146"/>
  <c r="G51" i="146"/>
  <c r="F51" i="146"/>
  <c r="E51" i="146"/>
  <c r="D51" i="146"/>
  <c r="G50" i="146"/>
  <c r="F50" i="146"/>
  <c r="E50" i="146"/>
  <c r="D50" i="146"/>
  <c r="L46" i="146"/>
  <c r="M46" i="146" s="1"/>
  <c r="G46" i="146"/>
  <c r="N46" i="146" s="1"/>
  <c r="F46" i="146"/>
  <c r="E46" i="146"/>
  <c r="C46" i="146"/>
  <c r="L45" i="146"/>
  <c r="M45" i="146" s="1"/>
  <c r="G45" i="146"/>
  <c r="N45" i="146" s="1"/>
  <c r="F45" i="146"/>
  <c r="E45" i="146"/>
  <c r="C45" i="146"/>
  <c r="L44" i="146"/>
  <c r="M44" i="146" s="1"/>
  <c r="G44" i="146"/>
  <c r="N44" i="146" s="1"/>
  <c r="F44" i="146"/>
  <c r="E44" i="146"/>
  <c r="C44" i="146"/>
  <c r="L43" i="146"/>
  <c r="M43" i="146" s="1"/>
  <c r="G43" i="146"/>
  <c r="N43" i="146" s="1"/>
  <c r="F43" i="146"/>
  <c r="E43" i="146"/>
  <c r="C43" i="146"/>
  <c r="L42" i="146"/>
  <c r="M42" i="146" s="1"/>
  <c r="G42" i="146"/>
  <c r="N42" i="146" s="1"/>
  <c r="F42" i="146"/>
  <c r="E42" i="146"/>
  <c r="C42" i="146"/>
  <c r="M38" i="146"/>
  <c r="L38" i="146"/>
  <c r="G38" i="146"/>
  <c r="E38" i="146"/>
  <c r="C38" i="146"/>
  <c r="M37" i="146"/>
  <c r="L37" i="146"/>
  <c r="G37" i="146"/>
  <c r="E37" i="146"/>
  <c r="C37" i="146"/>
  <c r="M36" i="146"/>
  <c r="L36" i="146"/>
  <c r="G36" i="146"/>
  <c r="E36" i="146"/>
  <c r="C36" i="146"/>
  <c r="M35" i="146"/>
  <c r="L35" i="146"/>
  <c r="G35" i="146"/>
  <c r="E35" i="146"/>
  <c r="C35" i="146"/>
  <c r="M34" i="146"/>
  <c r="L34" i="146"/>
  <c r="G34" i="146"/>
  <c r="E34" i="146"/>
  <c r="C34" i="146"/>
  <c r="M33" i="146"/>
  <c r="L33" i="146"/>
  <c r="G33" i="146"/>
  <c r="E33" i="146"/>
  <c r="C33" i="146"/>
  <c r="M32" i="146"/>
  <c r="L32" i="146"/>
  <c r="G32" i="146"/>
  <c r="E32" i="146"/>
  <c r="C32" i="146"/>
  <c r="M31" i="146"/>
  <c r="L31" i="146"/>
  <c r="G31" i="146"/>
  <c r="E31" i="146"/>
  <c r="C31" i="146"/>
  <c r="L27" i="146"/>
  <c r="M27" i="146" s="1"/>
  <c r="G27" i="146"/>
  <c r="N27" i="146" s="1"/>
  <c r="F27" i="146"/>
  <c r="E27" i="146"/>
  <c r="C27" i="146"/>
  <c r="L26" i="146"/>
  <c r="M26" i="146" s="1"/>
  <c r="G26" i="146"/>
  <c r="N26" i="146" s="1"/>
  <c r="F26" i="146"/>
  <c r="E26" i="146"/>
  <c r="C26" i="146"/>
  <c r="L25" i="146"/>
  <c r="M25" i="146" s="1"/>
  <c r="G25" i="146"/>
  <c r="N25" i="146" s="1"/>
  <c r="F25" i="146"/>
  <c r="E25" i="146"/>
  <c r="C25" i="146"/>
  <c r="L24" i="146"/>
  <c r="M24" i="146" s="1"/>
  <c r="G24" i="146"/>
  <c r="N24" i="146" s="1"/>
  <c r="F24" i="146"/>
  <c r="E24" i="146"/>
  <c r="C24" i="146"/>
  <c r="L23" i="146"/>
  <c r="M23" i="146" s="1"/>
  <c r="G23" i="146"/>
  <c r="F23" i="146"/>
  <c r="E23" i="146"/>
  <c r="C23" i="146"/>
  <c r="G19" i="146"/>
  <c r="B16" i="146"/>
  <c r="B3" i="146"/>
  <c r="B2" i="146"/>
  <c r="B1" i="146"/>
  <c r="F62" i="145"/>
  <c r="F61" i="145"/>
  <c r="F60" i="145"/>
  <c r="G54" i="145"/>
  <c r="F54" i="145"/>
  <c r="E54" i="145"/>
  <c r="D54" i="145"/>
  <c r="G53" i="145"/>
  <c r="F53" i="145"/>
  <c r="E53" i="145"/>
  <c r="D53" i="145"/>
  <c r="G52" i="145"/>
  <c r="F52" i="145"/>
  <c r="E52" i="145"/>
  <c r="D52" i="145"/>
  <c r="G51" i="145"/>
  <c r="F51" i="145"/>
  <c r="E51" i="145"/>
  <c r="D51" i="145"/>
  <c r="G50" i="145"/>
  <c r="F50" i="145"/>
  <c r="E50" i="145"/>
  <c r="D50" i="145"/>
  <c r="L46" i="145"/>
  <c r="M46" i="145" s="1"/>
  <c r="G46" i="145"/>
  <c r="N46" i="145" s="1"/>
  <c r="F46" i="145"/>
  <c r="E46" i="145"/>
  <c r="C46" i="145"/>
  <c r="L45" i="145"/>
  <c r="M45" i="145" s="1"/>
  <c r="G45" i="145"/>
  <c r="N45" i="145" s="1"/>
  <c r="F45" i="145"/>
  <c r="E45" i="145"/>
  <c r="C45" i="145"/>
  <c r="L44" i="145"/>
  <c r="M44" i="145" s="1"/>
  <c r="G44" i="145"/>
  <c r="N44" i="145" s="1"/>
  <c r="F44" i="145"/>
  <c r="E44" i="145"/>
  <c r="C44" i="145"/>
  <c r="L43" i="145"/>
  <c r="M43" i="145" s="1"/>
  <c r="G43" i="145"/>
  <c r="N43" i="145" s="1"/>
  <c r="F43" i="145"/>
  <c r="E43" i="145"/>
  <c r="C43" i="145"/>
  <c r="L42" i="145"/>
  <c r="M42" i="145" s="1"/>
  <c r="G42" i="145"/>
  <c r="F42" i="145"/>
  <c r="E42" i="145"/>
  <c r="C42" i="145"/>
  <c r="M38" i="145"/>
  <c r="L38" i="145"/>
  <c r="G38" i="145"/>
  <c r="E38" i="145"/>
  <c r="C38" i="145"/>
  <c r="M37" i="145"/>
  <c r="L37" i="145"/>
  <c r="G37" i="145"/>
  <c r="E37" i="145"/>
  <c r="C37" i="145"/>
  <c r="M36" i="145"/>
  <c r="L36" i="145"/>
  <c r="G36" i="145"/>
  <c r="E36" i="145"/>
  <c r="C36" i="145"/>
  <c r="M35" i="145"/>
  <c r="L35" i="145"/>
  <c r="G35" i="145"/>
  <c r="E35" i="145"/>
  <c r="C35" i="145"/>
  <c r="M34" i="145"/>
  <c r="L34" i="145"/>
  <c r="G34" i="145"/>
  <c r="E34" i="145"/>
  <c r="C34" i="145"/>
  <c r="M33" i="145"/>
  <c r="L33" i="145"/>
  <c r="G33" i="145"/>
  <c r="E33" i="145"/>
  <c r="C33" i="145"/>
  <c r="M32" i="145"/>
  <c r="L32" i="145"/>
  <c r="G32" i="145"/>
  <c r="E32" i="145"/>
  <c r="C32" i="145"/>
  <c r="M31" i="145"/>
  <c r="L31" i="145"/>
  <c r="G31" i="145"/>
  <c r="E31" i="145"/>
  <c r="C31" i="145"/>
  <c r="L27" i="145"/>
  <c r="M27" i="145" s="1"/>
  <c r="G27" i="145"/>
  <c r="N27" i="145" s="1"/>
  <c r="F27" i="145"/>
  <c r="E27" i="145"/>
  <c r="C27" i="145"/>
  <c r="L26" i="145"/>
  <c r="M26" i="145" s="1"/>
  <c r="G26" i="145"/>
  <c r="N26" i="145" s="1"/>
  <c r="F26" i="145"/>
  <c r="E26" i="145"/>
  <c r="C26" i="145"/>
  <c r="L25" i="145"/>
  <c r="M25" i="145" s="1"/>
  <c r="G25" i="145"/>
  <c r="N25" i="145" s="1"/>
  <c r="F25" i="145"/>
  <c r="E25" i="145"/>
  <c r="C25" i="145"/>
  <c r="L24" i="145"/>
  <c r="M24" i="145" s="1"/>
  <c r="G24" i="145"/>
  <c r="N24" i="145" s="1"/>
  <c r="F24" i="145"/>
  <c r="E24" i="145"/>
  <c r="C24" i="145"/>
  <c r="L23" i="145"/>
  <c r="M23" i="145" s="1"/>
  <c r="G23" i="145"/>
  <c r="N23" i="145" s="1"/>
  <c r="F23" i="145"/>
  <c r="E23" i="145"/>
  <c r="C23" i="145"/>
  <c r="G19" i="145"/>
  <c r="B16" i="145"/>
  <c r="B3" i="145"/>
  <c r="B2" i="145"/>
  <c r="B1" i="145"/>
  <c r="F62" i="144"/>
  <c r="F61" i="144"/>
  <c r="F60" i="144"/>
  <c r="G54" i="144"/>
  <c r="F54" i="144"/>
  <c r="E54" i="144"/>
  <c r="D54" i="144"/>
  <c r="G53" i="144"/>
  <c r="F53" i="144"/>
  <c r="E53" i="144"/>
  <c r="D53" i="144"/>
  <c r="G52" i="144"/>
  <c r="F52" i="144"/>
  <c r="E52" i="144"/>
  <c r="D52" i="144"/>
  <c r="G51" i="144"/>
  <c r="F51" i="144"/>
  <c r="E51" i="144"/>
  <c r="D51" i="144"/>
  <c r="G50" i="144"/>
  <c r="F50" i="144"/>
  <c r="E50" i="144"/>
  <c r="D50" i="144"/>
  <c r="L46" i="144"/>
  <c r="M46" i="144" s="1"/>
  <c r="G46" i="144"/>
  <c r="N46" i="144" s="1"/>
  <c r="F46" i="144"/>
  <c r="E46" i="144"/>
  <c r="C46" i="144"/>
  <c r="L45" i="144"/>
  <c r="M45" i="144" s="1"/>
  <c r="G45" i="144"/>
  <c r="N45" i="144" s="1"/>
  <c r="F45" i="144"/>
  <c r="E45" i="144"/>
  <c r="C45" i="144"/>
  <c r="L44" i="144"/>
  <c r="M44" i="144" s="1"/>
  <c r="G44" i="144"/>
  <c r="N44" i="144" s="1"/>
  <c r="F44" i="144"/>
  <c r="E44" i="144"/>
  <c r="C44" i="144"/>
  <c r="L43" i="144"/>
  <c r="M43" i="144" s="1"/>
  <c r="G43" i="144"/>
  <c r="N43" i="144" s="1"/>
  <c r="F43" i="144"/>
  <c r="E43" i="144"/>
  <c r="C43" i="144"/>
  <c r="L42" i="144"/>
  <c r="M42" i="144" s="1"/>
  <c r="G42" i="144"/>
  <c r="F42" i="144"/>
  <c r="E42" i="144"/>
  <c r="C42" i="144"/>
  <c r="M38" i="144"/>
  <c r="L38" i="144"/>
  <c r="G38" i="144"/>
  <c r="E38" i="144"/>
  <c r="C38" i="144"/>
  <c r="M37" i="144"/>
  <c r="L37" i="144"/>
  <c r="G37" i="144"/>
  <c r="E37" i="144"/>
  <c r="C37" i="144"/>
  <c r="M36" i="144"/>
  <c r="L36" i="144"/>
  <c r="G36" i="144"/>
  <c r="E36" i="144"/>
  <c r="C36" i="144"/>
  <c r="M35" i="144"/>
  <c r="L35" i="144"/>
  <c r="G35" i="144"/>
  <c r="E35" i="144"/>
  <c r="C35" i="144"/>
  <c r="M34" i="144"/>
  <c r="L34" i="144"/>
  <c r="G34" i="144"/>
  <c r="E34" i="144"/>
  <c r="C34" i="144"/>
  <c r="M33" i="144"/>
  <c r="L33" i="144"/>
  <c r="G33" i="144"/>
  <c r="E33" i="144"/>
  <c r="C33" i="144"/>
  <c r="M32" i="144"/>
  <c r="L32" i="144"/>
  <c r="G32" i="144"/>
  <c r="E32" i="144"/>
  <c r="C32" i="144"/>
  <c r="M31" i="144"/>
  <c r="L31" i="144"/>
  <c r="G31" i="144"/>
  <c r="E31" i="144"/>
  <c r="C31" i="144"/>
  <c r="L27" i="144"/>
  <c r="M27" i="144" s="1"/>
  <c r="G27" i="144"/>
  <c r="N27" i="144" s="1"/>
  <c r="F27" i="144"/>
  <c r="E27" i="144"/>
  <c r="C27" i="144"/>
  <c r="L26" i="144"/>
  <c r="M26" i="144" s="1"/>
  <c r="G26" i="144"/>
  <c r="N26" i="144" s="1"/>
  <c r="F26" i="144"/>
  <c r="E26" i="144"/>
  <c r="C26" i="144"/>
  <c r="L25" i="144"/>
  <c r="M25" i="144" s="1"/>
  <c r="G25" i="144"/>
  <c r="N25" i="144" s="1"/>
  <c r="F25" i="144"/>
  <c r="E25" i="144"/>
  <c r="C25" i="144"/>
  <c r="L24" i="144"/>
  <c r="M24" i="144" s="1"/>
  <c r="G24" i="144"/>
  <c r="N24" i="144" s="1"/>
  <c r="F24" i="144"/>
  <c r="E24" i="144"/>
  <c r="C24" i="144"/>
  <c r="L23" i="144"/>
  <c r="M23" i="144" s="1"/>
  <c r="G23" i="144"/>
  <c r="N23" i="144" s="1"/>
  <c r="F23" i="144"/>
  <c r="E23" i="144"/>
  <c r="C23" i="144"/>
  <c r="G19" i="144"/>
  <c r="B16" i="144"/>
  <c r="B3" i="144"/>
  <c r="B2" i="144"/>
  <c r="B1" i="144"/>
  <c r="F62" i="143"/>
  <c r="F61" i="143"/>
  <c r="F60" i="143"/>
  <c r="L46" i="143"/>
  <c r="M46" i="143" s="1"/>
  <c r="N46" i="143"/>
  <c r="L45" i="143"/>
  <c r="M45" i="143" s="1"/>
  <c r="N45" i="143"/>
  <c r="L44" i="143"/>
  <c r="M44" i="143" s="1"/>
  <c r="N44" i="143"/>
  <c r="L43" i="143"/>
  <c r="M43" i="143" s="1"/>
  <c r="N43" i="143"/>
  <c r="M38" i="143"/>
  <c r="L38" i="143"/>
  <c r="M37" i="143"/>
  <c r="L37" i="143"/>
  <c r="M36" i="143"/>
  <c r="L36" i="143"/>
  <c r="M35" i="143"/>
  <c r="L35" i="143"/>
  <c r="M34" i="143"/>
  <c r="L34" i="143"/>
  <c r="M33" i="143"/>
  <c r="L33" i="143"/>
  <c r="M32" i="143"/>
  <c r="L32" i="143"/>
  <c r="M31" i="143"/>
  <c r="L31" i="143"/>
  <c r="L27" i="143"/>
  <c r="M27" i="143" s="1"/>
  <c r="N27" i="143"/>
  <c r="B16" i="143"/>
  <c r="B3" i="143"/>
  <c r="B2" i="143"/>
  <c r="B1" i="143"/>
  <c r="F62" i="142"/>
  <c r="F61" i="142"/>
  <c r="F60" i="142"/>
  <c r="L46" i="142"/>
  <c r="M46" i="142" s="1"/>
  <c r="N46" i="142"/>
  <c r="L45" i="142"/>
  <c r="M45" i="142" s="1"/>
  <c r="N45" i="142"/>
  <c r="L44" i="142"/>
  <c r="M44" i="142" s="1"/>
  <c r="N44" i="142"/>
  <c r="L43" i="142"/>
  <c r="M43" i="142" s="1"/>
  <c r="N43" i="142"/>
  <c r="M38" i="142"/>
  <c r="L38" i="142"/>
  <c r="M37" i="142"/>
  <c r="L37" i="142"/>
  <c r="M36" i="142"/>
  <c r="L36" i="142"/>
  <c r="M35" i="142"/>
  <c r="L35" i="142"/>
  <c r="M34" i="142"/>
  <c r="L34" i="142"/>
  <c r="M33" i="142"/>
  <c r="L33" i="142"/>
  <c r="M32" i="142"/>
  <c r="L32" i="142"/>
  <c r="M31" i="142"/>
  <c r="L31" i="142"/>
  <c r="L27" i="142"/>
  <c r="M27" i="142" s="1"/>
  <c r="N27" i="142"/>
  <c r="B16" i="142"/>
  <c r="B3" i="142"/>
  <c r="B2" i="142"/>
  <c r="B1" i="142"/>
  <c r="F62" i="141"/>
  <c r="F61" i="141"/>
  <c r="F60" i="141"/>
  <c r="L46" i="141"/>
  <c r="M46" i="141" s="1"/>
  <c r="N46" i="141"/>
  <c r="L45" i="141"/>
  <c r="M45" i="141" s="1"/>
  <c r="N45" i="141"/>
  <c r="L44" i="141"/>
  <c r="M44" i="141" s="1"/>
  <c r="N44" i="141"/>
  <c r="L43" i="141"/>
  <c r="M43" i="141" s="1"/>
  <c r="N43" i="141"/>
  <c r="M38" i="141"/>
  <c r="L38" i="141"/>
  <c r="M37" i="141"/>
  <c r="L37" i="141"/>
  <c r="M36" i="141"/>
  <c r="L36" i="141"/>
  <c r="M35" i="141"/>
  <c r="L35" i="141"/>
  <c r="M34" i="141"/>
  <c r="L34" i="141"/>
  <c r="M33" i="141"/>
  <c r="L33" i="141"/>
  <c r="M32" i="141"/>
  <c r="L32" i="141"/>
  <c r="M31" i="141"/>
  <c r="L31" i="141"/>
  <c r="L27" i="141"/>
  <c r="M27" i="141" s="1"/>
  <c r="N27" i="141"/>
  <c r="B16" i="141"/>
  <c r="B3" i="141"/>
  <c r="B2" i="141"/>
  <c r="B1" i="141"/>
  <c r="F62" i="140"/>
  <c r="F61" i="140"/>
  <c r="F60" i="140"/>
  <c r="L46" i="140"/>
  <c r="M46" i="140" s="1"/>
  <c r="N46" i="140"/>
  <c r="L45" i="140"/>
  <c r="M45" i="140" s="1"/>
  <c r="N45" i="140"/>
  <c r="L44" i="140"/>
  <c r="M44" i="140" s="1"/>
  <c r="N44" i="140"/>
  <c r="L43" i="140"/>
  <c r="M43" i="140" s="1"/>
  <c r="N43" i="140"/>
  <c r="M38" i="140"/>
  <c r="L38" i="140"/>
  <c r="M37" i="140"/>
  <c r="L37" i="140"/>
  <c r="M36" i="140"/>
  <c r="L36" i="140"/>
  <c r="M35" i="140"/>
  <c r="L35" i="140"/>
  <c r="M34" i="140"/>
  <c r="L34" i="140"/>
  <c r="M33" i="140"/>
  <c r="L33" i="140"/>
  <c r="M32" i="140"/>
  <c r="L32" i="140"/>
  <c r="M31" i="140"/>
  <c r="L31" i="140"/>
  <c r="L27" i="140"/>
  <c r="M27" i="140" s="1"/>
  <c r="N27" i="140"/>
  <c r="L26" i="140"/>
  <c r="M26" i="140" s="1"/>
  <c r="N26" i="140"/>
  <c r="L25" i="140"/>
  <c r="M25" i="140" s="1"/>
  <c r="N25" i="140"/>
  <c r="L24" i="140"/>
  <c r="M24" i="140" s="1"/>
  <c r="N24" i="140"/>
  <c r="L23" i="140"/>
  <c r="M23" i="140" s="1"/>
  <c r="N23" i="140"/>
  <c r="B16" i="140"/>
  <c r="B3" i="140"/>
  <c r="B2" i="140"/>
  <c r="B1" i="140"/>
  <c r="F62" i="139"/>
  <c r="F61" i="139"/>
  <c r="F60" i="139"/>
  <c r="G54" i="139"/>
  <c r="E54" i="139"/>
  <c r="D54" i="139"/>
  <c r="G53" i="139"/>
  <c r="E53" i="139"/>
  <c r="D53" i="139"/>
  <c r="G52" i="139"/>
  <c r="E52" i="139"/>
  <c r="D52" i="139"/>
  <c r="L46" i="139"/>
  <c r="M46" i="139" s="1"/>
  <c r="G46" i="139"/>
  <c r="N46" i="139" s="1"/>
  <c r="E46" i="139"/>
  <c r="C46" i="139"/>
  <c r="L45" i="139"/>
  <c r="M45" i="139" s="1"/>
  <c r="G45" i="139"/>
  <c r="N45" i="139" s="1"/>
  <c r="E45" i="139"/>
  <c r="C45" i="139"/>
  <c r="L44" i="139"/>
  <c r="M44" i="139" s="1"/>
  <c r="G44" i="139"/>
  <c r="N44" i="139" s="1"/>
  <c r="E44" i="139"/>
  <c r="C44" i="139"/>
  <c r="L43" i="139"/>
  <c r="M43" i="139" s="1"/>
  <c r="G43" i="139"/>
  <c r="N43" i="139" s="1"/>
  <c r="E43" i="139"/>
  <c r="C43" i="139"/>
  <c r="L42" i="139"/>
  <c r="M42" i="139" s="1"/>
  <c r="G42" i="139"/>
  <c r="E42" i="139"/>
  <c r="C42" i="139"/>
  <c r="M38" i="139"/>
  <c r="L38" i="139"/>
  <c r="G38" i="139"/>
  <c r="E38" i="139"/>
  <c r="C38" i="139"/>
  <c r="M37" i="139"/>
  <c r="L37" i="139"/>
  <c r="G37" i="139"/>
  <c r="E37" i="139"/>
  <c r="C37" i="139"/>
  <c r="M36" i="139"/>
  <c r="L36" i="139"/>
  <c r="G36" i="139"/>
  <c r="E36" i="139"/>
  <c r="C36" i="139"/>
  <c r="M35" i="139"/>
  <c r="L35" i="139"/>
  <c r="G35" i="139"/>
  <c r="E35" i="139"/>
  <c r="C35" i="139"/>
  <c r="M34" i="139"/>
  <c r="L34" i="139"/>
  <c r="G34" i="139"/>
  <c r="E34" i="139"/>
  <c r="C34" i="139"/>
  <c r="M33" i="139"/>
  <c r="L33" i="139"/>
  <c r="G33" i="139"/>
  <c r="E33" i="139"/>
  <c r="C33" i="139"/>
  <c r="M32" i="139"/>
  <c r="L32" i="139"/>
  <c r="G32" i="139"/>
  <c r="E32" i="139"/>
  <c r="C32" i="139"/>
  <c r="M31" i="139"/>
  <c r="L31" i="139"/>
  <c r="G31" i="139"/>
  <c r="E31" i="139"/>
  <c r="C31" i="139"/>
  <c r="L27" i="139"/>
  <c r="M27" i="139" s="1"/>
  <c r="G27" i="139"/>
  <c r="N27" i="139" s="1"/>
  <c r="E27" i="139"/>
  <c r="C27" i="139"/>
  <c r="L26" i="139"/>
  <c r="M26" i="139" s="1"/>
  <c r="G26" i="139"/>
  <c r="N26" i="139" s="1"/>
  <c r="E26" i="139"/>
  <c r="C26" i="139"/>
  <c r="L25" i="139"/>
  <c r="M25" i="139" s="1"/>
  <c r="G25" i="139"/>
  <c r="N25" i="139" s="1"/>
  <c r="E25" i="139"/>
  <c r="C25" i="139"/>
  <c r="L24" i="139"/>
  <c r="M24" i="139" s="1"/>
  <c r="G24" i="139"/>
  <c r="N24" i="139" s="1"/>
  <c r="E24" i="139"/>
  <c r="C24" i="139"/>
  <c r="L23" i="139"/>
  <c r="M23" i="139" s="1"/>
  <c r="G23" i="139"/>
  <c r="N23" i="139" s="1"/>
  <c r="E23" i="139"/>
  <c r="C23" i="139"/>
  <c r="AI70" i="7"/>
  <c r="G19" i="139"/>
  <c r="B16" i="139"/>
  <c r="B3" i="139"/>
  <c r="B2" i="139"/>
  <c r="B1" i="139"/>
  <c r="F62" i="138"/>
  <c r="F61" i="138"/>
  <c r="F60" i="138"/>
  <c r="G54" i="138"/>
  <c r="E54" i="138"/>
  <c r="D54" i="138"/>
  <c r="G53" i="138"/>
  <c r="E53" i="138"/>
  <c r="D53" i="138"/>
  <c r="G52" i="138"/>
  <c r="F52" i="138"/>
  <c r="E52" i="138"/>
  <c r="D52" i="138"/>
  <c r="L46" i="138"/>
  <c r="M46" i="138" s="1"/>
  <c r="G46" i="138"/>
  <c r="N46" i="138" s="1"/>
  <c r="E46" i="138"/>
  <c r="C46" i="138"/>
  <c r="L45" i="138"/>
  <c r="M45" i="138" s="1"/>
  <c r="G45" i="138"/>
  <c r="N45" i="138" s="1"/>
  <c r="F45" i="138"/>
  <c r="E45" i="138"/>
  <c r="C45" i="138"/>
  <c r="L44" i="138"/>
  <c r="M44" i="138" s="1"/>
  <c r="G44" i="138"/>
  <c r="N44" i="138" s="1"/>
  <c r="E44" i="138"/>
  <c r="C44" i="138"/>
  <c r="L43" i="138"/>
  <c r="M43" i="138" s="1"/>
  <c r="G43" i="138"/>
  <c r="N43" i="138" s="1"/>
  <c r="E43" i="138"/>
  <c r="C43" i="138"/>
  <c r="M38" i="138"/>
  <c r="L38" i="138"/>
  <c r="G38" i="138"/>
  <c r="E38" i="138"/>
  <c r="C38" i="138"/>
  <c r="M37" i="138"/>
  <c r="L37" i="138"/>
  <c r="G37" i="138"/>
  <c r="E37" i="138"/>
  <c r="C37" i="138"/>
  <c r="M36" i="138"/>
  <c r="L36" i="138"/>
  <c r="G36" i="138"/>
  <c r="E36" i="138"/>
  <c r="C36" i="138"/>
  <c r="M35" i="138"/>
  <c r="L35" i="138"/>
  <c r="G35" i="138"/>
  <c r="E35" i="138"/>
  <c r="C35" i="138"/>
  <c r="M34" i="138"/>
  <c r="L34" i="138"/>
  <c r="G34" i="138"/>
  <c r="E34" i="138"/>
  <c r="C34" i="138"/>
  <c r="M33" i="138"/>
  <c r="L33" i="138"/>
  <c r="G33" i="138"/>
  <c r="E33" i="138"/>
  <c r="C33" i="138"/>
  <c r="M32" i="138"/>
  <c r="L32" i="138"/>
  <c r="M31" i="138"/>
  <c r="L31" i="138"/>
  <c r="L27" i="138"/>
  <c r="M27" i="138" s="1"/>
  <c r="G27" i="138"/>
  <c r="N27" i="138" s="1"/>
  <c r="E27" i="138"/>
  <c r="C27" i="138"/>
  <c r="L26" i="138"/>
  <c r="M26" i="138" s="1"/>
  <c r="G26" i="138"/>
  <c r="N26" i="138" s="1"/>
  <c r="E26" i="138"/>
  <c r="C26" i="138"/>
  <c r="L25" i="138"/>
  <c r="M25" i="138" s="1"/>
  <c r="G25" i="138"/>
  <c r="N25" i="138" s="1"/>
  <c r="E25" i="138"/>
  <c r="C25" i="138"/>
  <c r="L24" i="138"/>
  <c r="M24" i="138" s="1"/>
  <c r="G24" i="138"/>
  <c r="N24" i="138" s="1"/>
  <c r="E24" i="138"/>
  <c r="C24" i="138"/>
  <c r="L23" i="138"/>
  <c r="M23" i="138" s="1"/>
  <c r="G23" i="138"/>
  <c r="E23" i="138"/>
  <c r="C23" i="138"/>
  <c r="F43" i="138"/>
  <c r="G19" i="138"/>
  <c r="B16" i="138"/>
  <c r="B3" i="138"/>
  <c r="B2" i="138"/>
  <c r="B1" i="138"/>
  <c r="F62" i="137"/>
  <c r="F61" i="137"/>
  <c r="F60" i="137"/>
  <c r="G54" i="137"/>
  <c r="E54" i="137"/>
  <c r="D54" i="137"/>
  <c r="G53" i="137"/>
  <c r="E53" i="137"/>
  <c r="D53" i="137"/>
  <c r="G52" i="137"/>
  <c r="E52" i="137"/>
  <c r="D52" i="137"/>
  <c r="L46" i="137"/>
  <c r="M46" i="137" s="1"/>
  <c r="G46" i="137"/>
  <c r="N46" i="137" s="1"/>
  <c r="E46" i="137"/>
  <c r="C46" i="137"/>
  <c r="L45" i="137"/>
  <c r="M45" i="137" s="1"/>
  <c r="G45" i="137"/>
  <c r="N45" i="137" s="1"/>
  <c r="E45" i="137"/>
  <c r="C45" i="137"/>
  <c r="L44" i="137"/>
  <c r="M44" i="137" s="1"/>
  <c r="G44" i="137"/>
  <c r="N44" i="137" s="1"/>
  <c r="E44" i="137"/>
  <c r="C44" i="137"/>
  <c r="L43" i="137"/>
  <c r="M43" i="137" s="1"/>
  <c r="G43" i="137"/>
  <c r="N43" i="137" s="1"/>
  <c r="E43" i="137"/>
  <c r="C43" i="137"/>
  <c r="L42" i="137"/>
  <c r="M42" i="137" s="1"/>
  <c r="G42" i="137"/>
  <c r="N42" i="137" s="1"/>
  <c r="E42" i="137"/>
  <c r="C42" i="137"/>
  <c r="M38" i="137"/>
  <c r="L38" i="137"/>
  <c r="G38" i="137"/>
  <c r="E38" i="137"/>
  <c r="C38" i="137"/>
  <c r="M37" i="137"/>
  <c r="L37" i="137"/>
  <c r="G37" i="137"/>
  <c r="E37" i="137"/>
  <c r="C37" i="137"/>
  <c r="M36" i="137"/>
  <c r="L36" i="137"/>
  <c r="G36" i="137"/>
  <c r="E36" i="137"/>
  <c r="C36" i="137"/>
  <c r="M35" i="137"/>
  <c r="L35" i="137"/>
  <c r="G35" i="137"/>
  <c r="E35" i="137"/>
  <c r="C35" i="137"/>
  <c r="M34" i="137"/>
  <c r="L34" i="137"/>
  <c r="G34" i="137"/>
  <c r="E34" i="137"/>
  <c r="C34" i="137"/>
  <c r="M33" i="137"/>
  <c r="L33" i="137"/>
  <c r="G33" i="137"/>
  <c r="E33" i="137"/>
  <c r="C33" i="137"/>
  <c r="M32" i="137"/>
  <c r="L32" i="137"/>
  <c r="G32" i="137"/>
  <c r="E32" i="137"/>
  <c r="C32" i="137"/>
  <c r="M31" i="137"/>
  <c r="L31" i="137"/>
  <c r="G31" i="137"/>
  <c r="E31" i="137"/>
  <c r="C31" i="137"/>
  <c r="L27" i="137"/>
  <c r="M27" i="137" s="1"/>
  <c r="G27" i="137"/>
  <c r="N27" i="137" s="1"/>
  <c r="E27" i="137"/>
  <c r="C27" i="137"/>
  <c r="L26" i="137"/>
  <c r="M26" i="137" s="1"/>
  <c r="G26" i="137"/>
  <c r="N26" i="137" s="1"/>
  <c r="E26" i="137"/>
  <c r="C26" i="137"/>
  <c r="L25" i="137"/>
  <c r="M25" i="137" s="1"/>
  <c r="G25" i="137"/>
  <c r="N25" i="137" s="1"/>
  <c r="E25" i="137"/>
  <c r="C25" i="137"/>
  <c r="L24" i="137"/>
  <c r="M24" i="137" s="1"/>
  <c r="G24" i="137"/>
  <c r="N24" i="137" s="1"/>
  <c r="E24" i="137"/>
  <c r="C24" i="137"/>
  <c r="L23" i="137"/>
  <c r="M23" i="137" s="1"/>
  <c r="G23" i="137"/>
  <c r="N23" i="137" s="1"/>
  <c r="E23" i="137"/>
  <c r="C23" i="137"/>
  <c r="F51" i="137"/>
  <c r="G19" i="137"/>
  <c r="B16" i="137"/>
  <c r="B3" i="137"/>
  <c r="B2" i="137"/>
  <c r="B1" i="137"/>
  <c r="F62" i="136"/>
  <c r="F61" i="136"/>
  <c r="F60" i="136"/>
  <c r="G54" i="136"/>
  <c r="E54" i="136"/>
  <c r="D54" i="136"/>
  <c r="G53" i="136"/>
  <c r="E53" i="136"/>
  <c r="D53" i="136"/>
  <c r="G52" i="136"/>
  <c r="E52" i="136"/>
  <c r="D52" i="136"/>
  <c r="L46" i="136"/>
  <c r="M46" i="136" s="1"/>
  <c r="G46" i="136"/>
  <c r="N46" i="136" s="1"/>
  <c r="E46" i="136"/>
  <c r="C46" i="136"/>
  <c r="L45" i="136"/>
  <c r="M45" i="136" s="1"/>
  <c r="G45" i="136"/>
  <c r="N45" i="136" s="1"/>
  <c r="E45" i="136"/>
  <c r="C45" i="136"/>
  <c r="L44" i="136"/>
  <c r="M44" i="136" s="1"/>
  <c r="G44" i="136"/>
  <c r="N44" i="136" s="1"/>
  <c r="E44" i="136"/>
  <c r="C44" i="136"/>
  <c r="L43" i="136"/>
  <c r="M43" i="136" s="1"/>
  <c r="G43" i="136"/>
  <c r="N43" i="136" s="1"/>
  <c r="E43" i="136"/>
  <c r="C43" i="136"/>
  <c r="L42" i="136"/>
  <c r="M42" i="136" s="1"/>
  <c r="G42" i="136"/>
  <c r="E42" i="136"/>
  <c r="C42" i="136"/>
  <c r="M38" i="136"/>
  <c r="L38" i="136"/>
  <c r="G38" i="136"/>
  <c r="E38" i="136"/>
  <c r="C38" i="136"/>
  <c r="M37" i="136"/>
  <c r="L37" i="136"/>
  <c r="G37" i="136"/>
  <c r="E37" i="136"/>
  <c r="C37" i="136"/>
  <c r="M36" i="136"/>
  <c r="L36" i="136"/>
  <c r="G36" i="136"/>
  <c r="E36" i="136"/>
  <c r="C36" i="136"/>
  <c r="M35" i="136"/>
  <c r="L35" i="136"/>
  <c r="G35" i="136"/>
  <c r="E35" i="136"/>
  <c r="C35" i="136"/>
  <c r="M34" i="136"/>
  <c r="L34" i="136"/>
  <c r="G34" i="136"/>
  <c r="E34" i="136"/>
  <c r="C34" i="136"/>
  <c r="M33" i="136"/>
  <c r="L33" i="136"/>
  <c r="G33" i="136"/>
  <c r="E33" i="136"/>
  <c r="C33" i="136"/>
  <c r="M32" i="136"/>
  <c r="L32" i="136"/>
  <c r="G32" i="136"/>
  <c r="E32" i="136"/>
  <c r="C32" i="136"/>
  <c r="M31" i="136"/>
  <c r="L31" i="136"/>
  <c r="G31" i="136"/>
  <c r="E31" i="136"/>
  <c r="C31" i="136"/>
  <c r="L27" i="136"/>
  <c r="M27" i="136" s="1"/>
  <c r="G27" i="136"/>
  <c r="N27" i="136" s="1"/>
  <c r="E27" i="136"/>
  <c r="C27" i="136"/>
  <c r="L26" i="136"/>
  <c r="M26" i="136" s="1"/>
  <c r="G26" i="136"/>
  <c r="N26" i="136" s="1"/>
  <c r="E26" i="136"/>
  <c r="C26" i="136"/>
  <c r="L25" i="136"/>
  <c r="M25" i="136" s="1"/>
  <c r="G25" i="136"/>
  <c r="N25" i="136" s="1"/>
  <c r="E25" i="136"/>
  <c r="C25" i="136"/>
  <c r="L24" i="136"/>
  <c r="M24" i="136" s="1"/>
  <c r="G24" i="136"/>
  <c r="E24" i="136"/>
  <c r="C24" i="136"/>
  <c r="L23" i="136"/>
  <c r="M23" i="136" s="1"/>
  <c r="G23" i="136"/>
  <c r="N23" i="136" s="1"/>
  <c r="E23" i="136"/>
  <c r="C23" i="136"/>
  <c r="F23" i="136"/>
  <c r="G19" i="136"/>
  <c r="B16" i="136"/>
  <c r="B3" i="136"/>
  <c r="B2" i="136"/>
  <c r="B1" i="136"/>
  <c r="F62" i="135"/>
  <c r="F61" i="135"/>
  <c r="F60" i="135"/>
  <c r="G54" i="135"/>
  <c r="F54" i="135"/>
  <c r="E54" i="135"/>
  <c r="D54" i="135"/>
  <c r="G53" i="135"/>
  <c r="F53" i="135"/>
  <c r="E53" i="135"/>
  <c r="D53" i="135"/>
  <c r="G52" i="135"/>
  <c r="F52" i="135"/>
  <c r="E52" i="135"/>
  <c r="D52" i="135"/>
  <c r="F51" i="135"/>
  <c r="F50" i="135"/>
  <c r="L46" i="135"/>
  <c r="M46" i="135" s="1"/>
  <c r="G46" i="135"/>
  <c r="N46" i="135" s="1"/>
  <c r="F46" i="135"/>
  <c r="E46" i="135"/>
  <c r="C46" i="135"/>
  <c r="L45" i="135"/>
  <c r="M45" i="135" s="1"/>
  <c r="G45" i="135"/>
  <c r="N45" i="135" s="1"/>
  <c r="F45" i="135"/>
  <c r="E45" i="135"/>
  <c r="C45" i="135"/>
  <c r="L44" i="135"/>
  <c r="M44" i="135" s="1"/>
  <c r="G44" i="135"/>
  <c r="N44" i="135" s="1"/>
  <c r="F44" i="135"/>
  <c r="E44" i="135"/>
  <c r="C44" i="135"/>
  <c r="L43" i="135"/>
  <c r="M43" i="135" s="1"/>
  <c r="G43" i="135"/>
  <c r="N43" i="135" s="1"/>
  <c r="F43" i="135"/>
  <c r="E43" i="135"/>
  <c r="C43" i="135"/>
  <c r="F42" i="135"/>
  <c r="M38" i="135"/>
  <c r="L38" i="135"/>
  <c r="G38" i="135"/>
  <c r="E38" i="135"/>
  <c r="C38" i="135"/>
  <c r="M37" i="135"/>
  <c r="L37" i="135"/>
  <c r="G37" i="135"/>
  <c r="E37" i="135"/>
  <c r="C37" i="135"/>
  <c r="M36" i="135"/>
  <c r="L36" i="135"/>
  <c r="G36" i="135"/>
  <c r="E36" i="135"/>
  <c r="C36" i="135"/>
  <c r="M35" i="135"/>
  <c r="L35" i="135"/>
  <c r="G35" i="135"/>
  <c r="E35" i="135"/>
  <c r="C35" i="135"/>
  <c r="M34" i="135"/>
  <c r="L34" i="135"/>
  <c r="G34" i="135"/>
  <c r="E34" i="135"/>
  <c r="C34" i="135"/>
  <c r="M33" i="135"/>
  <c r="L33" i="135"/>
  <c r="G33" i="135"/>
  <c r="E33" i="135"/>
  <c r="C33" i="135"/>
  <c r="M32" i="135"/>
  <c r="L32" i="135"/>
  <c r="G32" i="135"/>
  <c r="E32" i="135"/>
  <c r="C32" i="135"/>
  <c r="M31" i="135"/>
  <c r="L31" i="135"/>
  <c r="L27" i="135"/>
  <c r="M27" i="135" s="1"/>
  <c r="G27" i="135"/>
  <c r="N27" i="135" s="1"/>
  <c r="F27" i="135"/>
  <c r="E27" i="135"/>
  <c r="C27" i="135"/>
  <c r="L26" i="135"/>
  <c r="M26" i="135" s="1"/>
  <c r="G26" i="135"/>
  <c r="N26" i="135" s="1"/>
  <c r="F26" i="135"/>
  <c r="E26" i="135"/>
  <c r="C26" i="135"/>
  <c r="L25" i="135"/>
  <c r="M25" i="135" s="1"/>
  <c r="G25" i="135"/>
  <c r="N25" i="135" s="1"/>
  <c r="F25" i="135"/>
  <c r="E25" i="135"/>
  <c r="C25" i="135"/>
  <c r="L24" i="135"/>
  <c r="M24" i="135" s="1"/>
  <c r="G24" i="135"/>
  <c r="N24" i="135" s="1"/>
  <c r="F24" i="135"/>
  <c r="E24" i="135"/>
  <c r="C24" i="135"/>
  <c r="F23" i="135"/>
  <c r="G19" i="135"/>
  <c r="B16" i="135"/>
  <c r="B3" i="135"/>
  <c r="B2" i="135"/>
  <c r="B1" i="135"/>
  <c r="F62" i="134"/>
  <c r="F61" i="134"/>
  <c r="F60" i="134"/>
  <c r="G54" i="134"/>
  <c r="F54" i="134"/>
  <c r="E54" i="134"/>
  <c r="D54" i="134"/>
  <c r="F53" i="134"/>
  <c r="F52" i="134"/>
  <c r="F51" i="134"/>
  <c r="F50" i="134"/>
  <c r="L46" i="134"/>
  <c r="M46" i="134" s="1"/>
  <c r="G46" i="134"/>
  <c r="N46" i="134" s="1"/>
  <c r="F46" i="134"/>
  <c r="E46" i="134"/>
  <c r="C46" i="134"/>
  <c r="L45" i="134"/>
  <c r="M45" i="134" s="1"/>
  <c r="G45" i="134"/>
  <c r="N45" i="134" s="1"/>
  <c r="F45" i="134"/>
  <c r="E45" i="134"/>
  <c r="C45" i="134"/>
  <c r="L44" i="134"/>
  <c r="M44" i="134" s="1"/>
  <c r="G44" i="134"/>
  <c r="N44" i="134" s="1"/>
  <c r="F44" i="134"/>
  <c r="E44" i="134"/>
  <c r="C44" i="134"/>
  <c r="L43" i="134"/>
  <c r="M43" i="134" s="1"/>
  <c r="G43" i="134"/>
  <c r="N43" i="134" s="1"/>
  <c r="F43" i="134"/>
  <c r="E43" i="134"/>
  <c r="C43" i="134"/>
  <c r="F42" i="134"/>
  <c r="M38" i="134"/>
  <c r="L38" i="134"/>
  <c r="G38" i="134"/>
  <c r="E38" i="134"/>
  <c r="C38" i="134"/>
  <c r="M37" i="134"/>
  <c r="L37" i="134"/>
  <c r="G37" i="134"/>
  <c r="E37" i="134"/>
  <c r="C37" i="134"/>
  <c r="M36" i="134"/>
  <c r="L36" i="134"/>
  <c r="G36" i="134"/>
  <c r="E36" i="134"/>
  <c r="C36" i="134"/>
  <c r="M35" i="134"/>
  <c r="L35" i="134"/>
  <c r="G35" i="134"/>
  <c r="E35" i="134"/>
  <c r="C35" i="134"/>
  <c r="M34" i="134"/>
  <c r="L34" i="134"/>
  <c r="G34" i="134"/>
  <c r="E34" i="134"/>
  <c r="C34" i="134"/>
  <c r="M33" i="134"/>
  <c r="L33" i="134"/>
  <c r="G33" i="134"/>
  <c r="E33" i="134"/>
  <c r="C33" i="134"/>
  <c r="M32" i="134"/>
  <c r="L32" i="134"/>
  <c r="G32" i="134"/>
  <c r="E32" i="134"/>
  <c r="C32" i="134"/>
  <c r="M31" i="134"/>
  <c r="L31" i="134"/>
  <c r="L27" i="134"/>
  <c r="M27" i="134" s="1"/>
  <c r="G27" i="134"/>
  <c r="N27" i="134" s="1"/>
  <c r="F27" i="134"/>
  <c r="E27" i="134"/>
  <c r="C27" i="134"/>
  <c r="L26" i="134"/>
  <c r="M26" i="134" s="1"/>
  <c r="G26" i="134"/>
  <c r="N26" i="134" s="1"/>
  <c r="F26" i="134"/>
  <c r="E26" i="134"/>
  <c r="C26" i="134"/>
  <c r="L25" i="134"/>
  <c r="M25" i="134" s="1"/>
  <c r="G25" i="134"/>
  <c r="N25" i="134" s="1"/>
  <c r="F25" i="134"/>
  <c r="E25" i="134"/>
  <c r="C25" i="134"/>
  <c r="L24" i="134"/>
  <c r="M24" i="134" s="1"/>
  <c r="G24" i="134"/>
  <c r="N24" i="134" s="1"/>
  <c r="F24" i="134"/>
  <c r="E24" i="134"/>
  <c r="C24" i="134"/>
  <c r="L23" i="134"/>
  <c r="M23" i="134" s="1"/>
  <c r="G23" i="134"/>
  <c r="N23" i="134" s="1"/>
  <c r="F23" i="134"/>
  <c r="E23" i="134"/>
  <c r="C23" i="134"/>
  <c r="G19" i="134"/>
  <c r="B16" i="134"/>
  <c r="B3" i="134"/>
  <c r="B2" i="134"/>
  <c r="B1" i="134"/>
  <c r="F62" i="133"/>
  <c r="F61" i="133"/>
  <c r="F60" i="133"/>
  <c r="G54" i="133"/>
  <c r="F54" i="133"/>
  <c r="E54" i="133"/>
  <c r="D54" i="133"/>
  <c r="G53" i="133"/>
  <c r="F53" i="133"/>
  <c r="E53" i="133"/>
  <c r="D53" i="133"/>
  <c r="F52" i="133"/>
  <c r="F51" i="133"/>
  <c r="F50" i="133"/>
  <c r="L46" i="133"/>
  <c r="M46" i="133" s="1"/>
  <c r="G46" i="133"/>
  <c r="N46" i="133" s="1"/>
  <c r="F46" i="133"/>
  <c r="E46" i="133"/>
  <c r="C46" i="133"/>
  <c r="L45" i="133"/>
  <c r="M45" i="133" s="1"/>
  <c r="G45" i="133"/>
  <c r="N45" i="133" s="1"/>
  <c r="F45" i="133"/>
  <c r="E45" i="133"/>
  <c r="C45" i="133"/>
  <c r="L44" i="133"/>
  <c r="M44" i="133" s="1"/>
  <c r="G44" i="133"/>
  <c r="N44" i="133" s="1"/>
  <c r="F44" i="133"/>
  <c r="E44" i="133"/>
  <c r="C44" i="133"/>
  <c r="L43" i="133"/>
  <c r="M43" i="133" s="1"/>
  <c r="G43" i="133"/>
  <c r="N43" i="133" s="1"/>
  <c r="F43" i="133"/>
  <c r="E43" i="133"/>
  <c r="C43" i="133"/>
  <c r="F42" i="133"/>
  <c r="M38" i="133"/>
  <c r="L38" i="133"/>
  <c r="G38" i="133"/>
  <c r="E38" i="133"/>
  <c r="C38" i="133"/>
  <c r="M37" i="133"/>
  <c r="L37" i="133"/>
  <c r="G37" i="133"/>
  <c r="E37" i="133"/>
  <c r="C37" i="133"/>
  <c r="M36" i="133"/>
  <c r="L36" i="133"/>
  <c r="G36" i="133"/>
  <c r="E36" i="133"/>
  <c r="C36" i="133"/>
  <c r="M35" i="133"/>
  <c r="L35" i="133"/>
  <c r="G35" i="133"/>
  <c r="E35" i="133"/>
  <c r="C35" i="133"/>
  <c r="M34" i="133"/>
  <c r="L34" i="133"/>
  <c r="G34" i="133"/>
  <c r="E34" i="133"/>
  <c r="C34" i="133"/>
  <c r="M33" i="133"/>
  <c r="L33" i="133"/>
  <c r="G33" i="133"/>
  <c r="E33" i="133"/>
  <c r="C33" i="133"/>
  <c r="M32" i="133"/>
  <c r="L32" i="133"/>
  <c r="M31" i="133"/>
  <c r="L31" i="133"/>
  <c r="L27" i="133"/>
  <c r="M27" i="133" s="1"/>
  <c r="G27" i="133"/>
  <c r="N27" i="133" s="1"/>
  <c r="F27" i="133"/>
  <c r="E27" i="133"/>
  <c r="C27" i="133"/>
  <c r="L26" i="133"/>
  <c r="M26" i="133" s="1"/>
  <c r="G26" i="133"/>
  <c r="N26" i="133" s="1"/>
  <c r="F26" i="133"/>
  <c r="E26" i="133"/>
  <c r="C26" i="133"/>
  <c r="L25" i="133"/>
  <c r="M25" i="133" s="1"/>
  <c r="G25" i="133"/>
  <c r="N25" i="133" s="1"/>
  <c r="F25" i="133"/>
  <c r="E25" i="133"/>
  <c r="C25" i="133"/>
  <c r="L24" i="133"/>
  <c r="M24" i="133" s="1"/>
  <c r="G24" i="133"/>
  <c r="N24" i="133" s="1"/>
  <c r="F24" i="133"/>
  <c r="E24" i="133"/>
  <c r="C24" i="133"/>
  <c r="F23" i="133"/>
  <c r="G19" i="133"/>
  <c r="B16" i="133"/>
  <c r="B3" i="133"/>
  <c r="B2" i="133"/>
  <c r="B1" i="133"/>
  <c r="F62" i="132"/>
  <c r="F61" i="132"/>
  <c r="F60" i="132"/>
  <c r="L46" i="132"/>
  <c r="M46" i="132" s="1"/>
  <c r="N46" i="132"/>
  <c r="L45" i="132"/>
  <c r="M45" i="132" s="1"/>
  <c r="N45" i="132"/>
  <c r="L44" i="132"/>
  <c r="M44" i="132" s="1"/>
  <c r="N44" i="132"/>
  <c r="L43" i="132"/>
  <c r="M43" i="132" s="1"/>
  <c r="N43" i="132"/>
  <c r="M38" i="132"/>
  <c r="L38" i="132"/>
  <c r="M37" i="132"/>
  <c r="L37" i="132"/>
  <c r="M36" i="132"/>
  <c r="L36" i="132"/>
  <c r="M35" i="132"/>
  <c r="L35" i="132"/>
  <c r="M34" i="132"/>
  <c r="L34" i="132"/>
  <c r="M33" i="132"/>
  <c r="L33" i="132"/>
  <c r="M32" i="132"/>
  <c r="L32" i="132"/>
  <c r="M31" i="132"/>
  <c r="L31" i="132"/>
  <c r="L27" i="132"/>
  <c r="M27" i="132" s="1"/>
  <c r="N27" i="132"/>
  <c r="L26" i="132"/>
  <c r="M26" i="132" s="1"/>
  <c r="N26" i="132"/>
  <c r="L25" i="132"/>
  <c r="M25" i="132" s="1"/>
  <c r="N25" i="132"/>
  <c r="L24" i="132"/>
  <c r="M24" i="132" s="1"/>
  <c r="N24" i="132"/>
  <c r="B16" i="132"/>
  <c r="B3" i="132"/>
  <c r="B2" i="132"/>
  <c r="B1" i="132"/>
  <c r="F62" i="131"/>
  <c r="F61" i="131"/>
  <c r="F60" i="131"/>
  <c r="G54" i="131"/>
  <c r="F54" i="131"/>
  <c r="E54" i="131"/>
  <c r="D54" i="131"/>
  <c r="G53" i="131"/>
  <c r="F53" i="131"/>
  <c r="E53" i="131"/>
  <c r="D53" i="131"/>
  <c r="F52" i="131"/>
  <c r="F51" i="131"/>
  <c r="F50" i="131"/>
  <c r="L46" i="131"/>
  <c r="M46" i="131" s="1"/>
  <c r="G46" i="131"/>
  <c r="N46" i="131" s="1"/>
  <c r="F46" i="131"/>
  <c r="E46" i="131"/>
  <c r="C46" i="131"/>
  <c r="L45" i="131"/>
  <c r="M45" i="131" s="1"/>
  <c r="G45" i="131"/>
  <c r="N45" i="131" s="1"/>
  <c r="F45" i="131"/>
  <c r="E45" i="131"/>
  <c r="C45" i="131"/>
  <c r="L44" i="131"/>
  <c r="M44" i="131" s="1"/>
  <c r="G44" i="131"/>
  <c r="N44" i="131" s="1"/>
  <c r="F44" i="131"/>
  <c r="E44" i="131"/>
  <c r="C44" i="131"/>
  <c r="L43" i="131"/>
  <c r="M43" i="131" s="1"/>
  <c r="G43" i="131"/>
  <c r="N43" i="131" s="1"/>
  <c r="F43" i="131"/>
  <c r="E43" i="131"/>
  <c r="C43" i="131"/>
  <c r="F42" i="131"/>
  <c r="M38" i="131"/>
  <c r="L38" i="131"/>
  <c r="G38" i="131"/>
  <c r="E38" i="131"/>
  <c r="C38" i="131"/>
  <c r="M37" i="131"/>
  <c r="L37" i="131"/>
  <c r="G37" i="131"/>
  <c r="E37" i="131"/>
  <c r="C37" i="131"/>
  <c r="M36" i="131"/>
  <c r="L36" i="131"/>
  <c r="G36" i="131"/>
  <c r="E36" i="131"/>
  <c r="C36" i="131"/>
  <c r="M35" i="131"/>
  <c r="L35" i="131"/>
  <c r="G35" i="131"/>
  <c r="E35" i="131"/>
  <c r="C35" i="131"/>
  <c r="M34" i="131"/>
  <c r="L34" i="131"/>
  <c r="G34" i="131"/>
  <c r="E34" i="131"/>
  <c r="C34" i="131"/>
  <c r="M33" i="131"/>
  <c r="L33" i="131"/>
  <c r="G33" i="131"/>
  <c r="E33" i="131"/>
  <c r="C33" i="131"/>
  <c r="M32" i="131"/>
  <c r="L32" i="131"/>
  <c r="M31" i="131"/>
  <c r="L31" i="131"/>
  <c r="L27" i="131"/>
  <c r="M27" i="131" s="1"/>
  <c r="G27" i="131"/>
  <c r="N27" i="131" s="1"/>
  <c r="F27" i="131"/>
  <c r="E27" i="131"/>
  <c r="C27" i="131"/>
  <c r="L26" i="131"/>
  <c r="M26" i="131" s="1"/>
  <c r="G26" i="131"/>
  <c r="N26" i="131" s="1"/>
  <c r="F26" i="131"/>
  <c r="E26" i="131"/>
  <c r="C26" i="131"/>
  <c r="L25" i="131"/>
  <c r="M25" i="131" s="1"/>
  <c r="G25" i="131"/>
  <c r="N25" i="131" s="1"/>
  <c r="F25" i="131"/>
  <c r="E25" i="131"/>
  <c r="C25" i="131"/>
  <c r="L24" i="131"/>
  <c r="M24" i="131" s="1"/>
  <c r="G24" i="131"/>
  <c r="N24" i="131" s="1"/>
  <c r="F24" i="131"/>
  <c r="E24" i="131"/>
  <c r="C24" i="131"/>
  <c r="F23" i="131"/>
  <c r="G19" i="131"/>
  <c r="B16" i="131"/>
  <c r="B3" i="131"/>
  <c r="B2" i="131"/>
  <c r="B1" i="131"/>
  <c r="F62" i="130"/>
  <c r="F61" i="130"/>
  <c r="F60" i="130"/>
  <c r="G54" i="130"/>
  <c r="F54" i="130"/>
  <c r="E54" i="130"/>
  <c r="D54" i="130"/>
  <c r="G53" i="130"/>
  <c r="F53" i="130"/>
  <c r="E53" i="130"/>
  <c r="D53" i="130"/>
  <c r="F52" i="130"/>
  <c r="F51" i="130"/>
  <c r="F50" i="130"/>
  <c r="L46" i="130"/>
  <c r="M46" i="130" s="1"/>
  <c r="G46" i="130"/>
  <c r="N46" i="130" s="1"/>
  <c r="F46" i="130"/>
  <c r="E46" i="130"/>
  <c r="C46" i="130"/>
  <c r="L45" i="130"/>
  <c r="M45" i="130" s="1"/>
  <c r="G45" i="130"/>
  <c r="N45" i="130" s="1"/>
  <c r="F45" i="130"/>
  <c r="E45" i="130"/>
  <c r="C45" i="130"/>
  <c r="L44" i="130"/>
  <c r="M44" i="130" s="1"/>
  <c r="G44" i="130"/>
  <c r="N44" i="130" s="1"/>
  <c r="F44" i="130"/>
  <c r="E44" i="130"/>
  <c r="C44" i="130"/>
  <c r="L43" i="130"/>
  <c r="M43" i="130" s="1"/>
  <c r="G43" i="130"/>
  <c r="N43" i="130" s="1"/>
  <c r="F43" i="130"/>
  <c r="E43" i="130"/>
  <c r="C43" i="130"/>
  <c r="F42" i="130"/>
  <c r="M38" i="130"/>
  <c r="L38" i="130"/>
  <c r="G38" i="130"/>
  <c r="E38" i="130"/>
  <c r="C38" i="130"/>
  <c r="M37" i="130"/>
  <c r="L37" i="130"/>
  <c r="G37" i="130"/>
  <c r="E37" i="130"/>
  <c r="C37" i="130"/>
  <c r="M36" i="130"/>
  <c r="L36" i="130"/>
  <c r="G36" i="130"/>
  <c r="E36" i="130"/>
  <c r="C36" i="130"/>
  <c r="M35" i="130"/>
  <c r="L35" i="130"/>
  <c r="G35" i="130"/>
  <c r="E35" i="130"/>
  <c r="C35" i="130"/>
  <c r="M34" i="130"/>
  <c r="L34" i="130"/>
  <c r="G34" i="130"/>
  <c r="E34" i="130"/>
  <c r="C34" i="130"/>
  <c r="M33" i="130"/>
  <c r="L33" i="130"/>
  <c r="G33" i="130"/>
  <c r="E33" i="130"/>
  <c r="C33" i="130"/>
  <c r="M32" i="130"/>
  <c r="L32" i="130"/>
  <c r="M31" i="130"/>
  <c r="L31" i="130"/>
  <c r="L27" i="130"/>
  <c r="M27" i="130" s="1"/>
  <c r="G27" i="130"/>
  <c r="N27" i="130" s="1"/>
  <c r="F27" i="130"/>
  <c r="E27" i="130"/>
  <c r="C27" i="130"/>
  <c r="L26" i="130"/>
  <c r="M26" i="130" s="1"/>
  <c r="G26" i="130"/>
  <c r="N26" i="130" s="1"/>
  <c r="F26" i="130"/>
  <c r="E26" i="130"/>
  <c r="C26" i="130"/>
  <c r="L25" i="130"/>
  <c r="M25" i="130" s="1"/>
  <c r="G25" i="130"/>
  <c r="N25" i="130" s="1"/>
  <c r="F25" i="130"/>
  <c r="E25" i="130"/>
  <c r="C25" i="130"/>
  <c r="L24" i="130"/>
  <c r="M24" i="130" s="1"/>
  <c r="G24" i="130"/>
  <c r="F24" i="130"/>
  <c r="E24" i="130"/>
  <c r="C24" i="130"/>
  <c r="F23" i="130"/>
  <c r="G19" i="130"/>
  <c r="B16" i="130"/>
  <c r="B3" i="130"/>
  <c r="B2" i="130"/>
  <c r="B1" i="130"/>
  <c r="F62" i="129"/>
  <c r="F61" i="129"/>
  <c r="F60" i="129"/>
  <c r="G54" i="129"/>
  <c r="F54" i="129"/>
  <c r="E54" i="129"/>
  <c r="D54" i="129"/>
  <c r="G53" i="129"/>
  <c r="F53" i="129"/>
  <c r="E53" i="129"/>
  <c r="D53" i="129"/>
  <c r="F52" i="129"/>
  <c r="F51" i="129"/>
  <c r="F50" i="129"/>
  <c r="L46" i="129"/>
  <c r="M46" i="129" s="1"/>
  <c r="G46" i="129"/>
  <c r="N46" i="129" s="1"/>
  <c r="F46" i="129"/>
  <c r="E46" i="129"/>
  <c r="C46" i="129"/>
  <c r="L45" i="129"/>
  <c r="M45" i="129" s="1"/>
  <c r="G45" i="129"/>
  <c r="N45" i="129" s="1"/>
  <c r="F45" i="129"/>
  <c r="E45" i="129"/>
  <c r="C45" i="129"/>
  <c r="L44" i="129"/>
  <c r="M44" i="129" s="1"/>
  <c r="G44" i="129"/>
  <c r="N44" i="129" s="1"/>
  <c r="F44" i="129"/>
  <c r="E44" i="129"/>
  <c r="C44" i="129"/>
  <c r="L43" i="129"/>
  <c r="M43" i="129" s="1"/>
  <c r="G43" i="129"/>
  <c r="N43" i="129" s="1"/>
  <c r="F43" i="129"/>
  <c r="E43" i="129"/>
  <c r="C43" i="129"/>
  <c r="L42" i="129"/>
  <c r="M42" i="129" s="1"/>
  <c r="G42" i="129"/>
  <c r="F42" i="129"/>
  <c r="E42" i="129"/>
  <c r="C42" i="129"/>
  <c r="M38" i="129"/>
  <c r="L38" i="129"/>
  <c r="G38" i="129"/>
  <c r="E38" i="129"/>
  <c r="C38" i="129"/>
  <c r="M37" i="129"/>
  <c r="L37" i="129"/>
  <c r="G37" i="129"/>
  <c r="E37" i="129"/>
  <c r="C37" i="129"/>
  <c r="M36" i="129"/>
  <c r="L36" i="129"/>
  <c r="G36" i="129"/>
  <c r="E36" i="129"/>
  <c r="C36" i="129"/>
  <c r="M35" i="129"/>
  <c r="L35" i="129"/>
  <c r="G35" i="129"/>
  <c r="E35" i="129"/>
  <c r="C35" i="129"/>
  <c r="M34" i="129"/>
  <c r="L34" i="129"/>
  <c r="G34" i="129"/>
  <c r="E34" i="129"/>
  <c r="C34" i="129"/>
  <c r="M33" i="129"/>
  <c r="L33" i="129"/>
  <c r="G33" i="129"/>
  <c r="E33" i="129"/>
  <c r="C33" i="129"/>
  <c r="M32" i="129"/>
  <c r="L32" i="129"/>
  <c r="G32" i="129"/>
  <c r="E32" i="129"/>
  <c r="C32" i="129"/>
  <c r="M31" i="129"/>
  <c r="L31" i="129"/>
  <c r="L27" i="129"/>
  <c r="M27" i="129" s="1"/>
  <c r="G27" i="129"/>
  <c r="N27" i="129" s="1"/>
  <c r="F27" i="129"/>
  <c r="E27" i="129"/>
  <c r="C27" i="129"/>
  <c r="L26" i="129"/>
  <c r="M26" i="129" s="1"/>
  <c r="G26" i="129"/>
  <c r="N26" i="129" s="1"/>
  <c r="F26" i="129"/>
  <c r="E26" i="129"/>
  <c r="C26" i="129"/>
  <c r="L25" i="129"/>
  <c r="M25" i="129" s="1"/>
  <c r="G25" i="129"/>
  <c r="N25" i="129" s="1"/>
  <c r="F25" i="129"/>
  <c r="E25" i="129"/>
  <c r="C25" i="129"/>
  <c r="L24" i="129"/>
  <c r="M24" i="129" s="1"/>
  <c r="G24" i="129"/>
  <c r="N24" i="129" s="1"/>
  <c r="F24" i="129"/>
  <c r="E24" i="129"/>
  <c r="C24" i="129"/>
  <c r="L23" i="129"/>
  <c r="M23" i="129" s="1"/>
  <c r="G23" i="129"/>
  <c r="N23" i="129" s="1"/>
  <c r="F23" i="129"/>
  <c r="E23" i="129"/>
  <c r="C23" i="129"/>
  <c r="G19" i="129"/>
  <c r="B16" i="129"/>
  <c r="B3" i="129"/>
  <c r="B2" i="129"/>
  <c r="B1" i="129"/>
  <c r="F62" i="128"/>
  <c r="F61" i="128"/>
  <c r="F60" i="128"/>
  <c r="G54" i="128"/>
  <c r="F54" i="128"/>
  <c r="E54" i="128"/>
  <c r="D54" i="128"/>
  <c r="G53" i="128"/>
  <c r="F53" i="128"/>
  <c r="E53" i="128"/>
  <c r="D53" i="128"/>
  <c r="F52" i="128"/>
  <c r="F51" i="128"/>
  <c r="F50" i="128"/>
  <c r="L46" i="128"/>
  <c r="M46" i="128" s="1"/>
  <c r="G46" i="128"/>
  <c r="N46" i="128" s="1"/>
  <c r="F46" i="128"/>
  <c r="E46" i="128"/>
  <c r="C46" i="128"/>
  <c r="L45" i="128"/>
  <c r="M45" i="128" s="1"/>
  <c r="G45" i="128"/>
  <c r="N45" i="128" s="1"/>
  <c r="F45" i="128"/>
  <c r="E45" i="128"/>
  <c r="C45" i="128"/>
  <c r="L44" i="128"/>
  <c r="M44" i="128" s="1"/>
  <c r="G44" i="128"/>
  <c r="N44" i="128" s="1"/>
  <c r="F44" i="128"/>
  <c r="E44" i="128"/>
  <c r="C44" i="128"/>
  <c r="L43" i="128"/>
  <c r="M43" i="128" s="1"/>
  <c r="G43" i="128"/>
  <c r="N43" i="128" s="1"/>
  <c r="F43" i="128"/>
  <c r="E43" i="128"/>
  <c r="C43" i="128"/>
  <c r="L42" i="128"/>
  <c r="M42" i="128" s="1"/>
  <c r="G42" i="128"/>
  <c r="N42" i="128" s="1"/>
  <c r="F42" i="128"/>
  <c r="E42" i="128"/>
  <c r="C42" i="128"/>
  <c r="M38" i="128"/>
  <c r="L38" i="128"/>
  <c r="G38" i="128"/>
  <c r="E38" i="128"/>
  <c r="C38" i="128"/>
  <c r="M37" i="128"/>
  <c r="L37" i="128"/>
  <c r="G37" i="128"/>
  <c r="E37" i="128"/>
  <c r="C37" i="128"/>
  <c r="M36" i="128"/>
  <c r="L36" i="128"/>
  <c r="G36" i="128"/>
  <c r="E36" i="128"/>
  <c r="C36" i="128"/>
  <c r="M35" i="128"/>
  <c r="L35" i="128"/>
  <c r="G35" i="128"/>
  <c r="E35" i="128"/>
  <c r="C35" i="128"/>
  <c r="M34" i="128"/>
  <c r="L34" i="128"/>
  <c r="G34" i="128"/>
  <c r="E34" i="128"/>
  <c r="C34" i="128"/>
  <c r="M33" i="128"/>
  <c r="L33" i="128"/>
  <c r="G33" i="128"/>
  <c r="E33" i="128"/>
  <c r="C33" i="128"/>
  <c r="M32" i="128"/>
  <c r="L32" i="128"/>
  <c r="G32" i="128"/>
  <c r="E32" i="128"/>
  <c r="C32" i="128"/>
  <c r="M31" i="128"/>
  <c r="L31" i="128"/>
  <c r="L27" i="128"/>
  <c r="M27" i="128" s="1"/>
  <c r="G27" i="128"/>
  <c r="N27" i="128" s="1"/>
  <c r="F27" i="128"/>
  <c r="E27" i="128"/>
  <c r="C27" i="128"/>
  <c r="L26" i="128"/>
  <c r="M26" i="128" s="1"/>
  <c r="G26" i="128"/>
  <c r="N26" i="128" s="1"/>
  <c r="F26" i="128"/>
  <c r="E26" i="128"/>
  <c r="C26" i="128"/>
  <c r="L25" i="128"/>
  <c r="M25" i="128" s="1"/>
  <c r="G25" i="128"/>
  <c r="N25" i="128" s="1"/>
  <c r="F25" i="128"/>
  <c r="E25" i="128"/>
  <c r="C25" i="128"/>
  <c r="L24" i="128"/>
  <c r="M24" i="128" s="1"/>
  <c r="G24" i="128"/>
  <c r="N24" i="128" s="1"/>
  <c r="F24" i="128"/>
  <c r="E24" i="128"/>
  <c r="C24" i="128"/>
  <c r="L23" i="128"/>
  <c r="M23" i="128" s="1"/>
  <c r="G23" i="128"/>
  <c r="N23" i="128" s="1"/>
  <c r="F23" i="128"/>
  <c r="E23" i="128"/>
  <c r="C23" i="128"/>
  <c r="G19" i="128"/>
  <c r="B16" i="128"/>
  <c r="B3" i="128"/>
  <c r="B2" i="128"/>
  <c r="B1" i="128"/>
  <c r="F62" i="127"/>
  <c r="F61" i="127"/>
  <c r="F60" i="127"/>
  <c r="G54" i="127"/>
  <c r="E54" i="127"/>
  <c r="D54" i="127"/>
  <c r="G53" i="127"/>
  <c r="E53" i="127"/>
  <c r="D53" i="127"/>
  <c r="L46" i="127"/>
  <c r="M46" i="127" s="1"/>
  <c r="G46" i="127"/>
  <c r="N46" i="127" s="1"/>
  <c r="E46" i="127"/>
  <c r="C46" i="127"/>
  <c r="L45" i="127"/>
  <c r="M45" i="127" s="1"/>
  <c r="G45" i="127"/>
  <c r="N45" i="127" s="1"/>
  <c r="E45" i="127"/>
  <c r="C45" i="127"/>
  <c r="L44" i="127"/>
  <c r="M44" i="127" s="1"/>
  <c r="G44" i="127"/>
  <c r="N44" i="127" s="1"/>
  <c r="E44" i="127"/>
  <c r="C44" i="127"/>
  <c r="L43" i="127"/>
  <c r="M43" i="127" s="1"/>
  <c r="G43" i="127"/>
  <c r="N43" i="127" s="1"/>
  <c r="E43" i="127"/>
  <c r="C43" i="127"/>
  <c r="M38" i="127"/>
  <c r="L38" i="127"/>
  <c r="G38" i="127"/>
  <c r="E38" i="127"/>
  <c r="C38" i="127"/>
  <c r="M37" i="127"/>
  <c r="L37" i="127"/>
  <c r="G37" i="127"/>
  <c r="E37" i="127"/>
  <c r="C37" i="127"/>
  <c r="M36" i="127"/>
  <c r="L36" i="127"/>
  <c r="G36" i="127"/>
  <c r="E36" i="127"/>
  <c r="C36" i="127"/>
  <c r="M35" i="127"/>
  <c r="L35" i="127"/>
  <c r="G35" i="127"/>
  <c r="E35" i="127"/>
  <c r="C35" i="127"/>
  <c r="M34" i="127"/>
  <c r="L34" i="127"/>
  <c r="G34" i="127"/>
  <c r="E34" i="127"/>
  <c r="C34" i="127"/>
  <c r="M33" i="127"/>
  <c r="L33" i="127"/>
  <c r="G33" i="127"/>
  <c r="E33" i="127"/>
  <c r="C33" i="127"/>
  <c r="M32" i="127"/>
  <c r="L32" i="127"/>
  <c r="M31" i="127"/>
  <c r="L31" i="127"/>
  <c r="L27" i="127"/>
  <c r="M27" i="127" s="1"/>
  <c r="G27" i="127"/>
  <c r="N27" i="127" s="1"/>
  <c r="E27" i="127"/>
  <c r="C27" i="127"/>
  <c r="L26" i="127"/>
  <c r="M26" i="127" s="1"/>
  <c r="G26" i="127"/>
  <c r="N26" i="127" s="1"/>
  <c r="E26" i="127"/>
  <c r="C26" i="127"/>
  <c r="L25" i="127"/>
  <c r="M25" i="127" s="1"/>
  <c r="G25" i="127"/>
  <c r="N25" i="127" s="1"/>
  <c r="E25" i="127"/>
  <c r="C25" i="127"/>
  <c r="L24" i="127"/>
  <c r="M24" i="127" s="1"/>
  <c r="G24" i="127"/>
  <c r="N24" i="127" s="1"/>
  <c r="E24" i="127"/>
  <c r="C24" i="127"/>
  <c r="F27" i="127"/>
  <c r="G19" i="127"/>
  <c r="B16" i="127"/>
  <c r="B3" i="127"/>
  <c r="B2" i="127"/>
  <c r="B1" i="127"/>
  <c r="F62" i="126"/>
  <c r="F61" i="126"/>
  <c r="F60" i="126"/>
  <c r="G54" i="126"/>
  <c r="G53" i="126"/>
  <c r="L46" i="126"/>
  <c r="M46" i="126" s="1"/>
  <c r="G46" i="126"/>
  <c r="N46" i="126" s="1"/>
  <c r="E46" i="126"/>
  <c r="C46" i="126"/>
  <c r="L45" i="126"/>
  <c r="M45" i="126" s="1"/>
  <c r="G45" i="126"/>
  <c r="N45" i="126" s="1"/>
  <c r="E45" i="126"/>
  <c r="C45" i="126"/>
  <c r="L44" i="126"/>
  <c r="M44" i="126" s="1"/>
  <c r="G44" i="126"/>
  <c r="N44" i="126" s="1"/>
  <c r="E44" i="126"/>
  <c r="C44" i="126"/>
  <c r="L43" i="126"/>
  <c r="M43" i="126" s="1"/>
  <c r="G43" i="126"/>
  <c r="N43" i="126" s="1"/>
  <c r="E43" i="126"/>
  <c r="C43" i="126"/>
  <c r="M38" i="126"/>
  <c r="L38" i="126"/>
  <c r="G38" i="126"/>
  <c r="E38" i="126"/>
  <c r="C38" i="126"/>
  <c r="M37" i="126"/>
  <c r="L37" i="126"/>
  <c r="M36" i="126"/>
  <c r="L36" i="126"/>
  <c r="M35" i="126"/>
  <c r="L35" i="126"/>
  <c r="M34" i="126"/>
  <c r="L34" i="126"/>
  <c r="M33" i="126"/>
  <c r="L33" i="126"/>
  <c r="M32" i="126"/>
  <c r="L32" i="126"/>
  <c r="M31" i="126"/>
  <c r="L31" i="126"/>
  <c r="L27" i="126"/>
  <c r="M27" i="126" s="1"/>
  <c r="G27" i="126"/>
  <c r="N27" i="126" s="1"/>
  <c r="E27" i="126"/>
  <c r="C27" i="126"/>
  <c r="L26" i="126"/>
  <c r="M26" i="126" s="1"/>
  <c r="G26" i="126"/>
  <c r="N26" i="126" s="1"/>
  <c r="E26" i="126"/>
  <c r="C26" i="126"/>
  <c r="L25" i="126"/>
  <c r="M25" i="126" s="1"/>
  <c r="G25" i="126"/>
  <c r="N25" i="126" s="1"/>
  <c r="E25" i="126"/>
  <c r="C25" i="126"/>
  <c r="L24" i="126"/>
  <c r="M24" i="126" s="1"/>
  <c r="G24" i="126"/>
  <c r="N24" i="126" s="1"/>
  <c r="E24" i="126"/>
  <c r="C24" i="126"/>
  <c r="F26" i="126"/>
  <c r="G19" i="126"/>
  <c r="B16" i="126"/>
  <c r="B3" i="126"/>
  <c r="B2" i="126"/>
  <c r="B1" i="126"/>
  <c r="F62" i="125"/>
  <c r="F61" i="125"/>
  <c r="F60" i="125"/>
  <c r="G54" i="125"/>
  <c r="E54" i="125"/>
  <c r="D54" i="125"/>
  <c r="L46" i="125"/>
  <c r="M46" i="125" s="1"/>
  <c r="G46" i="125"/>
  <c r="N46" i="125" s="1"/>
  <c r="E46" i="125"/>
  <c r="C46" i="125"/>
  <c r="L45" i="125"/>
  <c r="M45" i="125" s="1"/>
  <c r="G45" i="125"/>
  <c r="N45" i="125" s="1"/>
  <c r="E45" i="125"/>
  <c r="C45" i="125"/>
  <c r="L44" i="125"/>
  <c r="M44" i="125" s="1"/>
  <c r="G44" i="125"/>
  <c r="N44" i="125" s="1"/>
  <c r="E44" i="125"/>
  <c r="C44" i="125"/>
  <c r="L43" i="125"/>
  <c r="M43" i="125" s="1"/>
  <c r="G43" i="125"/>
  <c r="N43" i="125" s="1"/>
  <c r="E43" i="125"/>
  <c r="C43" i="125"/>
  <c r="M38" i="125"/>
  <c r="L38" i="125"/>
  <c r="G38" i="125"/>
  <c r="E38" i="125"/>
  <c r="C38" i="125"/>
  <c r="M37" i="125"/>
  <c r="L37" i="125"/>
  <c r="G37" i="125"/>
  <c r="E37" i="125"/>
  <c r="C37" i="125"/>
  <c r="M36" i="125"/>
  <c r="L36" i="125"/>
  <c r="G36" i="125"/>
  <c r="E36" i="125"/>
  <c r="C36" i="125"/>
  <c r="M35" i="125"/>
  <c r="L35" i="125"/>
  <c r="G35" i="125"/>
  <c r="E35" i="125"/>
  <c r="C35" i="125"/>
  <c r="M34" i="125"/>
  <c r="L34" i="125"/>
  <c r="G34" i="125"/>
  <c r="E34" i="125"/>
  <c r="C34" i="125"/>
  <c r="M33" i="125"/>
  <c r="L33" i="125"/>
  <c r="M32" i="125"/>
  <c r="L32" i="125"/>
  <c r="M31" i="125"/>
  <c r="L31" i="125"/>
  <c r="L27" i="125"/>
  <c r="M27" i="125" s="1"/>
  <c r="G27" i="125"/>
  <c r="N27" i="125" s="1"/>
  <c r="E27" i="125"/>
  <c r="C27" i="125"/>
  <c r="F51" i="125"/>
  <c r="G19" i="125"/>
  <c r="B16" i="125"/>
  <c r="B3" i="125"/>
  <c r="B2" i="125"/>
  <c r="B1" i="125"/>
  <c r="F62" i="124"/>
  <c r="F61" i="124"/>
  <c r="F60" i="124"/>
  <c r="G54" i="124"/>
  <c r="E54" i="124"/>
  <c r="D54" i="124"/>
  <c r="L46" i="124"/>
  <c r="M46" i="124" s="1"/>
  <c r="G46" i="124"/>
  <c r="N46" i="124" s="1"/>
  <c r="E46" i="124"/>
  <c r="C46" i="124"/>
  <c r="L45" i="124"/>
  <c r="M45" i="124" s="1"/>
  <c r="G45" i="124"/>
  <c r="N45" i="124" s="1"/>
  <c r="E45" i="124"/>
  <c r="C45" i="124"/>
  <c r="L44" i="124"/>
  <c r="M44" i="124" s="1"/>
  <c r="G44" i="124"/>
  <c r="N44" i="124" s="1"/>
  <c r="E44" i="124"/>
  <c r="C44" i="124"/>
  <c r="L43" i="124"/>
  <c r="M43" i="124" s="1"/>
  <c r="G43" i="124"/>
  <c r="N43" i="124" s="1"/>
  <c r="E43" i="124"/>
  <c r="C43" i="124"/>
  <c r="M38" i="124"/>
  <c r="L38" i="124"/>
  <c r="G38" i="124"/>
  <c r="E38" i="124"/>
  <c r="C38" i="124"/>
  <c r="M37" i="124"/>
  <c r="L37" i="124"/>
  <c r="G37" i="124"/>
  <c r="E37" i="124"/>
  <c r="C37" i="124"/>
  <c r="M36" i="124"/>
  <c r="L36" i="124"/>
  <c r="G36" i="124"/>
  <c r="E36" i="124"/>
  <c r="C36" i="124"/>
  <c r="M35" i="124"/>
  <c r="L35" i="124"/>
  <c r="G35" i="124"/>
  <c r="E35" i="124"/>
  <c r="C35" i="124"/>
  <c r="M34" i="124"/>
  <c r="L34" i="124"/>
  <c r="G34" i="124"/>
  <c r="E34" i="124"/>
  <c r="C34" i="124"/>
  <c r="M33" i="124"/>
  <c r="L33" i="124"/>
  <c r="M32" i="124"/>
  <c r="L32" i="124"/>
  <c r="M31" i="124"/>
  <c r="L31" i="124"/>
  <c r="L27" i="124"/>
  <c r="M27" i="124" s="1"/>
  <c r="G27" i="124"/>
  <c r="N27" i="124" s="1"/>
  <c r="E27" i="124"/>
  <c r="C27" i="124"/>
  <c r="H20" i="124"/>
  <c r="AI55" i="7" s="1"/>
  <c r="AJ55" i="7" s="1"/>
  <c r="AL55" i="7" s="1"/>
  <c r="AK55" i="7" s="1"/>
  <c r="G19" i="124"/>
  <c r="B16" i="124"/>
  <c r="B3" i="124"/>
  <c r="B2" i="124"/>
  <c r="B1" i="124"/>
  <c r="H65" i="123"/>
  <c r="F62" i="123"/>
  <c r="F61" i="123"/>
  <c r="F60" i="123"/>
  <c r="G54" i="123"/>
  <c r="E54" i="123"/>
  <c r="D54" i="123"/>
  <c r="L46" i="123"/>
  <c r="M46" i="123" s="1"/>
  <c r="G46" i="123"/>
  <c r="N46" i="123" s="1"/>
  <c r="E46" i="123"/>
  <c r="C46" i="123"/>
  <c r="L45" i="123"/>
  <c r="M45" i="123" s="1"/>
  <c r="G45" i="123"/>
  <c r="N45" i="123" s="1"/>
  <c r="E45" i="123"/>
  <c r="C45" i="123"/>
  <c r="L44" i="123"/>
  <c r="M44" i="123" s="1"/>
  <c r="G44" i="123"/>
  <c r="N44" i="123" s="1"/>
  <c r="E44" i="123"/>
  <c r="C44" i="123"/>
  <c r="L43" i="123"/>
  <c r="M43" i="123" s="1"/>
  <c r="G43" i="123"/>
  <c r="N43" i="123" s="1"/>
  <c r="E43" i="123"/>
  <c r="C43" i="123"/>
  <c r="M38" i="123"/>
  <c r="L38" i="123"/>
  <c r="G38" i="123"/>
  <c r="E38" i="123"/>
  <c r="C38" i="123"/>
  <c r="M37" i="123"/>
  <c r="L37" i="123"/>
  <c r="G37" i="123"/>
  <c r="E37" i="123"/>
  <c r="C37" i="123"/>
  <c r="M36" i="123"/>
  <c r="L36" i="123"/>
  <c r="G36" i="123"/>
  <c r="E36" i="123"/>
  <c r="C36" i="123"/>
  <c r="M35" i="123"/>
  <c r="L35" i="123"/>
  <c r="G35" i="123"/>
  <c r="E35" i="123"/>
  <c r="C35" i="123"/>
  <c r="M34" i="123"/>
  <c r="L34" i="123"/>
  <c r="G34" i="123"/>
  <c r="E34" i="123"/>
  <c r="C34" i="123"/>
  <c r="M33" i="123"/>
  <c r="L33" i="123"/>
  <c r="M32" i="123"/>
  <c r="L32" i="123"/>
  <c r="M31" i="123"/>
  <c r="L31" i="123"/>
  <c r="L27" i="123"/>
  <c r="M27" i="123" s="1"/>
  <c r="G27" i="123"/>
  <c r="N27" i="123" s="1"/>
  <c r="E27" i="123"/>
  <c r="C27" i="123"/>
  <c r="G19" i="123"/>
  <c r="B16" i="123"/>
  <c r="B3" i="123"/>
  <c r="B2" i="123"/>
  <c r="B1" i="123"/>
  <c r="I65" i="122"/>
  <c r="F62" i="122"/>
  <c r="F61" i="122"/>
  <c r="F60" i="122"/>
  <c r="G54" i="122"/>
  <c r="E54" i="122"/>
  <c r="D54" i="122"/>
  <c r="L46" i="122"/>
  <c r="M46" i="122" s="1"/>
  <c r="G46" i="122"/>
  <c r="N46" i="122" s="1"/>
  <c r="E46" i="122"/>
  <c r="C46" i="122"/>
  <c r="L45" i="122"/>
  <c r="M45" i="122" s="1"/>
  <c r="G45" i="122"/>
  <c r="N45" i="122" s="1"/>
  <c r="E45" i="122"/>
  <c r="C45" i="122"/>
  <c r="L44" i="122"/>
  <c r="M44" i="122" s="1"/>
  <c r="G44" i="122"/>
  <c r="N44" i="122" s="1"/>
  <c r="E44" i="122"/>
  <c r="C44" i="122"/>
  <c r="L43" i="122"/>
  <c r="M43" i="122" s="1"/>
  <c r="G43" i="122"/>
  <c r="N43" i="122" s="1"/>
  <c r="E43" i="122"/>
  <c r="C43" i="122"/>
  <c r="M38" i="122"/>
  <c r="L38" i="122"/>
  <c r="G38" i="122"/>
  <c r="E38" i="122"/>
  <c r="C38" i="122"/>
  <c r="M37" i="122"/>
  <c r="L37" i="122"/>
  <c r="G37" i="122"/>
  <c r="E37" i="122"/>
  <c r="C37" i="122"/>
  <c r="M36" i="122"/>
  <c r="L36" i="122"/>
  <c r="G36" i="122"/>
  <c r="E36" i="122"/>
  <c r="C36" i="122"/>
  <c r="M35" i="122"/>
  <c r="L35" i="122"/>
  <c r="G35" i="122"/>
  <c r="E35" i="122"/>
  <c r="C35" i="122"/>
  <c r="M34" i="122"/>
  <c r="L34" i="122"/>
  <c r="G34" i="122"/>
  <c r="E34" i="122"/>
  <c r="C34" i="122"/>
  <c r="M33" i="122"/>
  <c r="L33" i="122"/>
  <c r="M32" i="122"/>
  <c r="L32" i="122"/>
  <c r="M31" i="122"/>
  <c r="L31" i="122"/>
  <c r="L27" i="122"/>
  <c r="M27" i="122" s="1"/>
  <c r="G27" i="122"/>
  <c r="N27" i="122" s="1"/>
  <c r="E27" i="122"/>
  <c r="C27" i="122"/>
  <c r="AI53" i="7"/>
  <c r="AJ53" i="7" s="1"/>
  <c r="AL53" i="7" s="1"/>
  <c r="G19" i="122"/>
  <c r="B16" i="122"/>
  <c r="B3" i="122"/>
  <c r="B2" i="122"/>
  <c r="B1" i="122"/>
  <c r="H65" i="121"/>
  <c r="F62" i="121"/>
  <c r="F61" i="121"/>
  <c r="F60" i="121"/>
  <c r="G54" i="121"/>
  <c r="E54" i="121"/>
  <c r="D54" i="121"/>
  <c r="L46" i="121"/>
  <c r="M46" i="121" s="1"/>
  <c r="G46" i="121"/>
  <c r="N46" i="121" s="1"/>
  <c r="E46" i="121"/>
  <c r="C46" i="121"/>
  <c r="L45" i="121"/>
  <c r="M45" i="121" s="1"/>
  <c r="G45" i="121"/>
  <c r="N45" i="121" s="1"/>
  <c r="E45" i="121"/>
  <c r="C45" i="121"/>
  <c r="L44" i="121"/>
  <c r="M44" i="121" s="1"/>
  <c r="G44" i="121"/>
  <c r="N44" i="121" s="1"/>
  <c r="E44" i="121"/>
  <c r="C44" i="121"/>
  <c r="L43" i="121"/>
  <c r="M43" i="121" s="1"/>
  <c r="G43" i="121"/>
  <c r="N43" i="121" s="1"/>
  <c r="E43" i="121"/>
  <c r="C43" i="121"/>
  <c r="M38" i="121"/>
  <c r="L38" i="121"/>
  <c r="G38" i="121"/>
  <c r="E38" i="121"/>
  <c r="C38" i="121"/>
  <c r="M37" i="121"/>
  <c r="L37" i="121"/>
  <c r="G37" i="121"/>
  <c r="E37" i="121"/>
  <c r="C37" i="121"/>
  <c r="M36" i="121"/>
  <c r="L36" i="121"/>
  <c r="G36" i="121"/>
  <c r="E36" i="121"/>
  <c r="C36" i="121"/>
  <c r="M35" i="121"/>
  <c r="L35" i="121"/>
  <c r="G35" i="121"/>
  <c r="E35" i="121"/>
  <c r="C35" i="121"/>
  <c r="M34" i="121"/>
  <c r="L34" i="121"/>
  <c r="G34" i="121"/>
  <c r="E34" i="121"/>
  <c r="C34" i="121"/>
  <c r="M33" i="121"/>
  <c r="L33" i="121"/>
  <c r="M32" i="121"/>
  <c r="L32" i="121"/>
  <c r="M31" i="121"/>
  <c r="L31" i="121"/>
  <c r="L27" i="121"/>
  <c r="M27" i="121" s="1"/>
  <c r="G27" i="121"/>
  <c r="N27" i="121" s="1"/>
  <c r="E27" i="121"/>
  <c r="C27" i="121"/>
  <c r="G19" i="121"/>
  <c r="B16" i="121"/>
  <c r="B3" i="121"/>
  <c r="B2" i="121"/>
  <c r="B1" i="121"/>
  <c r="F62" i="120"/>
  <c r="F61" i="120"/>
  <c r="F60" i="120"/>
  <c r="G54" i="120"/>
  <c r="F54" i="120"/>
  <c r="E54" i="120"/>
  <c r="D54" i="120"/>
  <c r="G53" i="120"/>
  <c r="F53" i="120"/>
  <c r="E53" i="120"/>
  <c r="D53" i="120"/>
  <c r="G52" i="120"/>
  <c r="F52" i="120"/>
  <c r="E52" i="120"/>
  <c r="D52" i="120"/>
  <c r="F51" i="120"/>
  <c r="F50" i="120"/>
  <c r="L46" i="120"/>
  <c r="M46" i="120" s="1"/>
  <c r="G46" i="120"/>
  <c r="N46" i="120" s="1"/>
  <c r="F46" i="120"/>
  <c r="E46" i="120"/>
  <c r="C46" i="120"/>
  <c r="L45" i="120"/>
  <c r="M45" i="120" s="1"/>
  <c r="G45" i="120"/>
  <c r="N45" i="120" s="1"/>
  <c r="F45" i="120"/>
  <c r="E45" i="120"/>
  <c r="C45" i="120"/>
  <c r="L44" i="120"/>
  <c r="M44" i="120" s="1"/>
  <c r="G44" i="120"/>
  <c r="N44" i="120" s="1"/>
  <c r="F44" i="120"/>
  <c r="E44" i="120"/>
  <c r="C44" i="120"/>
  <c r="L43" i="120"/>
  <c r="M43" i="120" s="1"/>
  <c r="G43" i="120"/>
  <c r="N43" i="120" s="1"/>
  <c r="F43" i="120"/>
  <c r="E43" i="120"/>
  <c r="C43" i="120"/>
  <c r="F42" i="120"/>
  <c r="M38" i="120"/>
  <c r="L38" i="120"/>
  <c r="G38" i="120"/>
  <c r="E38" i="120"/>
  <c r="C38" i="120"/>
  <c r="M37" i="120"/>
  <c r="L37" i="120"/>
  <c r="G37" i="120"/>
  <c r="E37" i="120"/>
  <c r="C37" i="120"/>
  <c r="M36" i="120"/>
  <c r="L36" i="120"/>
  <c r="G36" i="120"/>
  <c r="E36" i="120"/>
  <c r="C36" i="120"/>
  <c r="M35" i="120"/>
  <c r="L35" i="120"/>
  <c r="G35" i="120"/>
  <c r="E35" i="120"/>
  <c r="C35" i="120"/>
  <c r="M34" i="120"/>
  <c r="L34" i="120"/>
  <c r="G34" i="120"/>
  <c r="E34" i="120"/>
  <c r="C34" i="120"/>
  <c r="M33" i="120"/>
  <c r="L33" i="120"/>
  <c r="G33" i="120"/>
  <c r="E33" i="120"/>
  <c r="C33" i="120"/>
  <c r="M32" i="120"/>
  <c r="L32" i="120"/>
  <c r="G32" i="120"/>
  <c r="E32" i="120"/>
  <c r="C32" i="120"/>
  <c r="M31" i="120"/>
  <c r="L31" i="120"/>
  <c r="L27" i="120"/>
  <c r="M27" i="120" s="1"/>
  <c r="G27" i="120"/>
  <c r="N27" i="120" s="1"/>
  <c r="F27" i="120"/>
  <c r="E27" i="120"/>
  <c r="C27" i="120"/>
  <c r="L26" i="120"/>
  <c r="M26" i="120" s="1"/>
  <c r="G26" i="120"/>
  <c r="N26" i="120" s="1"/>
  <c r="F26" i="120"/>
  <c r="E26" i="120"/>
  <c r="C26" i="120"/>
  <c r="L25" i="120"/>
  <c r="M25" i="120" s="1"/>
  <c r="G25" i="120"/>
  <c r="N25" i="120" s="1"/>
  <c r="F25" i="120"/>
  <c r="E25" i="120"/>
  <c r="C25" i="120"/>
  <c r="L24" i="120"/>
  <c r="M24" i="120" s="1"/>
  <c r="G24" i="120"/>
  <c r="N24" i="120" s="1"/>
  <c r="F24" i="120"/>
  <c r="E24" i="120"/>
  <c r="C24" i="120"/>
  <c r="L23" i="120"/>
  <c r="M23" i="120" s="1"/>
  <c r="G23" i="120"/>
  <c r="F23" i="120"/>
  <c r="E23" i="120"/>
  <c r="C23" i="120"/>
  <c r="G19" i="120"/>
  <c r="B16" i="120"/>
  <c r="B3" i="120"/>
  <c r="B2" i="120"/>
  <c r="B1" i="120"/>
  <c r="F62" i="119"/>
  <c r="F61" i="119"/>
  <c r="F60" i="119"/>
  <c r="G54" i="119"/>
  <c r="F54" i="119"/>
  <c r="E54" i="119"/>
  <c r="D54" i="119"/>
  <c r="G53" i="119"/>
  <c r="F53" i="119"/>
  <c r="E53" i="119"/>
  <c r="D53" i="119"/>
  <c r="F52" i="119"/>
  <c r="F51" i="119"/>
  <c r="F50" i="119"/>
  <c r="L46" i="119"/>
  <c r="M46" i="119" s="1"/>
  <c r="G46" i="119"/>
  <c r="N46" i="119" s="1"/>
  <c r="F46" i="119"/>
  <c r="E46" i="119"/>
  <c r="C46" i="119"/>
  <c r="L45" i="119"/>
  <c r="M45" i="119" s="1"/>
  <c r="G45" i="119"/>
  <c r="N45" i="119" s="1"/>
  <c r="F45" i="119"/>
  <c r="E45" i="119"/>
  <c r="C45" i="119"/>
  <c r="L44" i="119"/>
  <c r="M44" i="119" s="1"/>
  <c r="G44" i="119"/>
  <c r="N44" i="119" s="1"/>
  <c r="F44" i="119"/>
  <c r="E44" i="119"/>
  <c r="C44" i="119"/>
  <c r="L43" i="119"/>
  <c r="M43" i="119" s="1"/>
  <c r="G43" i="119"/>
  <c r="N43" i="119" s="1"/>
  <c r="F43" i="119"/>
  <c r="E43" i="119"/>
  <c r="C43" i="119"/>
  <c r="F42" i="119"/>
  <c r="M38" i="119"/>
  <c r="L38" i="119"/>
  <c r="G38" i="119"/>
  <c r="E38" i="119"/>
  <c r="C38" i="119"/>
  <c r="M37" i="119"/>
  <c r="L37" i="119"/>
  <c r="G37" i="119"/>
  <c r="E37" i="119"/>
  <c r="C37" i="119"/>
  <c r="M36" i="119"/>
  <c r="L36" i="119"/>
  <c r="G36" i="119"/>
  <c r="E36" i="119"/>
  <c r="C36" i="119"/>
  <c r="M35" i="119"/>
  <c r="L35" i="119"/>
  <c r="G35" i="119"/>
  <c r="E35" i="119"/>
  <c r="C35" i="119"/>
  <c r="M34" i="119"/>
  <c r="L34" i="119"/>
  <c r="M33" i="119"/>
  <c r="L33" i="119"/>
  <c r="M32" i="119"/>
  <c r="L32" i="119"/>
  <c r="M31" i="119"/>
  <c r="L31" i="119"/>
  <c r="L27" i="119"/>
  <c r="M27" i="119" s="1"/>
  <c r="G27" i="119"/>
  <c r="N27" i="119" s="1"/>
  <c r="F27" i="119"/>
  <c r="E27" i="119"/>
  <c r="C27" i="119"/>
  <c r="L26" i="119"/>
  <c r="M26" i="119" s="1"/>
  <c r="G26" i="119"/>
  <c r="N26" i="119" s="1"/>
  <c r="F26" i="119"/>
  <c r="E26" i="119"/>
  <c r="C26" i="119"/>
  <c r="L25" i="119"/>
  <c r="M25" i="119" s="1"/>
  <c r="G25" i="119"/>
  <c r="N25" i="119" s="1"/>
  <c r="F25" i="119"/>
  <c r="E25" i="119"/>
  <c r="C25" i="119"/>
  <c r="L24" i="119"/>
  <c r="M24" i="119" s="1"/>
  <c r="G24" i="119"/>
  <c r="N24" i="119" s="1"/>
  <c r="F24" i="119"/>
  <c r="E24" i="119"/>
  <c r="C24" i="119"/>
  <c r="L23" i="119"/>
  <c r="M23" i="119" s="1"/>
  <c r="G23" i="119"/>
  <c r="N23" i="119" s="1"/>
  <c r="F23" i="119"/>
  <c r="E23" i="119"/>
  <c r="C23" i="119"/>
  <c r="G19" i="119"/>
  <c r="B16" i="119"/>
  <c r="B3" i="119"/>
  <c r="B2" i="119"/>
  <c r="B1" i="119"/>
  <c r="F62" i="118"/>
  <c r="F61" i="118"/>
  <c r="F60" i="118"/>
  <c r="G54" i="118"/>
  <c r="F54" i="118"/>
  <c r="E54" i="118"/>
  <c r="D54" i="118"/>
  <c r="G53" i="118"/>
  <c r="F53" i="118"/>
  <c r="E53" i="118"/>
  <c r="D53" i="118"/>
  <c r="G52" i="118"/>
  <c r="F52" i="118"/>
  <c r="E52" i="118"/>
  <c r="D52" i="118"/>
  <c r="F51" i="118"/>
  <c r="F50" i="118"/>
  <c r="L46" i="118"/>
  <c r="M46" i="118" s="1"/>
  <c r="G46" i="118"/>
  <c r="N46" i="118" s="1"/>
  <c r="F46" i="118"/>
  <c r="E46" i="118"/>
  <c r="C46" i="118"/>
  <c r="L45" i="118"/>
  <c r="M45" i="118" s="1"/>
  <c r="G45" i="118"/>
  <c r="N45" i="118" s="1"/>
  <c r="F45" i="118"/>
  <c r="E45" i="118"/>
  <c r="C45" i="118"/>
  <c r="L44" i="118"/>
  <c r="M44" i="118" s="1"/>
  <c r="G44" i="118"/>
  <c r="N44" i="118" s="1"/>
  <c r="F44" i="118"/>
  <c r="E44" i="118"/>
  <c r="C44" i="118"/>
  <c r="L43" i="118"/>
  <c r="M43" i="118" s="1"/>
  <c r="G43" i="118"/>
  <c r="N43" i="118" s="1"/>
  <c r="F43" i="118"/>
  <c r="E43" i="118"/>
  <c r="C43" i="118"/>
  <c r="F42" i="118"/>
  <c r="M38" i="118"/>
  <c r="L38" i="118"/>
  <c r="G38" i="118"/>
  <c r="E38" i="118"/>
  <c r="C38" i="118"/>
  <c r="M37" i="118"/>
  <c r="L37" i="118"/>
  <c r="G37" i="118"/>
  <c r="E37" i="118"/>
  <c r="C37" i="118"/>
  <c r="M36" i="118"/>
  <c r="L36" i="118"/>
  <c r="G36" i="118"/>
  <c r="E36" i="118"/>
  <c r="C36" i="118"/>
  <c r="M35" i="118"/>
  <c r="L35" i="118"/>
  <c r="G35" i="118"/>
  <c r="E35" i="118"/>
  <c r="C35" i="118"/>
  <c r="M34" i="118"/>
  <c r="L34" i="118"/>
  <c r="G34" i="118"/>
  <c r="E34" i="118"/>
  <c r="C34" i="118"/>
  <c r="M33" i="118"/>
  <c r="L33" i="118"/>
  <c r="M32" i="118"/>
  <c r="L32" i="118"/>
  <c r="M31" i="118"/>
  <c r="L31" i="118"/>
  <c r="L27" i="118"/>
  <c r="M27" i="118" s="1"/>
  <c r="G27" i="118"/>
  <c r="N27" i="118" s="1"/>
  <c r="F27" i="118"/>
  <c r="E27" i="118"/>
  <c r="C27" i="118"/>
  <c r="L26" i="118"/>
  <c r="M26" i="118" s="1"/>
  <c r="G26" i="118"/>
  <c r="N26" i="118" s="1"/>
  <c r="F26" i="118"/>
  <c r="E26" i="118"/>
  <c r="C26" i="118"/>
  <c r="L25" i="118"/>
  <c r="M25" i="118" s="1"/>
  <c r="G25" i="118"/>
  <c r="N25" i="118" s="1"/>
  <c r="F25" i="118"/>
  <c r="E25" i="118"/>
  <c r="C25" i="118"/>
  <c r="L24" i="118"/>
  <c r="M24" i="118" s="1"/>
  <c r="G24" i="118"/>
  <c r="N24" i="118" s="1"/>
  <c r="F24" i="118"/>
  <c r="E24" i="118"/>
  <c r="C24" i="118"/>
  <c r="L23" i="118"/>
  <c r="M23" i="118" s="1"/>
  <c r="G23" i="118"/>
  <c r="N23" i="118" s="1"/>
  <c r="F23" i="118"/>
  <c r="E23" i="118"/>
  <c r="C23" i="118"/>
  <c r="G19" i="118"/>
  <c r="B16" i="118"/>
  <c r="B3" i="118"/>
  <c r="B2" i="118"/>
  <c r="B1" i="118"/>
  <c r="F62" i="117"/>
  <c r="F61" i="117"/>
  <c r="F60" i="117"/>
  <c r="G54" i="117"/>
  <c r="F54" i="117"/>
  <c r="E54" i="117"/>
  <c r="D54" i="117"/>
  <c r="G53" i="117"/>
  <c r="F53" i="117"/>
  <c r="E53" i="117"/>
  <c r="D53" i="117"/>
  <c r="F52" i="117"/>
  <c r="F51" i="117"/>
  <c r="F50" i="117"/>
  <c r="L46" i="117"/>
  <c r="M46" i="117" s="1"/>
  <c r="G46" i="117"/>
  <c r="N46" i="117" s="1"/>
  <c r="F46" i="117"/>
  <c r="E46" i="117"/>
  <c r="C46" i="117"/>
  <c r="L45" i="117"/>
  <c r="M45" i="117" s="1"/>
  <c r="G45" i="117"/>
  <c r="N45" i="117" s="1"/>
  <c r="F45" i="117"/>
  <c r="E45" i="117"/>
  <c r="C45" i="117"/>
  <c r="L44" i="117"/>
  <c r="M44" i="117" s="1"/>
  <c r="G44" i="117"/>
  <c r="N44" i="117" s="1"/>
  <c r="F44" i="117"/>
  <c r="E44" i="117"/>
  <c r="C44" i="117"/>
  <c r="L43" i="117"/>
  <c r="M43" i="117" s="1"/>
  <c r="G43" i="117"/>
  <c r="N43" i="117" s="1"/>
  <c r="F43" i="117"/>
  <c r="E43" i="117"/>
  <c r="C43" i="117"/>
  <c r="F42" i="117"/>
  <c r="M38" i="117"/>
  <c r="L38" i="117"/>
  <c r="G38" i="117"/>
  <c r="E38" i="117"/>
  <c r="C38" i="117"/>
  <c r="M37" i="117"/>
  <c r="L37" i="117"/>
  <c r="G37" i="117"/>
  <c r="E37" i="117"/>
  <c r="C37" i="117"/>
  <c r="M36" i="117"/>
  <c r="L36" i="117"/>
  <c r="G36" i="117"/>
  <c r="E36" i="117"/>
  <c r="C36" i="117"/>
  <c r="M35" i="117"/>
  <c r="L35" i="117"/>
  <c r="G35" i="117"/>
  <c r="E35" i="117"/>
  <c r="C35" i="117"/>
  <c r="M34" i="117"/>
  <c r="L34" i="117"/>
  <c r="M33" i="117"/>
  <c r="L33" i="117"/>
  <c r="M32" i="117"/>
  <c r="L32" i="117"/>
  <c r="M31" i="117"/>
  <c r="L31" i="117"/>
  <c r="L27" i="117"/>
  <c r="M27" i="117" s="1"/>
  <c r="G27" i="117"/>
  <c r="N27" i="117" s="1"/>
  <c r="F27" i="117"/>
  <c r="E27" i="117"/>
  <c r="C27" i="117"/>
  <c r="L26" i="117"/>
  <c r="M26" i="117" s="1"/>
  <c r="G26" i="117"/>
  <c r="N26" i="117" s="1"/>
  <c r="F26" i="117"/>
  <c r="E26" i="117"/>
  <c r="C26" i="117"/>
  <c r="L25" i="117"/>
  <c r="M25" i="117" s="1"/>
  <c r="G25" i="117"/>
  <c r="N25" i="117" s="1"/>
  <c r="F25" i="117"/>
  <c r="E25" i="117"/>
  <c r="C25" i="117"/>
  <c r="L24" i="117"/>
  <c r="M24" i="117" s="1"/>
  <c r="G24" i="117"/>
  <c r="N24" i="117" s="1"/>
  <c r="F24" i="117"/>
  <c r="E24" i="117"/>
  <c r="C24" i="117"/>
  <c r="L23" i="117"/>
  <c r="M23" i="117" s="1"/>
  <c r="G23" i="117"/>
  <c r="N23" i="117" s="1"/>
  <c r="F23" i="117"/>
  <c r="E23" i="117"/>
  <c r="C23" i="117"/>
  <c r="G19" i="117"/>
  <c r="B16" i="117"/>
  <c r="B3" i="117"/>
  <c r="B2" i="117"/>
  <c r="B1" i="117"/>
  <c r="F62" i="116"/>
  <c r="F61" i="116"/>
  <c r="F60" i="116"/>
  <c r="G54" i="116"/>
  <c r="F54" i="116"/>
  <c r="E54" i="116"/>
  <c r="D54" i="116"/>
  <c r="G53" i="116"/>
  <c r="F53" i="116"/>
  <c r="E53" i="116"/>
  <c r="D53" i="116"/>
  <c r="F52" i="116"/>
  <c r="F51" i="116"/>
  <c r="F50" i="116"/>
  <c r="L46" i="116"/>
  <c r="M46" i="116" s="1"/>
  <c r="G46" i="116"/>
  <c r="N46" i="116" s="1"/>
  <c r="F46" i="116"/>
  <c r="E46" i="116"/>
  <c r="C46" i="116"/>
  <c r="L45" i="116"/>
  <c r="M45" i="116" s="1"/>
  <c r="G45" i="116"/>
  <c r="N45" i="116" s="1"/>
  <c r="F45" i="116"/>
  <c r="E45" i="116"/>
  <c r="C45" i="116"/>
  <c r="L44" i="116"/>
  <c r="M44" i="116" s="1"/>
  <c r="G44" i="116"/>
  <c r="N44" i="116" s="1"/>
  <c r="F44" i="116"/>
  <c r="E44" i="116"/>
  <c r="C44" i="116"/>
  <c r="L43" i="116"/>
  <c r="M43" i="116" s="1"/>
  <c r="G43" i="116"/>
  <c r="F43" i="116"/>
  <c r="E43" i="116"/>
  <c r="C43" i="116"/>
  <c r="F42" i="116"/>
  <c r="M38" i="116"/>
  <c r="L38" i="116"/>
  <c r="G38" i="116"/>
  <c r="E38" i="116"/>
  <c r="C38" i="116"/>
  <c r="M37" i="116"/>
  <c r="L37" i="116"/>
  <c r="G37" i="116"/>
  <c r="E37" i="116"/>
  <c r="C37" i="116"/>
  <c r="M36" i="116"/>
  <c r="L36" i="116"/>
  <c r="G36" i="116"/>
  <c r="E36" i="116"/>
  <c r="C36" i="116"/>
  <c r="M35" i="116"/>
  <c r="L35" i="116"/>
  <c r="M34" i="116"/>
  <c r="L34" i="116"/>
  <c r="M33" i="116"/>
  <c r="L33" i="116"/>
  <c r="M32" i="116"/>
  <c r="L32" i="116"/>
  <c r="M31" i="116"/>
  <c r="L27" i="116"/>
  <c r="M27" i="116" s="1"/>
  <c r="G27" i="116"/>
  <c r="N27" i="116" s="1"/>
  <c r="F27" i="116"/>
  <c r="E27" i="116"/>
  <c r="C27" i="116"/>
  <c r="L26" i="116"/>
  <c r="M26" i="116" s="1"/>
  <c r="G26" i="116"/>
  <c r="N26" i="116" s="1"/>
  <c r="F26" i="116"/>
  <c r="E26" i="116"/>
  <c r="C26" i="116"/>
  <c r="L25" i="116"/>
  <c r="M25" i="116" s="1"/>
  <c r="G25" i="116"/>
  <c r="N25" i="116" s="1"/>
  <c r="F25" i="116"/>
  <c r="E25" i="116"/>
  <c r="C25" i="116"/>
  <c r="L24" i="116"/>
  <c r="M24" i="116" s="1"/>
  <c r="G24" i="116"/>
  <c r="N24" i="116" s="1"/>
  <c r="F24" i="116"/>
  <c r="E24" i="116"/>
  <c r="C24" i="116"/>
  <c r="L23" i="116"/>
  <c r="M23" i="116" s="1"/>
  <c r="G23" i="116"/>
  <c r="N23" i="116" s="1"/>
  <c r="F23" i="116"/>
  <c r="E23" i="116"/>
  <c r="C23" i="116"/>
  <c r="G19" i="116"/>
  <c r="B16" i="116"/>
  <c r="B3" i="116"/>
  <c r="B2" i="116"/>
  <c r="B1" i="116"/>
  <c r="F62" i="115"/>
  <c r="F61" i="115"/>
  <c r="F60" i="115"/>
  <c r="G54" i="115"/>
  <c r="F54" i="115"/>
  <c r="E54" i="115"/>
  <c r="D54" i="115"/>
  <c r="G53" i="115"/>
  <c r="F53" i="115"/>
  <c r="E53" i="115"/>
  <c r="D53" i="115"/>
  <c r="G52" i="115"/>
  <c r="F52" i="115"/>
  <c r="E52" i="115"/>
  <c r="D52" i="115"/>
  <c r="F51" i="115"/>
  <c r="F50" i="115"/>
  <c r="L46" i="115"/>
  <c r="M46" i="115" s="1"/>
  <c r="G46" i="115"/>
  <c r="N46" i="115" s="1"/>
  <c r="F46" i="115"/>
  <c r="E46" i="115"/>
  <c r="C46" i="115"/>
  <c r="L45" i="115"/>
  <c r="M45" i="115" s="1"/>
  <c r="G45" i="115"/>
  <c r="N45" i="115" s="1"/>
  <c r="F45" i="115"/>
  <c r="E45" i="115"/>
  <c r="C45" i="115"/>
  <c r="L44" i="115"/>
  <c r="M44" i="115" s="1"/>
  <c r="G44" i="115"/>
  <c r="N44" i="115" s="1"/>
  <c r="F44" i="115"/>
  <c r="E44" i="115"/>
  <c r="C44" i="115"/>
  <c r="L43" i="115"/>
  <c r="M43" i="115" s="1"/>
  <c r="G43" i="115"/>
  <c r="N43" i="115" s="1"/>
  <c r="F43" i="115"/>
  <c r="E43" i="115"/>
  <c r="C43" i="115"/>
  <c r="F42" i="115"/>
  <c r="M38" i="115"/>
  <c r="L38" i="115"/>
  <c r="G38" i="115"/>
  <c r="E38" i="115"/>
  <c r="C38" i="115"/>
  <c r="M37" i="115"/>
  <c r="L37" i="115"/>
  <c r="G37" i="115"/>
  <c r="E37" i="115"/>
  <c r="C37" i="115"/>
  <c r="M36" i="115"/>
  <c r="L36" i="115"/>
  <c r="G36" i="115"/>
  <c r="E36" i="115"/>
  <c r="C36" i="115"/>
  <c r="M35" i="115"/>
  <c r="L35" i="115"/>
  <c r="G35" i="115"/>
  <c r="E35" i="115"/>
  <c r="C35" i="115"/>
  <c r="M34" i="115"/>
  <c r="L34" i="115"/>
  <c r="G34" i="115"/>
  <c r="E34" i="115"/>
  <c r="C34" i="115"/>
  <c r="M33" i="115"/>
  <c r="L33" i="115"/>
  <c r="G33" i="115"/>
  <c r="E33" i="115"/>
  <c r="C33" i="115"/>
  <c r="M32" i="115"/>
  <c r="L32" i="115"/>
  <c r="M31" i="115"/>
  <c r="L31" i="115"/>
  <c r="L27" i="115"/>
  <c r="M27" i="115" s="1"/>
  <c r="G27" i="115"/>
  <c r="N27" i="115" s="1"/>
  <c r="F27" i="115"/>
  <c r="E27" i="115"/>
  <c r="C27" i="115"/>
  <c r="L26" i="115"/>
  <c r="M26" i="115" s="1"/>
  <c r="G26" i="115"/>
  <c r="N26" i="115" s="1"/>
  <c r="F26" i="115"/>
  <c r="E26" i="115"/>
  <c r="C26" i="115"/>
  <c r="L25" i="115"/>
  <c r="M25" i="115" s="1"/>
  <c r="G25" i="115"/>
  <c r="N25" i="115" s="1"/>
  <c r="F25" i="115"/>
  <c r="E25" i="115"/>
  <c r="C25" i="115"/>
  <c r="L24" i="115"/>
  <c r="M24" i="115" s="1"/>
  <c r="G24" i="115"/>
  <c r="N24" i="115" s="1"/>
  <c r="F24" i="115"/>
  <c r="E24" i="115"/>
  <c r="C24" i="115"/>
  <c r="L23" i="115"/>
  <c r="M23" i="115" s="1"/>
  <c r="G23" i="115"/>
  <c r="N23" i="115" s="1"/>
  <c r="F23" i="115"/>
  <c r="E23" i="115"/>
  <c r="C23" i="115"/>
  <c r="G19" i="115"/>
  <c r="B16" i="115"/>
  <c r="B3" i="115"/>
  <c r="B2" i="115"/>
  <c r="B1" i="115"/>
  <c r="F62" i="110"/>
  <c r="F61" i="110"/>
  <c r="F60" i="110"/>
  <c r="G54" i="110"/>
  <c r="F54" i="110"/>
  <c r="E54" i="110"/>
  <c r="D54" i="110"/>
  <c r="G53" i="110"/>
  <c r="F53" i="110"/>
  <c r="E53" i="110"/>
  <c r="D53" i="110"/>
  <c r="G52" i="110"/>
  <c r="F52" i="110"/>
  <c r="E52" i="110"/>
  <c r="D52" i="110"/>
  <c r="F51" i="110"/>
  <c r="F50" i="110"/>
  <c r="L46" i="110"/>
  <c r="M46" i="110" s="1"/>
  <c r="G46" i="110"/>
  <c r="N46" i="110" s="1"/>
  <c r="F46" i="110"/>
  <c r="E46" i="110"/>
  <c r="C46" i="110"/>
  <c r="L45" i="110"/>
  <c r="M45" i="110" s="1"/>
  <c r="G45" i="110"/>
  <c r="N45" i="110" s="1"/>
  <c r="F45" i="110"/>
  <c r="E45" i="110"/>
  <c r="C45" i="110"/>
  <c r="L44" i="110"/>
  <c r="M44" i="110" s="1"/>
  <c r="G44" i="110"/>
  <c r="N44" i="110" s="1"/>
  <c r="F44" i="110"/>
  <c r="E44" i="110"/>
  <c r="C44" i="110"/>
  <c r="L43" i="110"/>
  <c r="M43" i="110" s="1"/>
  <c r="G43" i="110"/>
  <c r="N43" i="110" s="1"/>
  <c r="F43" i="110"/>
  <c r="E43" i="110"/>
  <c r="C43" i="110"/>
  <c r="F42" i="110"/>
  <c r="M38" i="110"/>
  <c r="L38" i="110"/>
  <c r="G38" i="110"/>
  <c r="E38" i="110"/>
  <c r="C38" i="110"/>
  <c r="M37" i="110"/>
  <c r="L37" i="110"/>
  <c r="G37" i="110"/>
  <c r="E37" i="110"/>
  <c r="C37" i="110"/>
  <c r="M36" i="110"/>
  <c r="L36" i="110"/>
  <c r="G36" i="110"/>
  <c r="E36" i="110"/>
  <c r="C36" i="110"/>
  <c r="M35" i="110"/>
  <c r="L35" i="110"/>
  <c r="G35" i="110"/>
  <c r="E35" i="110"/>
  <c r="C35" i="110"/>
  <c r="M34" i="110"/>
  <c r="L34" i="110"/>
  <c r="G34" i="110"/>
  <c r="E34" i="110"/>
  <c r="C34" i="110"/>
  <c r="M33" i="110"/>
  <c r="L33" i="110"/>
  <c r="G33" i="110"/>
  <c r="E33" i="110"/>
  <c r="C33" i="110"/>
  <c r="M32" i="110"/>
  <c r="L32" i="110"/>
  <c r="M31" i="110"/>
  <c r="L31" i="110"/>
  <c r="L27" i="110"/>
  <c r="M27" i="110" s="1"/>
  <c r="G27" i="110"/>
  <c r="F27" i="110"/>
  <c r="E27" i="110"/>
  <c r="C27" i="110"/>
  <c r="L26" i="110"/>
  <c r="M26" i="110" s="1"/>
  <c r="G26" i="110"/>
  <c r="N26" i="110" s="1"/>
  <c r="F26" i="110"/>
  <c r="E26" i="110"/>
  <c r="C26" i="110"/>
  <c r="L25" i="110"/>
  <c r="M25" i="110" s="1"/>
  <c r="G25" i="110"/>
  <c r="N25" i="110" s="1"/>
  <c r="F25" i="110"/>
  <c r="E25" i="110"/>
  <c r="C25" i="110"/>
  <c r="L24" i="110"/>
  <c r="M24" i="110" s="1"/>
  <c r="G24" i="110"/>
  <c r="N24" i="110" s="1"/>
  <c r="F24" i="110"/>
  <c r="E24" i="110"/>
  <c r="C24" i="110"/>
  <c r="L23" i="110"/>
  <c r="M23" i="110" s="1"/>
  <c r="G23" i="110"/>
  <c r="N23" i="110" s="1"/>
  <c r="F23" i="110"/>
  <c r="E23" i="110"/>
  <c r="C23" i="110"/>
  <c r="G19" i="110"/>
  <c r="B16" i="110"/>
  <c r="B3" i="110"/>
  <c r="B2" i="110"/>
  <c r="B1" i="110"/>
  <c r="F62" i="109"/>
  <c r="F61" i="109"/>
  <c r="F60" i="109"/>
  <c r="G54" i="109"/>
  <c r="F54" i="109"/>
  <c r="E54" i="109"/>
  <c r="D54" i="109"/>
  <c r="G53" i="109"/>
  <c r="F53" i="109"/>
  <c r="E53" i="109"/>
  <c r="D53" i="109"/>
  <c r="G52" i="109"/>
  <c r="F52" i="109"/>
  <c r="E52" i="109"/>
  <c r="D52" i="109"/>
  <c r="F51" i="109"/>
  <c r="F50" i="109"/>
  <c r="L46" i="109"/>
  <c r="M46" i="109" s="1"/>
  <c r="G46" i="109"/>
  <c r="N46" i="109" s="1"/>
  <c r="F46" i="109"/>
  <c r="E46" i="109"/>
  <c r="C46" i="109"/>
  <c r="L45" i="109"/>
  <c r="M45" i="109" s="1"/>
  <c r="G45" i="109"/>
  <c r="N45" i="109" s="1"/>
  <c r="F45" i="109"/>
  <c r="E45" i="109"/>
  <c r="C45" i="109"/>
  <c r="L44" i="109"/>
  <c r="M44" i="109" s="1"/>
  <c r="G44" i="109"/>
  <c r="N44" i="109" s="1"/>
  <c r="F44" i="109"/>
  <c r="E44" i="109"/>
  <c r="C44" i="109"/>
  <c r="L43" i="109"/>
  <c r="M43" i="109" s="1"/>
  <c r="G43" i="109"/>
  <c r="N43" i="109" s="1"/>
  <c r="F43" i="109"/>
  <c r="E43" i="109"/>
  <c r="C43" i="109"/>
  <c r="L42" i="109"/>
  <c r="M42" i="109" s="1"/>
  <c r="G42" i="109"/>
  <c r="N42" i="109" s="1"/>
  <c r="F42" i="109"/>
  <c r="E42" i="109"/>
  <c r="C42" i="109"/>
  <c r="M38" i="109"/>
  <c r="L38" i="109"/>
  <c r="G38" i="109"/>
  <c r="E38" i="109"/>
  <c r="C38" i="109"/>
  <c r="M37" i="109"/>
  <c r="L37" i="109"/>
  <c r="G37" i="109"/>
  <c r="E37" i="109"/>
  <c r="C37" i="109"/>
  <c r="M36" i="109"/>
  <c r="L36" i="109"/>
  <c r="G36" i="109"/>
  <c r="E36" i="109"/>
  <c r="C36" i="109"/>
  <c r="M35" i="109"/>
  <c r="L35" i="109"/>
  <c r="G35" i="109"/>
  <c r="E35" i="109"/>
  <c r="C35" i="109"/>
  <c r="M34" i="109"/>
  <c r="L34" i="109"/>
  <c r="G34" i="109"/>
  <c r="E34" i="109"/>
  <c r="C34" i="109"/>
  <c r="M33" i="109"/>
  <c r="L33" i="109"/>
  <c r="G33" i="109"/>
  <c r="E33" i="109"/>
  <c r="C33" i="109"/>
  <c r="M32" i="109"/>
  <c r="L32" i="109"/>
  <c r="G32" i="109"/>
  <c r="E32" i="109"/>
  <c r="C32" i="109"/>
  <c r="M31" i="109"/>
  <c r="L31" i="109"/>
  <c r="L27" i="109"/>
  <c r="M27" i="109" s="1"/>
  <c r="G27" i="109"/>
  <c r="N27" i="109" s="1"/>
  <c r="F27" i="109"/>
  <c r="E27" i="109"/>
  <c r="C27" i="109"/>
  <c r="L26" i="109"/>
  <c r="M26" i="109" s="1"/>
  <c r="G26" i="109"/>
  <c r="N26" i="109" s="1"/>
  <c r="F26" i="109"/>
  <c r="E26" i="109"/>
  <c r="C26" i="109"/>
  <c r="L25" i="109"/>
  <c r="M25" i="109" s="1"/>
  <c r="G25" i="109"/>
  <c r="N25" i="109" s="1"/>
  <c r="F25" i="109"/>
  <c r="E25" i="109"/>
  <c r="C25" i="109"/>
  <c r="L24" i="109"/>
  <c r="M24" i="109" s="1"/>
  <c r="G24" i="109"/>
  <c r="N24" i="109" s="1"/>
  <c r="F24" i="109"/>
  <c r="E24" i="109"/>
  <c r="C24" i="109"/>
  <c r="L23" i="109"/>
  <c r="M23" i="109" s="1"/>
  <c r="G23" i="109"/>
  <c r="N23" i="109" s="1"/>
  <c r="F23" i="109"/>
  <c r="E23" i="109"/>
  <c r="C23" i="109"/>
  <c r="G19" i="109"/>
  <c r="B16" i="109"/>
  <c r="B3" i="109"/>
  <c r="B2" i="109"/>
  <c r="B1" i="109"/>
  <c r="F62" i="108"/>
  <c r="F61" i="108"/>
  <c r="F60" i="108"/>
  <c r="G54" i="108"/>
  <c r="F54" i="108"/>
  <c r="E54" i="108"/>
  <c r="D54" i="108"/>
  <c r="G53" i="108"/>
  <c r="F53" i="108"/>
  <c r="E53" i="108"/>
  <c r="D53" i="108"/>
  <c r="G52" i="108"/>
  <c r="F52" i="108"/>
  <c r="E52" i="108"/>
  <c r="D52" i="108"/>
  <c r="F51" i="108"/>
  <c r="F50" i="108"/>
  <c r="L46" i="108"/>
  <c r="M46" i="108" s="1"/>
  <c r="G46" i="108"/>
  <c r="F46" i="108"/>
  <c r="E46" i="108"/>
  <c r="C46" i="108"/>
  <c r="L45" i="108"/>
  <c r="M45" i="108" s="1"/>
  <c r="G45" i="108"/>
  <c r="N45" i="108" s="1"/>
  <c r="F45" i="108"/>
  <c r="E45" i="108"/>
  <c r="C45" i="108"/>
  <c r="L44" i="108"/>
  <c r="M44" i="108" s="1"/>
  <c r="G44" i="108"/>
  <c r="N44" i="108" s="1"/>
  <c r="F44" i="108"/>
  <c r="E44" i="108"/>
  <c r="C44" i="108"/>
  <c r="L43" i="108"/>
  <c r="M43" i="108" s="1"/>
  <c r="G43" i="108"/>
  <c r="N43" i="108" s="1"/>
  <c r="F43" i="108"/>
  <c r="E43" i="108"/>
  <c r="C43" i="108"/>
  <c r="L42" i="108"/>
  <c r="M42" i="108" s="1"/>
  <c r="G42" i="108"/>
  <c r="N42" i="108" s="1"/>
  <c r="F42" i="108"/>
  <c r="E42" i="108"/>
  <c r="C42" i="108"/>
  <c r="M38" i="108"/>
  <c r="L38" i="108"/>
  <c r="G38" i="108"/>
  <c r="E38" i="108"/>
  <c r="C38" i="108"/>
  <c r="M37" i="108"/>
  <c r="L37" i="108"/>
  <c r="G37" i="108"/>
  <c r="E37" i="108"/>
  <c r="C37" i="108"/>
  <c r="M36" i="108"/>
  <c r="L36" i="108"/>
  <c r="G36" i="108"/>
  <c r="E36" i="108"/>
  <c r="C36" i="108"/>
  <c r="M35" i="108"/>
  <c r="L35" i="108"/>
  <c r="G35" i="108"/>
  <c r="E35" i="108"/>
  <c r="C35" i="108"/>
  <c r="M34" i="108"/>
  <c r="L34" i="108"/>
  <c r="G34" i="108"/>
  <c r="E34" i="108"/>
  <c r="C34" i="108"/>
  <c r="M33" i="108"/>
  <c r="L33" i="108"/>
  <c r="G33" i="108"/>
  <c r="E33" i="108"/>
  <c r="C33" i="108"/>
  <c r="M32" i="108"/>
  <c r="L32" i="108"/>
  <c r="G32" i="108"/>
  <c r="E32" i="108"/>
  <c r="C32" i="108"/>
  <c r="M31" i="108"/>
  <c r="L31" i="108"/>
  <c r="L27" i="108"/>
  <c r="M27" i="108" s="1"/>
  <c r="G27" i="108"/>
  <c r="N27" i="108" s="1"/>
  <c r="F27" i="108"/>
  <c r="E27" i="108"/>
  <c r="C27" i="108"/>
  <c r="L26" i="108"/>
  <c r="M26" i="108" s="1"/>
  <c r="G26" i="108"/>
  <c r="N26" i="108" s="1"/>
  <c r="F26" i="108"/>
  <c r="E26" i="108"/>
  <c r="C26" i="108"/>
  <c r="L25" i="108"/>
  <c r="M25" i="108" s="1"/>
  <c r="G25" i="108"/>
  <c r="N25" i="108" s="1"/>
  <c r="F25" i="108"/>
  <c r="E25" i="108"/>
  <c r="C25" i="108"/>
  <c r="L24" i="108"/>
  <c r="M24" i="108" s="1"/>
  <c r="G24" i="108"/>
  <c r="N24" i="108" s="1"/>
  <c r="F24" i="108"/>
  <c r="E24" i="108"/>
  <c r="C24" i="108"/>
  <c r="L23" i="108"/>
  <c r="M23" i="108" s="1"/>
  <c r="G23" i="108"/>
  <c r="N23" i="108" s="1"/>
  <c r="F23" i="108"/>
  <c r="E23" i="108"/>
  <c r="C23" i="108"/>
  <c r="G19" i="108"/>
  <c r="B16" i="108"/>
  <c r="B3" i="108"/>
  <c r="B2" i="108"/>
  <c r="B1" i="108"/>
  <c r="F62" i="107"/>
  <c r="F61" i="107"/>
  <c r="F60" i="107"/>
  <c r="G54" i="107"/>
  <c r="F54" i="107"/>
  <c r="E54" i="107"/>
  <c r="D54" i="107"/>
  <c r="G53" i="107"/>
  <c r="F53" i="107"/>
  <c r="E53" i="107"/>
  <c r="D53" i="107"/>
  <c r="G52" i="107"/>
  <c r="F52" i="107"/>
  <c r="E52" i="107"/>
  <c r="D52" i="107"/>
  <c r="F51" i="107"/>
  <c r="F50" i="107"/>
  <c r="L46" i="107"/>
  <c r="M46" i="107" s="1"/>
  <c r="G46" i="107"/>
  <c r="N46" i="107" s="1"/>
  <c r="F46" i="107"/>
  <c r="E46" i="107"/>
  <c r="C46" i="107"/>
  <c r="L45" i="107"/>
  <c r="M45" i="107" s="1"/>
  <c r="G45" i="107"/>
  <c r="N45" i="107" s="1"/>
  <c r="F45" i="107"/>
  <c r="E45" i="107"/>
  <c r="C45" i="107"/>
  <c r="L44" i="107"/>
  <c r="M44" i="107" s="1"/>
  <c r="G44" i="107"/>
  <c r="N44" i="107" s="1"/>
  <c r="F44" i="107"/>
  <c r="E44" i="107"/>
  <c r="C44" i="107"/>
  <c r="L43" i="107"/>
  <c r="M43" i="107" s="1"/>
  <c r="G43" i="107"/>
  <c r="N43" i="107" s="1"/>
  <c r="F43" i="107"/>
  <c r="E43" i="107"/>
  <c r="C43" i="107"/>
  <c r="L42" i="107"/>
  <c r="M42" i="107" s="1"/>
  <c r="G42" i="107"/>
  <c r="N42" i="107" s="1"/>
  <c r="F42" i="107"/>
  <c r="E42" i="107"/>
  <c r="C42" i="107"/>
  <c r="M38" i="107"/>
  <c r="L38" i="107"/>
  <c r="G38" i="107"/>
  <c r="E38" i="107"/>
  <c r="C38" i="107"/>
  <c r="M37" i="107"/>
  <c r="L37" i="107"/>
  <c r="G37" i="107"/>
  <c r="E37" i="107"/>
  <c r="C37" i="107"/>
  <c r="M36" i="107"/>
  <c r="L36" i="107"/>
  <c r="G36" i="107"/>
  <c r="E36" i="107"/>
  <c r="C36" i="107"/>
  <c r="M35" i="107"/>
  <c r="L35" i="107"/>
  <c r="G35" i="107"/>
  <c r="E35" i="107"/>
  <c r="C35" i="107"/>
  <c r="M34" i="107"/>
  <c r="L34" i="107"/>
  <c r="G34" i="107"/>
  <c r="E34" i="107"/>
  <c r="C34" i="107"/>
  <c r="M33" i="107"/>
  <c r="L33" i="107"/>
  <c r="G33" i="107"/>
  <c r="E33" i="107"/>
  <c r="C33" i="107"/>
  <c r="M32" i="107"/>
  <c r="L32" i="107"/>
  <c r="G32" i="107"/>
  <c r="E32" i="107"/>
  <c r="C32" i="107"/>
  <c r="M31" i="107"/>
  <c r="L31" i="107"/>
  <c r="L27" i="107"/>
  <c r="M27" i="107" s="1"/>
  <c r="G27" i="107"/>
  <c r="N27" i="107" s="1"/>
  <c r="F27" i="107"/>
  <c r="E27" i="107"/>
  <c r="C27" i="107"/>
  <c r="L26" i="107"/>
  <c r="M26" i="107" s="1"/>
  <c r="G26" i="107"/>
  <c r="N26" i="107" s="1"/>
  <c r="F26" i="107"/>
  <c r="E26" i="107"/>
  <c r="C26" i="107"/>
  <c r="L25" i="107"/>
  <c r="M25" i="107" s="1"/>
  <c r="G25" i="107"/>
  <c r="N25" i="107" s="1"/>
  <c r="F25" i="107"/>
  <c r="E25" i="107"/>
  <c r="C25" i="107"/>
  <c r="L24" i="107"/>
  <c r="M24" i="107" s="1"/>
  <c r="G24" i="107"/>
  <c r="N24" i="107" s="1"/>
  <c r="F24" i="107"/>
  <c r="E24" i="107"/>
  <c r="C24" i="107"/>
  <c r="L23" i="107"/>
  <c r="M23" i="107" s="1"/>
  <c r="G23" i="107"/>
  <c r="N23" i="107" s="1"/>
  <c r="F23" i="107"/>
  <c r="E23" i="107"/>
  <c r="C23" i="107"/>
  <c r="G19" i="107"/>
  <c r="B16" i="107"/>
  <c r="B3" i="107"/>
  <c r="B2" i="107"/>
  <c r="B1" i="107"/>
  <c r="F62" i="106"/>
  <c r="F61" i="106"/>
  <c r="F60" i="106"/>
  <c r="G54" i="106"/>
  <c r="E54" i="106"/>
  <c r="D54" i="106"/>
  <c r="G53" i="106"/>
  <c r="E53" i="106"/>
  <c r="D53" i="106"/>
  <c r="G52" i="106"/>
  <c r="E52" i="106"/>
  <c r="D52" i="106"/>
  <c r="G51" i="106"/>
  <c r="E51" i="106"/>
  <c r="D51" i="106"/>
  <c r="L46" i="106"/>
  <c r="M46" i="106" s="1"/>
  <c r="G46" i="106"/>
  <c r="N46" i="106" s="1"/>
  <c r="E46" i="106"/>
  <c r="C46" i="106"/>
  <c r="L45" i="106"/>
  <c r="M45" i="106" s="1"/>
  <c r="G45" i="106"/>
  <c r="N45" i="106" s="1"/>
  <c r="E45" i="106"/>
  <c r="C45" i="106"/>
  <c r="L44" i="106"/>
  <c r="M44" i="106" s="1"/>
  <c r="G44" i="106"/>
  <c r="N44" i="106" s="1"/>
  <c r="E44" i="106"/>
  <c r="C44" i="106"/>
  <c r="L43" i="106"/>
  <c r="M43" i="106" s="1"/>
  <c r="G43" i="106"/>
  <c r="N43" i="106" s="1"/>
  <c r="E43" i="106"/>
  <c r="C43" i="106"/>
  <c r="L42" i="106"/>
  <c r="M42" i="106" s="1"/>
  <c r="G42" i="106"/>
  <c r="E42" i="106"/>
  <c r="C42" i="106"/>
  <c r="M38" i="106"/>
  <c r="L38" i="106"/>
  <c r="G38" i="106"/>
  <c r="E38" i="106"/>
  <c r="C38" i="106"/>
  <c r="M37" i="106"/>
  <c r="L37" i="106"/>
  <c r="G37" i="106"/>
  <c r="E37" i="106"/>
  <c r="C37" i="106"/>
  <c r="M36" i="106"/>
  <c r="L36" i="106"/>
  <c r="G36" i="106"/>
  <c r="E36" i="106"/>
  <c r="C36" i="106"/>
  <c r="M35" i="106"/>
  <c r="L35" i="106"/>
  <c r="G35" i="106"/>
  <c r="E35" i="106"/>
  <c r="C35" i="106"/>
  <c r="M34" i="106"/>
  <c r="L34" i="106"/>
  <c r="G34" i="106"/>
  <c r="E34" i="106"/>
  <c r="C34" i="106"/>
  <c r="M33" i="106"/>
  <c r="L33" i="106"/>
  <c r="G33" i="106"/>
  <c r="E33" i="106"/>
  <c r="C33" i="106"/>
  <c r="M32" i="106"/>
  <c r="L32" i="106"/>
  <c r="M31" i="106"/>
  <c r="L31" i="106"/>
  <c r="L27" i="106"/>
  <c r="M27" i="106" s="1"/>
  <c r="G27" i="106"/>
  <c r="N27" i="106" s="1"/>
  <c r="E27" i="106"/>
  <c r="C27" i="106"/>
  <c r="L26" i="106"/>
  <c r="M26" i="106" s="1"/>
  <c r="G26" i="106"/>
  <c r="N26" i="106" s="1"/>
  <c r="E26" i="106"/>
  <c r="C26" i="106"/>
  <c r="L25" i="106"/>
  <c r="M25" i="106" s="1"/>
  <c r="G25" i="106"/>
  <c r="N25" i="106" s="1"/>
  <c r="E25" i="106"/>
  <c r="C25" i="106"/>
  <c r="L24" i="106"/>
  <c r="M24" i="106" s="1"/>
  <c r="G24" i="106"/>
  <c r="N24" i="106" s="1"/>
  <c r="E24" i="106"/>
  <c r="C24" i="106"/>
  <c r="L23" i="106"/>
  <c r="M23" i="106" s="1"/>
  <c r="G23" i="106"/>
  <c r="N23" i="106" s="1"/>
  <c r="E23" i="106"/>
  <c r="C23" i="106"/>
  <c r="G20" i="106"/>
  <c r="F42" i="106" s="1"/>
  <c r="G19" i="106"/>
  <c r="B16" i="106"/>
  <c r="B3" i="106"/>
  <c r="B2" i="106"/>
  <c r="B1" i="106"/>
  <c r="F62" i="105"/>
  <c r="F61" i="105"/>
  <c r="F60" i="105"/>
  <c r="G54" i="105"/>
  <c r="F54" i="105"/>
  <c r="E54" i="105"/>
  <c r="D54" i="105"/>
  <c r="G53" i="105"/>
  <c r="F53" i="105"/>
  <c r="E53" i="105"/>
  <c r="D53" i="105"/>
  <c r="G52" i="105"/>
  <c r="F52" i="105"/>
  <c r="E52" i="105"/>
  <c r="D52" i="105"/>
  <c r="F51" i="105"/>
  <c r="F50" i="105"/>
  <c r="L46" i="105"/>
  <c r="M46" i="105" s="1"/>
  <c r="G46" i="105"/>
  <c r="N46" i="105" s="1"/>
  <c r="F46" i="105"/>
  <c r="E46" i="105"/>
  <c r="C46" i="105"/>
  <c r="L45" i="105"/>
  <c r="M45" i="105" s="1"/>
  <c r="G45" i="105"/>
  <c r="N45" i="105" s="1"/>
  <c r="F45" i="105"/>
  <c r="E45" i="105"/>
  <c r="C45" i="105"/>
  <c r="L44" i="105"/>
  <c r="M44" i="105" s="1"/>
  <c r="G44" i="105"/>
  <c r="N44" i="105" s="1"/>
  <c r="F44" i="105"/>
  <c r="E44" i="105"/>
  <c r="C44" i="105"/>
  <c r="L43" i="105"/>
  <c r="M43" i="105" s="1"/>
  <c r="G43" i="105"/>
  <c r="N43" i="105" s="1"/>
  <c r="F43" i="105"/>
  <c r="E43" i="105"/>
  <c r="C43" i="105"/>
  <c r="F42" i="105"/>
  <c r="M38" i="105"/>
  <c r="L38" i="105"/>
  <c r="G38" i="105"/>
  <c r="E38" i="105"/>
  <c r="C38" i="105"/>
  <c r="M37" i="105"/>
  <c r="L37" i="105"/>
  <c r="G37" i="105"/>
  <c r="E37" i="105"/>
  <c r="C37" i="105"/>
  <c r="M36" i="105"/>
  <c r="L36" i="105"/>
  <c r="G36" i="105"/>
  <c r="E36" i="105"/>
  <c r="C36" i="105"/>
  <c r="M35" i="105"/>
  <c r="L35" i="105"/>
  <c r="M34" i="105"/>
  <c r="L34" i="105"/>
  <c r="M33" i="105"/>
  <c r="L33" i="105"/>
  <c r="M32" i="105"/>
  <c r="L32" i="105"/>
  <c r="M31" i="105"/>
  <c r="L31" i="105"/>
  <c r="L27" i="105"/>
  <c r="M27" i="105" s="1"/>
  <c r="G27" i="105"/>
  <c r="N27" i="105" s="1"/>
  <c r="F27" i="105"/>
  <c r="E27" i="105"/>
  <c r="C27" i="105"/>
  <c r="L26" i="105"/>
  <c r="M26" i="105" s="1"/>
  <c r="G26" i="105"/>
  <c r="N26" i="105" s="1"/>
  <c r="F26" i="105"/>
  <c r="E26" i="105"/>
  <c r="C26" i="105"/>
  <c r="L25" i="105"/>
  <c r="M25" i="105" s="1"/>
  <c r="G25" i="105"/>
  <c r="N25" i="105" s="1"/>
  <c r="F25" i="105"/>
  <c r="E25" i="105"/>
  <c r="C25" i="105"/>
  <c r="L24" i="105"/>
  <c r="M24" i="105" s="1"/>
  <c r="G24" i="105"/>
  <c r="N24" i="105" s="1"/>
  <c r="F24" i="105"/>
  <c r="E24" i="105"/>
  <c r="C24" i="105"/>
  <c r="L23" i="105"/>
  <c r="M23" i="105" s="1"/>
  <c r="G23" i="105"/>
  <c r="N23" i="105" s="1"/>
  <c r="F23" i="105"/>
  <c r="E23" i="105"/>
  <c r="C23" i="105"/>
  <c r="G19" i="105"/>
  <c r="B16" i="105"/>
  <c r="B3" i="105"/>
  <c r="B2" i="105"/>
  <c r="B1" i="105"/>
  <c r="F62" i="104"/>
  <c r="F61" i="104"/>
  <c r="F60" i="104"/>
  <c r="G54" i="104"/>
  <c r="F54" i="104"/>
  <c r="E54" i="104"/>
  <c r="D54" i="104"/>
  <c r="G53" i="104"/>
  <c r="F53" i="104"/>
  <c r="E53" i="104"/>
  <c r="D53" i="104"/>
  <c r="F52" i="104"/>
  <c r="F51" i="104"/>
  <c r="F50" i="104"/>
  <c r="L46" i="104"/>
  <c r="M46" i="104" s="1"/>
  <c r="G46" i="104"/>
  <c r="N46" i="104" s="1"/>
  <c r="F46" i="104"/>
  <c r="E46" i="104"/>
  <c r="C46" i="104"/>
  <c r="L45" i="104"/>
  <c r="M45" i="104" s="1"/>
  <c r="G45" i="104"/>
  <c r="N45" i="104" s="1"/>
  <c r="F45" i="104"/>
  <c r="E45" i="104"/>
  <c r="C45" i="104"/>
  <c r="L44" i="104"/>
  <c r="M44" i="104" s="1"/>
  <c r="G44" i="104"/>
  <c r="N44" i="104" s="1"/>
  <c r="F44" i="104"/>
  <c r="E44" i="104"/>
  <c r="C44" i="104"/>
  <c r="L43" i="104"/>
  <c r="M43" i="104" s="1"/>
  <c r="G43" i="104"/>
  <c r="N43" i="104" s="1"/>
  <c r="F43" i="104"/>
  <c r="E43" i="104"/>
  <c r="C43" i="104"/>
  <c r="F42" i="104"/>
  <c r="M38" i="104"/>
  <c r="L38" i="104"/>
  <c r="G38" i="104"/>
  <c r="E38" i="104"/>
  <c r="C38" i="104"/>
  <c r="M37" i="104"/>
  <c r="L37" i="104"/>
  <c r="G37" i="104"/>
  <c r="E37" i="104"/>
  <c r="C37" i="104"/>
  <c r="M36" i="104"/>
  <c r="L36" i="104"/>
  <c r="G36" i="104"/>
  <c r="E36" i="104"/>
  <c r="C36" i="104"/>
  <c r="M35" i="104"/>
  <c r="L35" i="104"/>
  <c r="G35" i="104"/>
  <c r="E35" i="104"/>
  <c r="C35" i="104"/>
  <c r="M34" i="104"/>
  <c r="L34" i="104"/>
  <c r="G34" i="104"/>
  <c r="E34" i="104"/>
  <c r="C34" i="104"/>
  <c r="M33" i="104"/>
  <c r="L33" i="104"/>
  <c r="M32" i="104"/>
  <c r="L32" i="104"/>
  <c r="M31" i="104"/>
  <c r="L31" i="104"/>
  <c r="L27" i="104"/>
  <c r="M27" i="104" s="1"/>
  <c r="G27" i="104"/>
  <c r="N27" i="104" s="1"/>
  <c r="F27" i="104"/>
  <c r="E27" i="104"/>
  <c r="C27" i="104"/>
  <c r="L26" i="104"/>
  <c r="M26" i="104" s="1"/>
  <c r="G26" i="104"/>
  <c r="N26" i="104" s="1"/>
  <c r="F26" i="104"/>
  <c r="E26" i="104"/>
  <c r="C26" i="104"/>
  <c r="L25" i="104"/>
  <c r="M25" i="104" s="1"/>
  <c r="G25" i="104"/>
  <c r="N25" i="104" s="1"/>
  <c r="F25" i="104"/>
  <c r="E25" i="104"/>
  <c r="C25" i="104"/>
  <c r="F24" i="104"/>
  <c r="F23" i="104"/>
  <c r="G19" i="104"/>
  <c r="B16" i="104"/>
  <c r="B3" i="104"/>
  <c r="B2" i="104"/>
  <c r="B1" i="104"/>
  <c r="F62" i="103"/>
  <c r="F61" i="103"/>
  <c r="F60" i="103"/>
  <c r="G54" i="103"/>
  <c r="F54" i="103"/>
  <c r="E54" i="103"/>
  <c r="D54" i="103"/>
  <c r="G53" i="103"/>
  <c r="F53" i="103"/>
  <c r="E53" i="103"/>
  <c r="D53" i="103"/>
  <c r="F52" i="103"/>
  <c r="F51" i="103"/>
  <c r="F50" i="103"/>
  <c r="L46" i="103"/>
  <c r="M46" i="103" s="1"/>
  <c r="G46" i="103"/>
  <c r="N46" i="103" s="1"/>
  <c r="F46" i="103"/>
  <c r="E46" i="103"/>
  <c r="C46" i="103"/>
  <c r="L45" i="103"/>
  <c r="M45" i="103" s="1"/>
  <c r="G45" i="103"/>
  <c r="N45" i="103" s="1"/>
  <c r="F45" i="103"/>
  <c r="E45" i="103"/>
  <c r="C45" i="103"/>
  <c r="L44" i="103"/>
  <c r="M44" i="103" s="1"/>
  <c r="G44" i="103"/>
  <c r="N44" i="103" s="1"/>
  <c r="F44" i="103"/>
  <c r="E44" i="103"/>
  <c r="C44" i="103"/>
  <c r="L43" i="103"/>
  <c r="M43" i="103" s="1"/>
  <c r="G43" i="103"/>
  <c r="N43" i="103" s="1"/>
  <c r="F43" i="103"/>
  <c r="E43" i="103"/>
  <c r="C43" i="103"/>
  <c r="F42" i="103"/>
  <c r="M38" i="103"/>
  <c r="L38" i="103"/>
  <c r="G38" i="103"/>
  <c r="E38" i="103"/>
  <c r="C38" i="103"/>
  <c r="M37" i="103"/>
  <c r="L37" i="103"/>
  <c r="G37" i="103"/>
  <c r="E37" i="103"/>
  <c r="C37" i="103"/>
  <c r="M36" i="103"/>
  <c r="L36" i="103"/>
  <c r="G36" i="103"/>
  <c r="E36" i="103"/>
  <c r="C36" i="103"/>
  <c r="M35" i="103"/>
  <c r="L35" i="103"/>
  <c r="G35" i="103"/>
  <c r="E35" i="103"/>
  <c r="C35" i="103"/>
  <c r="M34" i="103"/>
  <c r="L34" i="103"/>
  <c r="G34" i="103"/>
  <c r="E34" i="103"/>
  <c r="C34" i="103"/>
  <c r="M33" i="103"/>
  <c r="L33" i="103"/>
  <c r="G33" i="103"/>
  <c r="E33" i="103"/>
  <c r="C33" i="103"/>
  <c r="M32" i="103"/>
  <c r="L32" i="103"/>
  <c r="G32" i="103"/>
  <c r="E32" i="103"/>
  <c r="C32" i="103"/>
  <c r="M31" i="103"/>
  <c r="L31" i="103"/>
  <c r="L27" i="103"/>
  <c r="M27" i="103" s="1"/>
  <c r="G27" i="103"/>
  <c r="N27" i="103" s="1"/>
  <c r="F27" i="103"/>
  <c r="E27" i="103"/>
  <c r="C27" i="103"/>
  <c r="L26" i="103"/>
  <c r="M26" i="103" s="1"/>
  <c r="G26" i="103"/>
  <c r="N26" i="103" s="1"/>
  <c r="F26" i="103"/>
  <c r="E26" i="103"/>
  <c r="C26" i="103"/>
  <c r="L25" i="103"/>
  <c r="M25" i="103" s="1"/>
  <c r="G25" i="103"/>
  <c r="N25" i="103" s="1"/>
  <c r="F25" i="103"/>
  <c r="E25" i="103"/>
  <c r="C25" i="103"/>
  <c r="F24" i="103"/>
  <c r="F23" i="103"/>
  <c r="G19" i="103"/>
  <c r="B16" i="103"/>
  <c r="B3" i="103"/>
  <c r="B2" i="103"/>
  <c r="B1" i="103"/>
  <c r="F62" i="102"/>
  <c r="F61" i="102"/>
  <c r="F60" i="102"/>
  <c r="G54" i="102"/>
  <c r="F54" i="102"/>
  <c r="E54" i="102"/>
  <c r="D54" i="102"/>
  <c r="G53" i="102"/>
  <c r="F53" i="102"/>
  <c r="E53" i="102"/>
  <c r="D53" i="102"/>
  <c r="G52" i="102"/>
  <c r="F52" i="102"/>
  <c r="E52" i="102"/>
  <c r="D52" i="102"/>
  <c r="F51" i="102"/>
  <c r="F50" i="102"/>
  <c r="L46" i="102"/>
  <c r="M46" i="102" s="1"/>
  <c r="G46" i="102"/>
  <c r="N46" i="102" s="1"/>
  <c r="F46" i="102"/>
  <c r="E46" i="102"/>
  <c r="C46" i="102"/>
  <c r="L45" i="102"/>
  <c r="M45" i="102" s="1"/>
  <c r="G45" i="102"/>
  <c r="N45" i="102" s="1"/>
  <c r="F45" i="102"/>
  <c r="E45" i="102"/>
  <c r="C45" i="102"/>
  <c r="L44" i="102"/>
  <c r="M44" i="102" s="1"/>
  <c r="G44" i="102"/>
  <c r="N44" i="102" s="1"/>
  <c r="F44" i="102"/>
  <c r="E44" i="102"/>
  <c r="C44" i="102"/>
  <c r="L43" i="102"/>
  <c r="M43" i="102" s="1"/>
  <c r="G43" i="102"/>
  <c r="N43" i="102" s="1"/>
  <c r="F43" i="102"/>
  <c r="E43" i="102"/>
  <c r="C43" i="102"/>
  <c r="F42" i="102"/>
  <c r="M38" i="102"/>
  <c r="L38" i="102"/>
  <c r="G38" i="102"/>
  <c r="E38" i="102"/>
  <c r="C38" i="102"/>
  <c r="M37" i="102"/>
  <c r="L37" i="102"/>
  <c r="G37" i="102"/>
  <c r="E37" i="102"/>
  <c r="C37" i="102"/>
  <c r="M36" i="102"/>
  <c r="L36" i="102"/>
  <c r="G36" i="102"/>
  <c r="E36" i="102"/>
  <c r="C36" i="102"/>
  <c r="M35" i="102"/>
  <c r="L35" i="102"/>
  <c r="G35" i="102"/>
  <c r="E35" i="102"/>
  <c r="C35" i="102"/>
  <c r="M34" i="102"/>
  <c r="L34" i="102"/>
  <c r="G34" i="102"/>
  <c r="E34" i="102"/>
  <c r="C34" i="102"/>
  <c r="M33" i="102"/>
  <c r="L33" i="102"/>
  <c r="G33" i="102"/>
  <c r="E33" i="102"/>
  <c r="C33" i="102"/>
  <c r="M32" i="102"/>
  <c r="L32" i="102"/>
  <c r="M31" i="102"/>
  <c r="L31" i="102"/>
  <c r="L27" i="102"/>
  <c r="M27" i="102" s="1"/>
  <c r="G27" i="102"/>
  <c r="N27" i="102" s="1"/>
  <c r="F27" i="102"/>
  <c r="E27" i="102"/>
  <c r="C27" i="102"/>
  <c r="L26" i="102"/>
  <c r="M26" i="102" s="1"/>
  <c r="G26" i="102"/>
  <c r="N26" i="102" s="1"/>
  <c r="F26" i="102"/>
  <c r="E26" i="102"/>
  <c r="C26" i="102"/>
  <c r="L25" i="102"/>
  <c r="M25" i="102" s="1"/>
  <c r="G25" i="102"/>
  <c r="N25" i="102" s="1"/>
  <c r="F25" i="102"/>
  <c r="E25" i="102"/>
  <c r="C25" i="102"/>
  <c r="L24" i="102"/>
  <c r="M24" i="102" s="1"/>
  <c r="G24" i="102"/>
  <c r="N24" i="102" s="1"/>
  <c r="F24" i="102"/>
  <c r="E24" i="102"/>
  <c r="C24" i="102"/>
  <c r="L23" i="102"/>
  <c r="M23" i="102" s="1"/>
  <c r="G23" i="102"/>
  <c r="N23" i="102" s="1"/>
  <c r="F23" i="102"/>
  <c r="E23" i="102"/>
  <c r="C23" i="102"/>
  <c r="G19" i="102"/>
  <c r="B16" i="102"/>
  <c r="B3" i="102"/>
  <c r="B2" i="102"/>
  <c r="B1" i="102"/>
  <c r="F62" i="100"/>
  <c r="F61" i="100"/>
  <c r="F60" i="100"/>
  <c r="G54" i="100"/>
  <c r="F54" i="100"/>
  <c r="E54" i="100"/>
  <c r="D54" i="100"/>
  <c r="G53" i="100"/>
  <c r="F53" i="100"/>
  <c r="E53" i="100"/>
  <c r="D53" i="100"/>
  <c r="G52" i="100"/>
  <c r="F52" i="100"/>
  <c r="E52" i="100"/>
  <c r="D52" i="100"/>
  <c r="F51" i="100"/>
  <c r="F50" i="100"/>
  <c r="L46" i="100"/>
  <c r="M46" i="100" s="1"/>
  <c r="G46" i="100"/>
  <c r="N46" i="100" s="1"/>
  <c r="F46" i="100"/>
  <c r="E46" i="100"/>
  <c r="C46" i="100"/>
  <c r="L45" i="100"/>
  <c r="M45" i="100" s="1"/>
  <c r="G45" i="100"/>
  <c r="N45" i="100" s="1"/>
  <c r="F45" i="100"/>
  <c r="E45" i="100"/>
  <c r="C45" i="100"/>
  <c r="L44" i="100"/>
  <c r="M44" i="100" s="1"/>
  <c r="G44" i="100"/>
  <c r="N44" i="100" s="1"/>
  <c r="F44" i="100"/>
  <c r="E44" i="100"/>
  <c r="C44" i="100"/>
  <c r="L43" i="100"/>
  <c r="M43" i="100" s="1"/>
  <c r="G43" i="100"/>
  <c r="N43" i="100" s="1"/>
  <c r="F43" i="100"/>
  <c r="E43" i="100"/>
  <c r="C43" i="100"/>
  <c r="F42" i="100"/>
  <c r="M38" i="100"/>
  <c r="L38" i="100"/>
  <c r="G38" i="100"/>
  <c r="E38" i="100"/>
  <c r="C38" i="100"/>
  <c r="M37" i="100"/>
  <c r="L37" i="100"/>
  <c r="G37" i="100"/>
  <c r="E37" i="100"/>
  <c r="C37" i="100"/>
  <c r="M36" i="100"/>
  <c r="L36" i="100"/>
  <c r="G36" i="100"/>
  <c r="E36" i="100"/>
  <c r="C36" i="100"/>
  <c r="M35" i="100"/>
  <c r="L35" i="100"/>
  <c r="G35" i="100"/>
  <c r="E35" i="100"/>
  <c r="C35" i="100"/>
  <c r="M34" i="100"/>
  <c r="L34" i="100"/>
  <c r="G34" i="100"/>
  <c r="E34" i="100"/>
  <c r="C34" i="100"/>
  <c r="M33" i="100"/>
  <c r="L33" i="100"/>
  <c r="G33" i="100"/>
  <c r="E33" i="100"/>
  <c r="C33" i="100"/>
  <c r="M32" i="100"/>
  <c r="L32" i="100"/>
  <c r="G32" i="100"/>
  <c r="E32" i="100"/>
  <c r="C32" i="100"/>
  <c r="M31" i="100"/>
  <c r="L31" i="100"/>
  <c r="L27" i="100"/>
  <c r="M27" i="100" s="1"/>
  <c r="G27" i="100"/>
  <c r="N27" i="100" s="1"/>
  <c r="F27" i="100"/>
  <c r="E27" i="100"/>
  <c r="C27" i="100"/>
  <c r="L26" i="100"/>
  <c r="M26" i="100" s="1"/>
  <c r="G26" i="100"/>
  <c r="N26" i="100" s="1"/>
  <c r="F26" i="100"/>
  <c r="E26" i="100"/>
  <c r="C26" i="100"/>
  <c r="L25" i="100"/>
  <c r="M25" i="100" s="1"/>
  <c r="G25" i="100"/>
  <c r="N25" i="100" s="1"/>
  <c r="F25" i="100"/>
  <c r="E25" i="100"/>
  <c r="C25" i="100"/>
  <c r="L24" i="100"/>
  <c r="M24" i="100" s="1"/>
  <c r="G24" i="100"/>
  <c r="N24" i="100" s="1"/>
  <c r="F24" i="100"/>
  <c r="E24" i="100"/>
  <c r="C24" i="100"/>
  <c r="L23" i="100"/>
  <c r="M23" i="100" s="1"/>
  <c r="G23" i="100"/>
  <c r="F23" i="100"/>
  <c r="E23" i="100"/>
  <c r="C23" i="100"/>
  <c r="G19" i="100"/>
  <c r="B16" i="100"/>
  <c r="B3" i="100"/>
  <c r="B2" i="100"/>
  <c r="B1" i="100"/>
  <c r="F62" i="99"/>
  <c r="F61" i="99"/>
  <c r="F60" i="99"/>
  <c r="G54" i="99"/>
  <c r="F54" i="99"/>
  <c r="E54" i="99"/>
  <c r="D54" i="99"/>
  <c r="F53" i="99"/>
  <c r="F52" i="99"/>
  <c r="F51" i="99"/>
  <c r="F50" i="99"/>
  <c r="L46" i="99"/>
  <c r="M46" i="99" s="1"/>
  <c r="G46" i="99"/>
  <c r="N46" i="99" s="1"/>
  <c r="F46" i="99"/>
  <c r="E46" i="99"/>
  <c r="C46" i="99"/>
  <c r="L45" i="99"/>
  <c r="M45" i="99" s="1"/>
  <c r="G45" i="99"/>
  <c r="N45" i="99" s="1"/>
  <c r="F45" i="99"/>
  <c r="E45" i="99"/>
  <c r="C45" i="99"/>
  <c r="L44" i="99"/>
  <c r="M44" i="99" s="1"/>
  <c r="G44" i="99"/>
  <c r="N44" i="99" s="1"/>
  <c r="F44" i="99"/>
  <c r="E44" i="99"/>
  <c r="C44" i="99"/>
  <c r="L43" i="99"/>
  <c r="M43" i="99" s="1"/>
  <c r="G43" i="99"/>
  <c r="N43" i="99" s="1"/>
  <c r="F43" i="99"/>
  <c r="E43" i="99"/>
  <c r="C43" i="99"/>
  <c r="F42" i="99"/>
  <c r="M38" i="99"/>
  <c r="L38" i="99"/>
  <c r="G38" i="99"/>
  <c r="E38" i="99"/>
  <c r="C38" i="99"/>
  <c r="M37" i="99"/>
  <c r="L37" i="99"/>
  <c r="G37" i="99"/>
  <c r="E37" i="99"/>
  <c r="C37" i="99"/>
  <c r="M36" i="99"/>
  <c r="L36" i="99"/>
  <c r="G36" i="99"/>
  <c r="E36" i="99"/>
  <c r="C36" i="99"/>
  <c r="M35" i="99"/>
  <c r="L35" i="99"/>
  <c r="G35" i="99"/>
  <c r="E35" i="99"/>
  <c r="C35" i="99"/>
  <c r="M34" i="99"/>
  <c r="L34" i="99"/>
  <c r="G34" i="99"/>
  <c r="E34" i="99"/>
  <c r="C34" i="99"/>
  <c r="M33" i="99"/>
  <c r="L33" i="99"/>
  <c r="M32" i="99"/>
  <c r="L32" i="99"/>
  <c r="M31" i="99"/>
  <c r="L31" i="99"/>
  <c r="L27" i="99"/>
  <c r="M27" i="99" s="1"/>
  <c r="G27" i="99"/>
  <c r="N27" i="99" s="1"/>
  <c r="F27" i="99"/>
  <c r="E27" i="99"/>
  <c r="C27" i="99"/>
  <c r="L26" i="99"/>
  <c r="M26" i="99" s="1"/>
  <c r="G26" i="99"/>
  <c r="N26" i="99" s="1"/>
  <c r="F26" i="99"/>
  <c r="E26" i="99"/>
  <c r="C26" i="99"/>
  <c r="L25" i="99"/>
  <c r="M25" i="99" s="1"/>
  <c r="G25" i="99"/>
  <c r="N25" i="99" s="1"/>
  <c r="F25" i="99"/>
  <c r="E25" i="99"/>
  <c r="C25" i="99"/>
  <c r="F24" i="99"/>
  <c r="F23" i="99"/>
  <c r="G19" i="99"/>
  <c r="B16" i="99"/>
  <c r="B3" i="99"/>
  <c r="B2" i="99"/>
  <c r="B1" i="99"/>
  <c r="F62" i="98"/>
  <c r="F61" i="98"/>
  <c r="F60" i="98"/>
  <c r="G54" i="98"/>
  <c r="F54" i="98"/>
  <c r="E54" i="98"/>
  <c r="D54" i="98"/>
  <c r="F53" i="98"/>
  <c r="F52" i="98"/>
  <c r="F51" i="98"/>
  <c r="F50" i="98"/>
  <c r="L46" i="98"/>
  <c r="M46" i="98" s="1"/>
  <c r="G46" i="98"/>
  <c r="N46" i="98" s="1"/>
  <c r="F46" i="98"/>
  <c r="E46" i="98"/>
  <c r="C46" i="98"/>
  <c r="L45" i="98"/>
  <c r="M45" i="98" s="1"/>
  <c r="G45" i="98"/>
  <c r="N45" i="98" s="1"/>
  <c r="F45" i="98"/>
  <c r="E45" i="98"/>
  <c r="C45" i="98"/>
  <c r="L44" i="98"/>
  <c r="M44" i="98" s="1"/>
  <c r="G44" i="98"/>
  <c r="N44" i="98" s="1"/>
  <c r="F44" i="98"/>
  <c r="E44" i="98"/>
  <c r="C44" i="98"/>
  <c r="L43" i="98"/>
  <c r="M43" i="98" s="1"/>
  <c r="G43" i="98"/>
  <c r="N43" i="98" s="1"/>
  <c r="F43" i="98"/>
  <c r="E43" i="98"/>
  <c r="C43" i="98"/>
  <c r="F42" i="98"/>
  <c r="M38" i="98"/>
  <c r="L38" i="98"/>
  <c r="G38" i="98"/>
  <c r="E38" i="98"/>
  <c r="C38" i="98"/>
  <c r="M37" i="98"/>
  <c r="L37" i="98"/>
  <c r="G37" i="98"/>
  <c r="E37" i="98"/>
  <c r="C37" i="98"/>
  <c r="M36" i="98"/>
  <c r="L36" i="98"/>
  <c r="G36" i="98"/>
  <c r="E36" i="98"/>
  <c r="C36" i="98"/>
  <c r="M35" i="98"/>
  <c r="L35" i="98"/>
  <c r="G35" i="98"/>
  <c r="E35" i="98"/>
  <c r="C35" i="98"/>
  <c r="M34" i="98"/>
  <c r="L34" i="98"/>
  <c r="G34" i="98"/>
  <c r="E34" i="98"/>
  <c r="C34" i="98"/>
  <c r="M33" i="98"/>
  <c r="L33" i="98"/>
  <c r="G33" i="98"/>
  <c r="E33" i="98"/>
  <c r="C33" i="98"/>
  <c r="M32" i="98"/>
  <c r="L32" i="98"/>
  <c r="M31" i="98"/>
  <c r="L31" i="98"/>
  <c r="L27" i="98"/>
  <c r="M27" i="98" s="1"/>
  <c r="G27" i="98"/>
  <c r="N27" i="98" s="1"/>
  <c r="F27" i="98"/>
  <c r="E27" i="98"/>
  <c r="C27" i="98"/>
  <c r="L26" i="98"/>
  <c r="M26" i="98" s="1"/>
  <c r="G26" i="98"/>
  <c r="N26" i="98" s="1"/>
  <c r="F26" i="98"/>
  <c r="E26" i="98"/>
  <c r="C26" i="98"/>
  <c r="L25" i="98"/>
  <c r="M25" i="98" s="1"/>
  <c r="G25" i="98"/>
  <c r="N25" i="98" s="1"/>
  <c r="F25" i="98"/>
  <c r="E25" i="98"/>
  <c r="C25" i="98"/>
  <c r="F24" i="98"/>
  <c r="F23" i="98"/>
  <c r="G19" i="98"/>
  <c r="B16" i="98"/>
  <c r="B3" i="98"/>
  <c r="B2" i="98"/>
  <c r="B1" i="98"/>
  <c r="F62" i="97"/>
  <c r="F61" i="97"/>
  <c r="F60" i="97"/>
  <c r="G54" i="97"/>
  <c r="E54" i="97"/>
  <c r="D54" i="97"/>
  <c r="L46" i="97"/>
  <c r="M46" i="97" s="1"/>
  <c r="G46" i="97"/>
  <c r="N46" i="97" s="1"/>
  <c r="E46" i="97"/>
  <c r="C46" i="97"/>
  <c r="L45" i="97"/>
  <c r="M45" i="97" s="1"/>
  <c r="G45" i="97"/>
  <c r="N45" i="97" s="1"/>
  <c r="E45" i="97"/>
  <c r="C45" i="97"/>
  <c r="L44" i="97"/>
  <c r="M44" i="97" s="1"/>
  <c r="G44" i="97"/>
  <c r="N44" i="97" s="1"/>
  <c r="E44" i="97"/>
  <c r="C44" i="97"/>
  <c r="L43" i="97"/>
  <c r="M43" i="97" s="1"/>
  <c r="G43" i="97"/>
  <c r="N43" i="97" s="1"/>
  <c r="E43" i="97"/>
  <c r="C43" i="97"/>
  <c r="M38" i="97"/>
  <c r="L38" i="97"/>
  <c r="G38" i="97"/>
  <c r="E38" i="97"/>
  <c r="C38" i="97"/>
  <c r="M37" i="97"/>
  <c r="L37" i="97"/>
  <c r="G37" i="97"/>
  <c r="E37" i="97"/>
  <c r="C37" i="97"/>
  <c r="M36" i="97"/>
  <c r="L36" i="97"/>
  <c r="G36" i="97"/>
  <c r="E36" i="97"/>
  <c r="C36" i="97"/>
  <c r="M35" i="97"/>
  <c r="L35" i="97"/>
  <c r="G35" i="97"/>
  <c r="E35" i="97"/>
  <c r="C35" i="97"/>
  <c r="M34" i="97"/>
  <c r="L34" i="97"/>
  <c r="G34" i="97"/>
  <c r="E34" i="97"/>
  <c r="C34" i="97"/>
  <c r="M33" i="97"/>
  <c r="L33" i="97"/>
  <c r="G33" i="97"/>
  <c r="M32" i="97"/>
  <c r="L32" i="97"/>
  <c r="M31" i="97"/>
  <c r="L31" i="97"/>
  <c r="L27" i="97"/>
  <c r="M27" i="97" s="1"/>
  <c r="G27" i="97"/>
  <c r="N27" i="97" s="1"/>
  <c r="E27" i="97"/>
  <c r="C27" i="97"/>
  <c r="L26" i="97"/>
  <c r="M26" i="97" s="1"/>
  <c r="G26" i="97"/>
  <c r="N26" i="97" s="1"/>
  <c r="E26" i="97"/>
  <c r="C26" i="97"/>
  <c r="L25" i="97"/>
  <c r="M25" i="97" s="1"/>
  <c r="G25" i="97"/>
  <c r="N25" i="97" s="1"/>
  <c r="E25" i="97"/>
  <c r="C25" i="97"/>
  <c r="L24" i="97"/>
  <c r="M24" i="97" s="1"/>
  <c r="G24" i="97"/>
  <c r="N24" i="97" s="1"/>
  <c r="E24" i="97"/>
  <c r="C24" i="97"/>
  <c r="F23" i="97"/>
  <c r="G19" i="97"/>
  <c r="B16" i="97"/>
  <c r="B3" i="97"/>
  <c r="B2" i="97"/>
  <c r="B1" i="97"/>
  <c r="F62" i="96"/>
  <c r="F61" i="96"/>
  <c r="F60" i="96"/>
  <c r="G54" i="96"/>
  <c r="E54" i="96"/>
  <c r="D54" i="96"/>
  <c r="G53" i="96"/>
  <c r="E53" i="96"/>
  <c r="D53" i="96"/>
  <c r="G52" i="96"/>
  <c r="E52" i="96"/>
  <c r="D52" i="96"/>
  <c r="L46" i="96"/>
  <c r="M46" i="96" s="1"/>
  <c r="G46" i="96"/>
  <c r="N46" i="96" s="1"/>
  <c r="E46" i="96"/>
  <c r="C46" i="96"/>
  <c r="L45" i="96"/>
  <c r="M45" i="96" s="1"/>
  <c r="G45" i="96"/>
  <c r="N45" i="96" s="1"/>
  <c r="E45" i="96"/>
  <c r="C45" i="96"/>
  <c r="L44" i="96"/>
  <c r="M44" i="96" s="1"/>
  <c r="G44" i="96"/>
  <c r="N44" i="96" s="1"/>
  <c r="E44" i="96"/>
  <c r="C44" i="96"/>
  <c r="L43" i="96"/>
  <c r="M43" i="96" s="1"/>
  <c r="G43" i="96"/>
  <c r="N43" i="96" s="1"/>
  <c r="E43" i="96"/>
  <c r="C43" i="96"/>
  <c r="M38" i="96"/>
  <c r="L38" i="96"/>
  <c r="G38" i="96"/>
  <c r="E38" i="96"/>
  <c r="C38" i="96"/>
  <c r="M37" i="96"/>
  <c r="L37" i="96"/>
  <c r="G37" i="96"/>
  <c r="E37" i="96"/>
  <c r="C37" i="96"/>
  <c r="M36" i="96"/>
  <c r="L36" i="96"/>
  <c r="G36" i="96"/>
  <c r="E36" i="96"/>
  <c r="C36" i="96"/>
  <c r="M35" i="96"/>
  <c r="L35" i="96"/>
  <c r="G35" i="96"/>
  <c r="E35" i="96"/>
  <c r="C35" i="96"/>
  <c r="M34" i="96"/>
  <c r="L34" i="96"/>
  <c r="G34" i="96"/>
  <c r="E34" i="96"/>
  <c r="C34" i="96"/>
  <c r="M33" i="96"/>
  <c r="L33" i="96"/>
  <c r="M32" i="96"/>
  <c r="L32" i="96"/>
  <c r="M31" i="96"/>
  <c r="L31" i="96"/>
  <c r="L27" i="96"/>
  <c r="M27" i="96" s="1"/>
  <c r="G27" i="96"/>
  <c r="N27" i="96" s="1"/>
  <c r="E27" i="96"/>
  <c r="C27" i="96"/>
  <c r="L26" i="96"/>
  <c r="M26" i="96" s="1"/>
  <c r="G26" i="96"/>
  <c r="N26" i="96" s="1"/>
  <c r="E26" i="96"/>
  <c r="C26" i="96"/>
  <c r="L25" i="96"/>
  <c r="M25" i="96" s="1"/>
  <c r="G25" i="96"/>
  <c r="N25" i="96" s="1"/>
  <c r="E25" i="96"/>
  <c r="C25" i="96"/>
  <c r="L24" i="96"/>
  <c r="M24" i="96" s="1"/>
  <c r="G24" i="96"/>
  <c r="N24" i="96" s="1"/>
  <c r="F24" i="96"/>
  <c r="E24" i="96"/>
  <c r="C24" i="96"/>
  <c r="L23" i="96"/>
  <c r="M23" i="96" s="1"/>
  <c r="G23" i="96"/>
  <c r="E23" i="96"/>
  <c r="C23" i="96"/>
  <c r="F53" i="96"/>
  <c r="G19" i="96"/>
  <c r="B16" i="96"/>
  <c r="B3" i="96"/>
  <c r="B2" i="96"/>
  <c r="B1" i="96"/>
  <c r="F62" i="95"/>
  <c r="F61" i="95"/>
  <c r="F60" i="95"/>
  <c r="G54" i="95"/>
  <c r="E54" i="95"/>
  <c r="D54" i="95"/>
  <c r="G53" i="95"/>
  <c r="E53" i="95"/>
  <c r="D53" i="95"/>
  <c r="L46" i="95"/>
  <c r="M46" i="95" s="1"/>
  <c r="G46" i="95"/>
  <c r="N46" i="95" s="1"/>
  <c r="E46" i="95"/>
  <c r="C46" i="95"/>
  <c r="L45" i="95"/>
  <c r="M45" i="95" s="1"/>
  <c r="G45" i="95"/>
  <c r="N45" i="95" s="1"/>
  <c r="E45" i="95"/>
  <c r="C45" i="95"/>
  <c r="L44" i="95"/>
  <c r="M44" i="95" s="1"/>
  <c r="G44" i="95"/>
  <c r="N44" i="95" s="1"/>
  <c r="E44" i="95"/>
  <c r="C44" i="95"/>
  <c r="L43" i="95"/>
  <c r="M43" i="95" s="1"/>
  <c r="G43" i="95"/>
  <c r="E43" i="95"/>
  <c r="C43" i="95"/>
  <c r="M38" i="95"/>
  <c r="L38" i="95"/>
  <c r="G38" i="95"/>
  <c r="E38" i="95"/>
  <c r="C38" i="95"/>
  <c r="M37" i="95"/>
  <c r="L37" i="95"/>
  <c r="G37" i="95"/>
  <c r="E37" i="95"/>
  <c r="C37" i="95"/>
  <c r="M36" i="95"/>
  <c r="L36" i="95"/>
  <c r="G36" i="95"/>
  <c r="E36" i="95"/>
  <c r="C36" i="95"/>
  <c r="M35" i="95"/>
  <c r="L35" i="95"/>
  <c r="G35" i="95"/>
  <c r="E35" i="95"/>
  <c r="C35" i="95"/>
  <c r="M34" i="95"/>
  <c r="L34" i="95"/>
  <c r="G34" i="95"/>
  <c r="E34" i="95"/>
  <c r="C34" i="95"/>
  <c r="M33" i="95"/>
  <c r="L33" i="95"/>
  <c r="G33" i="95"/>
  <c r="E33" i="95"/>
  <c r="C33" i="95"/>
  <c r="M32" i="95"/>
  <c r="L32" i="95"/>
  <c r="G32" i="95"/>
  <c r="E32" i="95"/>
  <c r="C32" i="95"/>
  <c r="M31" i="95"/>
  <c r="L31" i="95"/>
  <c r="L27" i="95"/>
  <c r="M27" i="95" s="1"/>
  <c r="G27" i="95"/>
  <c r="N27" i="95" s="1"/>
  <c r="E27" i="95"/>
  <c r="C27" i="95"/>
  <c r="L26" i="95"/>
  <c r="M26" i="95" s="1"/>
  <c r="G26" i="95"/>
  <c r="N26" i="95" s="1"/>
  <c r="E26" i="95"/>
  <c r="C26" i="95"/>
  <c r="L25" i="95"/>
  <c r="M25" i="95" s="1"/>
  <c r="G25" i="95"/>
  <c r="N25" i="95" s="1"/>
  <c r="E25" i="95"/>
  <c r="C25" i="95"/>
  <c r="L24" i="95"/>
  <c r="M24" i="95" s="1"/>
  <c r="G24" i="95"/>
  <c r="N24" i="95" s="1"/>
  <c r="E24" i="95"/>
  <c r="C24" i="95"/>
  <c r="L23" i="95"/>
  <c r="M23" i="95" s="1"/>
  <c r="G23" i="95"/>
  <c r="N23" i="95" s="1"/>
  <c r="E23" i="95"/>
  <c r="C23" i="95"/>
  <c r="F42" i="95"/>
  <c r="G19" i="95"/>
  <c r="B16" i="95"/>
  <c r="B3" i="95"/>
  <c r="B2" i="95"/>
  <c r="B1" i="95"/>
  <c r="F62" i="94"/>
  <c r="F61" i="94"/>
  <c r="F60" i="94"/>
  <c r="L46" i="94"/>
  <c r="M46" i="94" s="1"/>
  <c r="N46" i="94"/>
  <c r="L45" i="94"/>
  <c r="M45" i="94" s="1"/>
  <c r="N45" i="94"/>
  <c r="L44" i="94"/>
  <c r="M44" i="94" s="1"/>
  <c r="N44" i="94"/>
  <c r="L43" i="94"/>
  <c r="M43" i="94" s="1"/>
  <c r="N43" i="94"/>
  <c r="M38" i="94"/>
  <c r="L38" i="94"/>
  <c r="M37" i="94"/>
  <c r="L37" i="94"/>
  <c r="M36" i="94"/>
  <c r="L36" i="94"/>
  <c r="M35" i="94"/>
  <c r="L35" i="94"/>
  <c r="M34" i="94"/>
  <c r="L34" i="94"/>
  <c r="M33" i="94"/>
  <c r="L33" i="94"/>
  <c r="M32" i="94"/>
  <c r="L32" i="94"/>
  <c r="M31" i="94"/>
  <c r="L31" i="94"/>
  <c r="L27" i="94"/>
  <c r="M27" i="94" s="1"/>
  <c r="N27" i="94"/>
  <c r="L26" i="94"/>
  <c r="M26" i="94" s="1"/>
  <c r="N26" i="94"/>
  <c r="L25" i="94"/>
  <c r="M25" i="94" s="1"/>
  <c r="N25" i="94"/>
  <c r="L24" i="94"/>
  <c r="M24" i="94" s="1"/>
  <c r="N24" i="94"/>
  <c r="L23" i="94"/>
  <c r="M23" i="94" s="1"/>
  <c r="B16" i="94"/>
  <c r="B3" i="94"/>
  <c r="B2" i="94"/>
  <c r="B1" i="94"/>
  <c r="F62" i="93"/>
  <c r="F61" i="93"/>
  <c r="F60" i="93"/>
  <c r="G54" i="93"/>
  <c r="F54" i="93"/>
  <c r="E54" i="93"/>
  <c r="D54" i="93"/>
  <c r="G53" i="93"/>
  <c r="F53" i="93"/>
  <c r="E53" i="93"/>
  <c r="D53" i="93"/>
  <c r="G52" i="93"/>
  <c r="F52" i="93"/>
  <c r="E52" i="93"/>
  <c r="D52" i="93"/>
  <c r="G51" i="93"/>
  <c r="F51" i="93"/>
  <c r="E51" i="93"/>
  <c r="D51" i="93"/>
  <c r="F50" i="93"/>
  <c r="L46" i="93"/>
  <c r="M46" i="93" s="1"/>
  <c r="G46" i="93"/>
  <c r="N46" i="93" s="1"/>
  <c r="F46" i="93"/>
  <c r="E46" i="93"/>
  <c r="C46" i="93"/>
  <c r="L45" i="93"/>
  <c r="M45" i="93" s="1"/>
  <c r="G45" i="93"/>
  <c r="N45" i="93" s="1"/>
  <c r="F45" i="93"/>
  <c r="E45" i="93"/>
  <c r="C45" i="93"/>
  <c r="L44" i="93"/>
  <c r="M44" i="93" s="1"/>
  <c r="G44" i="93"/>
  <c r="N44" i="93" s="1"/>
  <c r="F44" i="93"/>
  <c r="E44" i="93"/>
  <c r="C44" i="93"/>
  <c r="L43" i="93"/>
  <c r="M43" i="93" s="1"/>
  <c r="G43" i="93"/>
  <c r="F43" i="93"/>
  <c r="E43" i="93"/>
  <c r="C43" i="93"/>
  <c r="F42" i="93"/>
  <c r="M38" i="93"/>
  <c r="L38" i="93"/>
  <c r="G38" i="93"/>
  <c r="E38" i="93"/>
  <c r="C38" i="93"/>
  <c r="M37" i="93"/>
  <c r="L37" i="93"/>
  <c r="G37" i="93"/>
  <c r="E37" i="93"/>
  <c r="C37" i="93"/>
  <c r="M36" i="93"/>
  <c r="L36" i="93"/>
  <c r="G36" i="93"/>
  <c r="E36" i="93"/>
  <c r="C36" i="93"/>
  <c r="M35" i="93"/>
  <c r="L35" i="93"/>
  <c r="G35" i="93"/>
  <c r="E35" i="93"/>
  <c r="C35" i="93"/>
  <c r="M34" i="93"/>
  <c r="L34" i="93"/>
  <c r="G34" i="93"/>
  <c r="E34" i="93"/>
  <c r="C34" i="93"/>
  <c r="M33" i="93"/>
  <c r="L33" i="93"/>
  <c r="G33" i="93"/>
  <c r="E33" i="93"/>
  <c r="C33" i="93"/>
  <c r="M32" i="93"/>
  <c r="L32" i="93"/>
  <c r="M31" i="93"/>
  <c r="L31" i="93"/>
  <c r="L27" i="93"/>
  <c r="M27" i="93" s="1"/>
  <c r="G27" i="93"/>
  <c r="N27" i="93" s="1"/>
  <c r="F27" i="93"/>
  <c r="E27" i="93"/>
  <c r="C27" i="93"/>
  <c r="L26" i="93"/>
  <c r="M26" i="93" s="1"/>
  <c r="G26" i="93"/>
  <c r="N26" i="93" s="1"/>
  <c r="F26" i="93"/>
  <c r="E26" i="93"/>
  <c r="C26" i="93"/>
  <c r="L25" i="93"/>
  <c r="M25" i="93" s="1"/>
  <c r="G25" i="93"/>
  <c r="N25" i="93" s="1"/>
  <c r="F25" i="93"/>
  <c r="E25" i="93"/>
  <c r="C25" i="93"/>
  <c r="L24" i="93"/>
  <c r="M24" i="93" s="1"/>
  <c r="G24" i="93"/>
  <c r="N24" i="93" s="1"/>
  <c r="F24" i="93"/>
  <c r="E24" i="93"/>
  <c r="C24" i="93"/>
  <c r="L23" i="93"/>
  <c r="M23" i="93" s="1"/>
  <c r="G23" i="93"/>
  <c r="N23" i="93" s="1"/>
  <c r="F23" i="93"/>
  <c r="E23" i="93"/>
  <c r="C23" i="93"/>
  <c r="G19" i="93"/>
  <c r="B16" i="93"/>
  <c r="B3" i="93"/>
  <c r="B2" i="93"/>
  <c r="B1" i="93"/>
  <c r="F62" i="92"/>
  <c r="F61" i="92"/>
  <c r="F60" i="92"/>
  <c r="L46" i="92"/>
  <c r="M46" i="92" s="1"/>
  <c r="N46" i="92"/>
  <c r="L45" i="92"/>
  <c r="M45" i="92" s="1"/>
  <c r="N45" i="92"/>
  <c r="L44" i="92"/>
  <c r="M44" i="92" s="1"/>
  <c r="N44" i="92"/>
  <c r="L43" i="92"/>
  <c r="M43" i="92" s="1"/>
  <c r="N43" i="92"/>
  <c r="M38" i="92"/>
  <c r="L38" i="92"/>
  <c r="M37" i="92"/>
  <c r="L37" i="92"/>
  <c r="M36" i="92"/>
  <c r="L36" i="92"/>
  <c r="M35" i="92"/>
  <c r="L35" i="92"/>
  <c r="M34" i="92"/>
  <c r="L34" i="92"/>
  <c r="M33" i="92"/>
  <c r="L33" i="92"/>
  <c r="M32" i="92"/>
  <c r="L32" i="92"/>
  <c r="M31" i="92"/>
  <c r="L31" i="92"/>
  <c r="L27" i="92"/>
  <c r="M27" i="92" s="1"/>
  <c r="N27" i="92"/>
  <c r="L26" i="92"/>
  <c r="M26" i="92" s="1"/>
  <c r="N26" i="92"/>
  <c r="L25" i="92"/>
  <c r="M25" i="92" s="1"/>
  <c r="N25" i="92"/>
  <c r="L24" i="92"/>
  <c r="M24" i="92" s="1"/>
  <c r="N24" i="92"/>
  <c r="L23" i="92"/>
  <c r="M23" i="92" s="1"/>
  <c r="B16" i="92"/>
  <c r="B3" i="92"/>
  <c r="B2" i="92"/>
  <c r="B1" i="92"/>
  <c r="F62" i="91"/>
  <c r="F61" i="91"/>
  <c r="F60" i="91"/>
  <c r="L46" i="91"/>
  <c r="M46" i="91" s="1"/>
  <c r="N46" i="91"/>
  <c r="L45" i="91"/>
  <c r="M45" i="91" s="1"/>
  <c r="N45" i="91"/>
  <c r="L44" i="91"/>
  <c r="M44" i="91" s="1"/>
  <c r="N44" i="91"/>
  <c r="L43" i="91"/>
  <c r="M43" i="91" s="1"/>
  <c r="N43" i="91"/>
  <c r="M38" i="91"/>
  <c r="L38" i="91"/>
  <c r="M37" i="91"/>
  <c r="L37" i="91"/>
  <c r="M36" i="91"/>
  <c r="L36" i="91"/>
  <c r="M35" i="91"/>
  <c r="L35" i="91"/>
  <c r="M34" i="91"/>
  <c r="L34" i="91"/>
  <c r="M33" i="91"/>
  <c r="L33" i="91"/>
  <c r="M32" i="91"/>
  <c r="L32" i="91"/>
  <c r="M31" i="91"/>
  <c r="L31" i="91"/>
  <c r="L27" i="91"/>
  <c r="M27" i="91" s="1"/>
  <c r="N27" i="91"/>
  <c r="L26" i="91"/>
  <c r="M26" i="91" s="1"/>
  <c r="N26" i="91"/>
  <c r="L25" i="91"/>
  <c r="M25" i="91" s="1"/>
  <c r="N25" i="91"/>
  <c r="L24" i="91"/>
  <c r="M24" i="91" s="1"/>
  <c r="N24" i="91"/>
  <c r="L23" i="91"/>
  <c r="M23" i="91" s="1"/>
  <c r="B16" i="91"/>
  <c r="B3" i="91"/>
  <c r="B2" i="91"/>
  <c r="B1" i="91"/>
  <c r="F62" i="90"/>
  <c r="F61" i="90"/>
  <c r="F60" i="90"/>
  <c r="G54" i="90"/>
  <c r="F54" i="90"/>
  <c r="E54" i="90"/>
  <c r="D54" i="90"/>
  <c r="G53" i="90"/>
  <c r="F53" i="90"/>
  <c r="E53" i="90"/>
  <c r="D53" i="90"/>
  <c r="G52" i="90"/>
  <c r="F52" i="90"/>
  <c r="E52" i="90"/>
  <c r="D52" i="90"/>
  <c r="F51" i="90"/>
  <c r="F50" i="90"/>
  <c r="L46" i="90"/>
  <c r="M46" i="90" s="1"/>
  <c r="G46" i="90"/>
  <c r="N46" i="90" s="1"/>
  <c r="F46" i="90"/>
  <c r="E46" i="90"/>
  <c r="C46" i="90"/>
  <c r="L45" i="90"/>
  <c r="M45" i="90" s="1"/>
  <c r="G45" i="90"/>
  <c r="N45" i="90" s="1"/>
  <c r="F45" i="90"/>
  <c r="E45" i="90"/>
  <c r="C45" i="90"/>
  <c r="L44" i="90"/>
  <c r="M44" i="90" s="1"/>
  <c r="G44" i="90"/>
  <c r="N44" i="90" s="1"/>
  <c r="F44" i="90"/>
  <c r="E44" i="90"/>
  <c r="C44" i="90"/>
  <c r="L43" i="90"/>
  <c r="M43" i="90" s="1"/>
  <c r="G43" i="90"/>
  <c r="N43" i="90" s="1"/>
  <c r="F43" i="90"/>
  <c r="E43" i="90"/>
  <c r="C43" i="90"/>
  <c r="F42" i="90"/>
  <c r="M38" i="90"/>
  <c r="L38" i="90"/>
  <c r="G38" i="90"/>
  <c r="E38" i="90"/>
  <c r="C38" i="90"/>
  <c r="M37" i="90"/>
  <c r="L37" i="90"/>
  <c r="G37" i="90"/>
  <c r="E37" i="90"/>
  <c r="C37" i="90"/>
  <c r="M36" i="90"/>
  <c r="L36" i="90"/>
  <c r="G36" i="90"/>
  <c r="E36" i="90"/>
  <c r="C36" i="90"/>
  <c r="M35" i="90"/>
  <c r="L35" i="90"/>
  <c r="G35" i="90"/>
  <c r="E35" i="90"/>
  <c r="C35" i="90"/>
  <c r="M34" i="90"/>
  <c r="L34" i="90"/>
  <c r="M33" i="90"/>
  <c r="L33" i="90"/>
  <c r="M32" i="90"/>
  <c r="L32" i="90"/>
  <c r="M31" i="90"/>
  <c r="L31" i="90"/>
  <c r="L27" i="90"/>
  <c r="M27" i="90" s="1"/>
  <c r="G27" i="90"/>
  <c r="N27" i="90" s="1"/>
  <c r="F27" i="90"/>
  <c r="E27" i="90"/>
  <c r="C27" i="90"/>
  <c r="L26" i="90"/>
  <c r="M26" i="90" s="1"/>
  <c r="G26" i="90"/>
  <c r="N26" i="90" s="1"/>
  <c r="F26" i="90"/>
  <c r="E26" i="90"/>
  <c r="C26" i="90"/>
  <c r="L25" i="90"/>
  <c r="M25" i="90" s="1"/>
  <c r="G25" i="90"/>
  <c r="N25" i="90" s="1"/>
  <c r="F25" i="90"/>
  <c r="E25" i="90"/>
  <c r="C25" i="90"/>
  <c r="L24" i="90"/>
  <c r="M24" i="90" s="1"/>
  <c r="G24" i="90"/>
  <c r="N24" i="90" s="1"/>
  <c r="F24" i="90"/>
  <c r="E24" i="90"/>
  <c r="C24" i="90"/>
  <c r="L23" i="90"/>
  <c r="M23" i="90" s="1"/>
  <c r="G23" i="90"/>
  <c r="F23" i="90"/>
  <c r="E23" i="90"/>
  <c r="C23" i="90"/>
  <c r="G19" i="90"/>
  <c r="B16" i="90"/>
  <c r="B3" i="90"/>
  <c r="B2" i="90"/>
  <c r="B1" i="90"/>
  <c r="F62" i="89"/>
  <c r="F61" i="89"/>
  <c r="F60" i="89"/>
  <c r="G54" i="89"/>
  <c r="F54" i="89"/>
  <c r="E54" i="89"/>
  <c r="D54" i="89"/>
  <c r="G53" i="89"/>
  <c r="F53" i="89"/>
  <c r="E53" i="89"/>
  <c r="D53" i="89"/>
  <c r="G52" i="89"/>
  <c r="F52" i="89"/>
  <c r="E52" i="89"/>
  <c r="D52" i="89"/>
  <c r="F51" i="89"/>
  <c r="F50" i="89"/>
  <c r="L46" i="89"/>
  <c r="M46" i="89" s="1"/>
  <c r="G46" i="89"/>
  <c r="N46" i="89" s="1"/>
  <c r="F46" i="89"/>
  <c r="E46" i="89"/>
  <c r="C46" i="89"/>
  <c r="L45" i="89"/>
  <c r="M45" i="89" s="1"/>
  <c r="G45" i="89"/>
  <c r="N45" i="89" s="1"/>
  <c r="F45" i="89"/>
  <c r="E45" i="89"/>
  <c r="C45" i="89"/>
  <c r="L44" i="89"/>
  <c r="M44" i="89" s="1"/>
  <c r="G44" i="89"/>
  <c r="N44" i="89" s="1"/>
  <c r="F44" i="89"/>
  <c r="E44" i="89"/>
  <c r="C44" i="89"/>
  <c r="L43" i="89"/>
  <c r="M43" i="89" s="1"/>
  <c r="G43" i="89"/>
  <c r="N43" i="89" s="1"/>
  <c r="F43" i="89"/>
  <c r="E43" i="89"/>
  <c r="C43" i="89"/>
  <c r="F42" i="89"/>
  <c r="M38" i="89"/>
  <c r="L38" i="89"/>
  <c r="G38" i="89"/>
  <c r="E38" i="89"/>
  <c r="C38" i="89"/>
  <c r="M37" i="89"/>
  <c r="L37" i="89"/>
  <c r="G37" i="89"/>
  <c r="E37" i="89"/>
  <c r="C37" i="89"/>
  <c r="M36" i="89"/>
  <c r="L36" i="89"/>
  <c r="G36" i="89"/>
  <c r="E36" i="89"/>
  <c r="C36" i="89"/>
  <c r="M35" i="89"/>
  <c r="L35" i="89"/>
  <c r="G35" i="89"/>
  <c r="E35" i="89"/>
  <c r="C35" i="89"/>
  <c r="M34" i="89"/>
  <c r="L34" i="89"/>
  <c r="G34" i="89"/>
  <c r="E34" i="89"/>
  <c r="C34" i="89"/>
  <c r="M33" i="89"/>
  <c r="L33" i="89"/>
  <c r="G33" i="89"/>
  <c r="E33" i="89"/>
  <c r="C33" i="89"/>
  <c r="M32" i="89"/>
  <c r="L32" i="89"/>
  <c r="M31" i="89"/>
  <c r="L31" i="89"/>
  <c r="L27" i="89"/>
  <c r="M27" i="89" s="1"/>
  <c r="G27" i="89"/>
  <c r="N27" i="89" s="1"/>
  <c r="F27" i="89"/>
  <c r="E27" i="89"/>
  <c r="C27" i="89"/>
  <c r="L26" i="89"/>
  <c r="M26" i="89" s="1"/>
  <c r="G26" i="89"/>
  <c r="N26" i="89" s="1"/>
  <c r="F26" i="89"/>
  <c r="E26" i="89"/>
  <c r="C26" i="89"/>
  <c r="L25" i="89"/>
  <c r="M25" i="89" s="1"/>
  <c r="G25" i="89"/>
  <c r="N25" i="89" s="1"/>
  <c r="F25" i="89"/>
  <c r="E25" i="89"/>
  <c r="C25" i="89"/>
  <c r="L24" i="89"/>
  <c r="M24" i="89" s="1"/>
  <c r="G24" i="89"/>
  <c r="N24" i="89" s="1"/>
  <c r="F24" i="89"/>
  <c r="E24" i="89"/>
  <c r="C24" i="89"/>
  <c r="L23" i="89"/>
  <c r="M23" i="89" s="1"/>
  <c r="G23" i="89"/>
  <c r="F23" i="89"/>
  <c r="E23" i="89"/>
  <c r="C23" i="89"/>
  <c r="G19" i="89"/>
  <c r="B16" i="89"/>
  <c r="B3" i="89"/>
  <c r="B2" i="89"/>
  <c r="B1" i="89"/>
  <c r="F61" i="88"/>
  <c r="F60" i="88"/>
  <c r="F59" i="88"/>
  <c r="F54" i="88"/>
  <c r="F53" i="88"/>
  <c r="F52" i="88"/>
  <c r="F51" i="88"/>
  <c r="F50" i="88"/>
  <c r="L46" i="88"/>
  <c r="M46" i="88" s="1"/>
  <c r="G46" i="88"/>
  <c r="N46" i="88" s="1"/>
  <c r="F46" i="88"/>
  <c r="E46" i="88"/>
  <c r="C46" i="88"/>
  <c r="L45" i="88"/>
  <c r="M45" i="88" s="1"/>
  <c r="G45" i="88"/>
  <c r="N45" i="88" s="1"/>
  <c r="F45" i="88"/>
  <c r="E45" i="88"/>
  <c r="C45" i="88"/>
  <c r="L44" i="88"/>
  <c r="M44" i="88" s="1"/>
  <c r="G44" i="88"/>
  <c r="N44" i="88" s="1"/>
  <c r="F44" i="88"/>
  <c r="E44" i="88"/>
  <c r="C44" i="88"/>
  <c r="L43" i="88"/>
  <c r="M43" i="88" s="1"/>
  <c r="G43" i="88"/>
  <c r="N43" i="88" s="1"/>
  <c r="F43" i="88"/>
  <c r="E43" i="88"/>
  <c r="C43" i="88"/>
  <c r="F42" i="88"/>
  <c r="M38" i="88"/>
  <c r="L38" i="88"/>
  <c r="G38" i="88"/>
  <c r="E38" i="88"/>
  <c r="C38" i="88"/>
  <c r="M37" i="88"/>
  <c r="L37" i="88"/>
  <c r="G37" i="88"/>
  <c r="E37" i="88"/>
  <c r="C37" i="88"/>
  <c r="M36" i="88"/>
  <c r="L36" i="88"/>
  <c r="G36" i="88"/>
  <c r="E36" i="88"/>
  <c r="C36" i="88"/>
  <c r="M35" i="88"/>
  <c r="L35" i="88"/>
  <c r="G35" i="88"/>
  <c r="E35" i="88"/>
  <c r="C35" i="88"/>
  <c r="M34" i="88"/>
  <c r="L34" i="88"/>
  <c r="G34" i="88"/>
  <c r="E34" i="88"/>
  <c r="C34" i="88"/>
  <c r="M33" i="88"/>
  <c r="L33" i="88"/>
  <c r="M32" i="88"/>
  <c r="L32" i="88"/>
  <c r="M31" i="88"/>
  <c r="L31" i="88"/>
  <c r="L27" i="88"/>
  <c r="M27" i="88" s="1"/>
  <c r="G27" i="88"/>
  <c r="N27" i="88" s="1"/>
  <c r="F27" i="88"/>
  <c r="E27" i="88"/>
  <c r="C27" i="88"/>
  <c r="L26" i="88"/>
  <c r="M26" i="88" s="1"/>
  <c r="G26" i="88"/>
  <c r="N26" i="88" s="1"/>
  <c r="F26" i="88"/>
  <c r="E26" i="88"/>
  <c r="C26" i="88"/>
  <c r="L25" i="88"/>
  <c r="M25" i="88" s="1"/>
  <c r="G25" i="88"/>
  <c r="N25" i="88" s="1"/>
  <c r="F25" i="88"/>
  <c r="E25" i="88"/>
  <c r="C25" i="88"/>
  <c r="F24" i="88"/>
  <c r="F23" i="88"/>
  <c r="G19" i="88"/>
  <c r="B16" i="88"/>
  <c r="B3" i="88"/>
  <c r="B2" i="88"/>
  <c r="B1" i="88"/>
  <c r="F63" i="87"/>
  <c r="F62" i="87"/>
  <c r="F61" i="87"/>
  <c r="G54" i="87"/>
  <c r="F54" i="87"/>
  <c r="E54" i="87"/>
  <c r="D54" i="87"/>
  <c r="G53" i="87"/>
  <c r="F53" i="87"/>
  <c r="F52" i="87"/>
  <c r="F51" i="87"/>
  <c r="F50" i="87"/>
  <c r="L47" i="87"/>
  <c r="M47" i="87" s="1"/>
  <c r="L46" i="87"/>
  <c r="M46" i="87" s="1"/>
  <c r="G46" i="87"/>
  <c r="N46" i="87" s="1"/>
  <c r="F46" i="87"/>
  <c r="E46" i="87"/>
  <c r="C46" i="87"/>
  <c r="L45" i="87"/>
  <c r="M45" i="87" s="1"/>
  <c r="G45" i="87"/>
  <c r="N45" i="87" s="1"/>
  <c r="F45" i="87"/>
  <c r="E45" i="87"/>
  <c r="C45" i="87"/>
  <c r="L44" i="87"/>
  <c r="M44" i="87" s="1"/>
  <c r="G44" i="87"/>
  <c r="F44" i="87"/>
  <c r="E44" i="87"/>
  <c r="C44" i="87"/>
  <c r="L43" i="87"/>
  <c r="M43" i="87" s="1"/>
  <c r="G43" i="87"/>
  <c r="N43" i="87" s="1"/>
  <c r="F43" i="87"/>
  <c r="E43" i="87"/>
  <c r="C43" i="87"/>
  <c r="F42" i="87"/>
  <c r="M39" i="87"/>
  <c r="L39" i="87"/>
  <c r="M38" i="87"/>
  <c r="L38" i="87"/>
  <c r="G38" i="87"/>
  <c r="E38" i="87"/>
  <c r="C38" i="87"/>
  <c r="M37" i="87"/>
  <c r="L37" i="87"/>
  <c r="G37" i="87"/>
  <c r="E37" i="87"/>
  <c r="C37" i="87"/>
  <c r="M36" i="87"/>
  <c r="L36" i="87"/>
  <c r="G36" i="87"/>
  <c r="E36" i="87"/>
  <c r="C36" i="87"/>
  <c r="M35" i="87"/>
  <c r="L35" i="87"/>
  <c r="G35" i="87"/>
  <c r="E35" i="87"/>
  <c r="C35" i="87"/>
  <c r="M34" i="87"/>
  <c r="L34" i="87"/>
  <c r="G34" i="87"/>
  <c r="E34" i="87"/>
  <c r="C34" i="87"/>
  <c r="M33" i="87"/>
  <c r="L33" i="87"/>
  <c r="M32" i="87"/>
  <c r="L32" i="87"/>
  <c r="L28" i="87"/>
  <c r="M28" i="87" s="1"/>
  <c r="G27" i="87"/>
  <c r="F27" i="87"/>
  <c r="E27" i="87"/>
  <c r="C27" i="87"/>
  <c r="L26" i="87"/>
  <c r="M26" i="87" s="1"/>
  <c r="G26" i="87"/>
  <c r="N26" i="87" s="1"/>
  <c r="F26" i="87"/>
  <c r="E26" i="87"/>
  <c r="C26" i="87"/>
  <c r="L25" i="87"/>
  <c r="M25" i="87" s="1"/>
  <c r="G25" i="87"/>
  <c r="N25" i="87" s="1"/>
  <c r="F25" i="87"/>
  <c r="E25" i="87"/>
  <c r="C25" i="87"/>
  <c r="F24" i="87"/>
  <c r="F23" i="87"/>
  <c r="G19" i="87"/>
  <c r="B16" i="87"/>
  <c r="B3" i="87"/>
  <c r="B2" i="87"/>
  <c r="B1" i="87"/>
  <c r="F62" i="86"/>
  <c r="F61" i="86"/>
  <c r="F60" i="86"/>
  <c r="G54" i="86"/>
  <c r="F54" i="86"/>
  <c r="E54" i="86"/>
  <c r="D54" i="86"/>
  <c r="F53" i="86"/>
  <c r="F52" i="86"/>
  <c r="F51" i="86"/>
  <c r="F50" i="86"/>
  <c r="L46" i="86"/>
  <c r="M46" i="86" s="1"/>
  <c r="G46" i="86"/>
  <c r="N46" i="86" s="1"/>
  <c r="F46" i="86"/>
  <c r="E46" i="86"/>
  <c r="C46" i="86"/>
  <c r="L45" i="86"/>
  <c r="M45" i="86" s="1"/>
  <c r="G45" i="86"/>
  <c r="N45" i="86" s="1"/>
  <c r="F45" i="86"/>
  <c r="E45" i="86"/>
  <c r="C45" i="86"/>
  <c r="L44" i="86"/>
  <c r="M44" i="86" s="1"/>
  <c r="G44" i="86"/>
  <c r="N44" i="86" s="1"/>
  <c r="F44" i="86"/>
  <c r="E44" i="86"/>
  <c r="C44" i="86"/>
  <c r="L43" i="86"/>
  <c r="M43" i="86" s="1"/>
  <c r="G43" i="86"/>
  <c r="N43" i="86" s="1"/>
  <c r="F43" i="86"/>
  <c r="E43" i="86"/>
  <c r="C43" i="86"/>
  <c r="F42" i="86"/>
  <c r="M38" i="86"/>
  <c r="L38" i="86"/>
  <c r="G38" i="86"/>
  <c r="E38" i="86"/>
  <c r="C38" i="86"/>
  <c r="M37" i="86"/>
  <c r="L37" i="86"/>
  <c r="G37" i="86"/>
  <c r="E37" i="86"/>
  <c r="C37" i="86"/>
  <c r="M36" i="86"/>
  <c r="L36" i="86"/>
  <c r="G36" i="86"/>
  <c r="E36" i="86"/>
  <c r="C36" i="86"/>
  <c r="M35" i="86"/>
  <c r="L35" i="86"/>
  <c r="G35" i="86"/>
  <c r="E35" i="86"/>
  <c r="C35" i="86"/>
  <c r="M34" i="86"/>
  <c r="L34" i="86"/>
  <c r="G34" i="86"/>
  <c r="E34" i="86"/>
  <c r="C34" i="86"/>
  <c r="M33" i="86"/>
  <c r="L33" i="86"/>
  <c r="M32" i="86"/>
  <c r="L32" i="86"/>
  <c r="M31" i="86"/>
  <c r="L31" i="86"/>
  <c r="L27" i="86"/>
  <c r="M27" i="86" s="1"/>
  <c r="G27" i="86"/>
  <c r="N27" i="86" s="1"/>
  <c r="F27" i="86"/>
  <c r="E27" i="86"/>
  <c r="C27" i="86"/>
  <c r="L26" i="86"/>
  <c r="M26" i="86" s="1"/>
  <c r="G26" i="86"/>
  <c r="N26" i="86" s="1"/>
  <c r="F26" i="86"/>
  <c r="E26" i="86"/>
  <c r="C26" i="86"/>
  <c r="L25" i="86"/>
  <c r="M25" i="86" s="1"/>
  <c r="G25" i="86"/>
  <c r="N25" i="86" s="1"/>
  <c r="F25" i="86"/>
  <c r="E25" i="86"/>
  <c r="C25" i="86"/>
  <c r="F24" i="86"/>
  <c r="F23" i="86"/>
  <c r="G19" i="86"/>
  <c r="B16" i="86"/>
  <c r="B3" i="86"/>
  <c r="B2" i="86"/>
  <c r="B1" i="86"/>
  <c r="F62" i="85"/>
  <c r="F61" i="85"/>
  <c r="F60" i="85"/>
  <c r="G54" i="85"/>
  <c r="F54" i="85"/>
  <c r="E54" i="85"/>
  <c r="D54" i="85"/>
  <c r="F53" i="85"/>
  <c r="F52" i="85"/>
  <c r="F51" i="85"/>
  <c r="F50" i="85"/>
  <c r="L46" i="85"/>
  <c r="M46" i="85" s="1"/>
  <c r="G46" i="85"/>
  <c r="N46" i="85" s="1"/>
  <c r="F46" i="85"/>
  <c r="E46" i="85"/>
  <c r="C46" i="85"/>
  <c r="L45" i="85"/>
  <c r="M45" i="85" s="1"/>
  <c r="G45" i="85"/>
  <c r="N45" i="85" s="1"/>
  <c r="F45" i="85"/>
  <c r="E45" i="85"/>
  <c r="C45" i="85"/>
  <c r="L44" i="85"/>
  <c r="M44" i="85" s="1"/>
  <c r="G44" i="85"/>
  <c r="N44" i="85" s="1"/>
  <c r="F44" i="85"/>
  <c r="E44" i="85"/>
  <c r="C44" i="85"/>
  <c r="L43" i="85"/>
  <c r="M43" i="85" s="1"/>
  <c r="G43" i="85"/>
  <c r="F43" i="85"/>
  <c r="E43" i="85"/>
  <c r="C43" i="85"/>
  <c r="F42" i="85"/>
  <c r="M38" i="85"/>
  <c r="L38" i="85"/>
  <c r="G38" i="85"/>
  <c r="E38" i="85"/>
  <c r="C38" i="85"/>
  <c r="M37" i="85"/>
  <c r="L37" i="85"/>
  <c r="G37" i="85"/>
  <c r="E37" i="85"/>
  <c r="C37" i="85"/>
  <c r="M36" i="85"/>
  <c r="L36" i="85"/>
  <c r="G36" i="85"/>
  <c r="E36" i="85"/>
  <c r="C36" i="85"/>
  <c r="M35" i="85"/>
  <c r="L35" i="85"/>
  <c r="G35" i="85"/>
  <c r="E35" i="85"/>
  <c r="C35" i="85"/>
  <c r="M34" i="85"/>
  <c r="L34" i="85"/>
  <c r="G34" i="85"/>
  <c r="E34" i="85"/>
  <c r="C34" i="85"/>
  <c r="M33" i="85"/>
  <c r="L33" i="85"/>
  <c r="M32" i="85"/>
  <c r="L32" i="85"/>
  <c r="M31" i="85"/>
  <c r="L31" i="85"/>
  <c r="L27" i="85"/>
  <c r="M27" i="85" s="1"/>
  <c r="G27" i="85"/>
  <c r="N27" i="85" s="1"/>
  <c r="F27" i="85"/>
  <c r="E27" i="85"/>
  <c r="C27" i="85"/>
  <c r="L26" i="85"/>
  <c r="M26" i="85" s="1"/>
  <c r="G26" i="85"/>
  <c r="N26" i="85" s="1"/>
  <c r="F26" i="85"/>
  <c r="E26" i="85"/>
  <c r="C26" i="85"/>
  <c r="L25" i="85"/>
  <c r="M25" i="85" s="1"/>
  <c r="G25" i="85"/>
  <c r="N25" i="85" s="1"/>
  <c r="F25" i="85"/>
  <c r="E25" i="85"/>
  <c r="C25" i="85"/>
  <c r="F24" i="85"/>
  <c r="F23" i="85"/>
  <c r="G19" i="85"/>
  <c r="B16" i="85"/>
  <c r="B3" i="85"/>
  <c r="B2" i="85"/>
  <c r="B1" i="85"/>
  <c r="F62" i="84"/>
  <c r="F61" i="84"/>
  <c r="F60" i="84"/>
  <c r="G54" i="84"/>
  <c r="E54" i="84"/>
  <c r="D54" i="84"/>
  <c r="G53" i="84"/>
  <c r="E53" i="84"/>
  <c r="D53" i="84"/>
  <c r="L46" i="84"/>
  <c r="M46" i="84" s="1"/>
  <c r="G46" i="84"/>
  <c r="N46" i="84" s="1"/>
  <c r="E46" i="84"/>
  <c r="C46" i="84"/>
  <c r="L45" i="84"/>
  <c r="M45" i="84" s="1"/>
  <c r="G45" i="84"/>
  <c r="N45" i="84" s="1"/>
  <c r="E45" i="84"/>
  <c r="C45" i="84"/>
  <c r="L44" i="84"/>
  <c r="M44" i="84" s="1"/>
  <c r="G44" i="84"/>
  <c r="N44" i="84" s="1"/>
  <c r="E44" i="84"/>
  <c r="C44" i="84"/>
  <c r="L43" i="84"/>
  <c r="M43" i="84" s="1"/>
  <c r="G43" i="84"/>
  <c r="N43" i="84" s="1"/>
  <c r="E43" i="84"/>
  <c r="C43" i="84"/>
  <c r="M38" i="84"/>
  <c r="L38" i="84"/>
  <c r="G38" i="84"/>
  <c r="E38" i="84"/>
  <c r="C38" i="84"/>
  <c r="M37" i="84"/>
  <c r="L37" i="84"/>
  <c r="G37" i="84"/>
  <c r="E37" i="84"/>
  <c r="C37" i="84"/>
  <c r="M36" i="84"/>
  <c r="L36" i="84"/>
  <c r="G36" i="84"/>
  <c r="E36" i="84"/>
  <c r="C36" i="84"/>
  <c r="M35" i="84"/>
  <c r="L35" i="84"/>
  <c r="G35" i="84"/>
  <c r="E35" i="84"/>
  <c r="C35" i="84"/>
  <c r="M34" i="84"/>
  <c r="L34" i="84"/>
  <c r="G34" i="84"/>
  <c r="E34" i="84"/>
  <c r="C34" i="84"/>
  <c r="M33" i="84"/>
  <c r="L33" i="84"/>
  <c r="G33" i="84"/>
  <c r="E33" i="84"/>
  <c r="C33" i="84"/>
  <c r="M32" i="84"/>
  <c r="L32" i="84"/>
  <c r="M31" i="84"/>
  <c r="L31" i="84"/>
  <c r="L27" i="84"/>
  <c r="M27" i="84" s="1"/>
  <c r="G27" i="84"/>
  <c r="N27" i="84" s="1"/>
  <c r="F27" i="84"/>
  <c r="E27" i="84"/>
  <c r="C27" i="84"/>
  <c r="L26" i="84"/>
  <c r="M26" i="84" s="1"/>
  <c r="G26" i="84"/>
  <c r="N26" i="84" s="1"/>
  <c r="E26" i="84"/>
  <c r="C26" i="84"/>
  <c r="L25" i="84"/>
  <c r="M25" i="84" s="1"/>
  <c r="G25" i="84"/>
  <c r="N25" i="84" s="1"/>
  <c r="E25" i="84"/>
  <c r="C25" i="84"/>
  <c r="L24" i="84"/>
  <c r="M24" i="84" s="1"/>
  <c r="G24" i="84"/>
  <c r="N24" i="84" s="1"/>
  <c r="E24" i="84"/>
  <c r="C24" i="84"/>
  <c r="L23" i="84"/>
  <c r="M23" i="84" s="1"/>
  <c r="G23" i="84"/>
  <c r="N23" i="84" s="1"/>
  <c r="E23" i="84"/>
  <c r="C23" i="84"/>
  <c r="F42" i="84"/>
  <c r="G19" i="84"/>
  <c r="B16" i="84"/>
  <c r="B3" i="84"/>
  <c r="B2" i="84"/>
  <c r="B1" i="84"/>
  <c r="F62" i="83"/>
  <c r="F61" i="83"/>
  <c r="F60" i="83"/>
  <c r="G54" i="83"/>
  <c r="E54" i="83"/>
  <c r="D54" i="83"/>
  <c r="G53" i="83"/>
  <c r="E53" i="83"/>
  <c r="D53" i="83"/>
  <c r="L46" i="83"/>
  <c r="M46" i="83" s="1"/>
  <c r="G46" i="83"/>
  <c r="N46" i="83" s="1"/>
  <c r="E46" i="83"/>
  <c r="C46" i="83"/>
  <c r="L45" i="83"/>
  <c r="M45" i="83" s="1"/>
  <c r="G45" i="83"/>
  <c r="N45" i="83" s="1"/>
  <c r="E45" i="83"/>
  <c r="C45" i="83"/>
  <c r="L44" i="83"/>
  <c r="M44" i="83" s="1"/>
  <c r="G44" i="83"/>
  <c r="N44" i="83" s="1"/>
  <c r="E44" i="83"/>
  <c r="C44" i="83"/>
  <c r="L43" i="83"/>
  <c r="M43" i="83" s="1"/>
  <c r="G43" i="83"/>
  <c r="N43" i="83" s="1"/>
  <c r="E43" i="83"/>
  <c r="C43" i="83"/>
  <c r="M38" i="83"/>
  <c r="L38" i="83"/>
  <c r="G38" i="83"/>
  <c r="E38" i="83"/>
  <c r="C38" i="83"/>
  <c r="M37" i="83"/>
  <c r="L37" i="83"/>
  <c r="G37" i="83"/>
  <c r="E37" i="83"/>
  <c r="C37" i="83"/>
  <c r="M36" i="83"/>
  <c r="L36" i="83"/>
  <c r="G36" i="83"/>
  <c r="E36" i="83"/>
  <c r="C36" i="83"/>
  <c r="M35" i="83"/>
  <c r="L35" i="83"/>
  <c r="G35" i="83"/>
  <c r="E35" i="83"/>
  <c r="C35" i="83"/>
  <c r="M34" i="83"/>
  <c r="L34" i="83"/>
  <c r="G34" i="83"/>
  <c r="E34" i="83"/>
  <c r="C34" i="83"/>
  <c r="M33" i="83"/>
  <c r="L33" i="83"/>
  <c r="G33" i="83"/>
  <c r="E33" i="83"/>
  <c r="C33" i="83"/>
  <c r="M32" i="83"/>
  <c r="L32" i="83"/>
  <c r="M31" i="83"/>
  <c r="L31" i="83"/>
  <c r="L27" i="83"/>
  <c r="M27" i="83" s="1"/>
  <c r="G27" i="83"/>
  <c r="N27" i="83" s="1"/>
  <c r="E27" i="83"/>
  <c r="C27" i="83"/>
  <c r="L26" i="83"/>
  <c r="M26" i="83" s="1"/>
  <c r="G26" i="83"/>
  <c r="N26" i="83" s="1"/>
  <c r="E26" i="83"/>
  <c r="C26" i="83"/>
  <c r="L25" i="83"/>
  <c r="M25" i="83" s="1"/>
  <c r="G25" i="83"/>
  <c r="N25" i="83" s="1"/>
  <c r="E25" i="83"/>
  <c r="C25" i="83"/>
  <c r="L24" i="83"/>
  <c r="M24" i="83" s="1"/>
  <c r="G24" i="83"/>
  <c r="N24" i="83" s="1"/>
  <c r="E24" i="83"/>
  <c r="C24" i="83"/>
  <c r="L23" i="83"/>
  <c r="M23" i="83" s="1"/>
  <c r="G23" i="83"/>
  <c r="E23" i="83"/>
  <c r="C23" i="83"/>
  <c r="F42" i="83"/>
  <c r="G19" i="83"/>
  <c r="B16" i="83"/>
  <c r="B3" i="83"/>
  <c r="B2" i="83"/>
  <c r="B1" i="83"/>
  <c r="F62" i="82"/>
  <c r="F61" i="82"/>
  <c r="F60" i="82"/>
  <c r="F54" i="82"/>
  <c r="L46" i="82"/>
  <c r="M46" i="82" s="1"/>
  <c r="G46" i="82"/>
  <c r="N46" i="82" s="1"/>
  <c r="F46" i="82"/>
  <c r="E46" i="82"/>
  <c r="C46" i="82"/>
  <c r="L45" i="82"/>
  <c r="M45" i="82" s="1"/>
  <c r="G45" i="82"/>
  <c r="N45" i="82" s="1"/>
  <c r="E45" i="82"/>
  <c r="C45" i="82"/>
  <c r="L44" i="82"/>
  <c r="M44" i="82" s="1"/>
  <c r="G44" i="82"/>
  <c r="N44" i="82" s="1"/>
  <c r="E44" i="82"/>
  <c r="C44" i="82"/>
  <c r="L43" i="82"/>
  <c r="M43" i="82" s="1"/>
  <c r="G43" i="82"/>
  <c r="F43" i="82"/>
  <c r="E43" i="82"/>
  <c r="C43" i="82"/>
  <c r="M38" i="82"/>
  <c r="L38" i="82"/>
  <c r="G38" i="82"/>
  <c r="E38" i="82"/>
  <c r="C38" i="82"/>
  <c r="M37" i="82"/>
  <c r="L37" i="82"/>
  <c r="G37" i="82"/>
  <c r="E37" i="82"/>
  <c r="C37" i="82"/>
  <c r="M36" i="82"/>
  <c r="L36" i="82"/>
  <c r="G36" i="82"/>
  <c r="E36" i="82"/>
  <c r="C36" i="82"/>
  <c r="M35" i="82"/>
  <c r="L35" i="82"/>
  <c r="G35" i="82"/>
  <c r="E35" i="82"/>
  <c r="C35" i="82"/>
  <c r="M34" i="82"/>
  <c r="L34" i="82"/>
  <c r="M33" i="82"/>
  <c r="L33" i="82"/>
  <c r="M32" i="82"/>
  <c r="L32" i="82"/>
  <c r="M31" i="82"/>
  <c r="L31" i="82"/>
  <c r="L27" i="82"/>
  <c r="M27" i="82" s="1"/>
  <c r="G27" i="82"/>
  <c r="N27" i="82" s="1"/>
  <c r="E27" i="82"/>
  <c r="C27" i="82"/>
  <c r="L26" i="82"/>
  <c r="M26" i="82" s="1"/>
  <c r="G26" i="82"/>
  <c r="N26" i="82" s="1"/>
  <c r="F26" i="82"/>
  <c r="E26" i="82"/>
  <c r="C26" i="82"/>
  <c r="L25" i="82"/>
  <c r="M25" i="82" s="1"/>
  <c r="G25" i="82"/>
  <c r="N25" i="82" s="1"/>
  <c r="F25" i="82"/>
  <c r="E25" i="82"/>
  <c r="C25" i="82"/>
  <c r="G19" i="82"/>
  <c r="B16" i="82"/>
  <c r="B3" i="82"/>
  <c r="B2" i="82"/>
  <c r="B1" i="82"/>
  <c r="F62" i="81"/>
  <c r="F61" i="81"/>
  <c r="F60" i="81"/>
  <c r="G54" i="81"/>
  <c r="E54" i="81"/>
  <c r="D54" i="81"/>
  <c r="L46" i="81"/>
  <c r="M46" i="81" s="1"/>
  <c r="G46" i="81"/>
  <c r="N46" i="81" s="1"/>
  <c r="E46" i="81"/>
  <c r="C46" i="81"/>
  <c r="L45" i="81"/>
  <c r="M45" i="81" s="1"/>
  <c r="G45" i="81"/>
  <c r="N45" i="81" s="1"/>
  <c r="F45" i="81"/>
  <c r="E45" i="81"/>
  <c r="C45" i="81"/>
  <c r="L44" i="81"/>
  <c r="M44" i="81" s="1"/>
  <c r="G44" i="81"/>
  <c r="E44" i="81"/>
  <c r="C44" i="81"/>
  <c r="L43" i="81"/>
  <c r="M43" i="81" s="1"/>
  <c r="G43" i="81"/>
  <c r="N43" i="81" s="1"/>
  <c r="E43" i="81"/>
  <c r="C43" i="81"/>
  <c r="F42" i="81"/>
  <c r="M38" i="81"/>
  <c r="L38" i="81"/>
  <c r="G38" i="81"/>
  <c r="E38" i="81"/>
  <c r="C38" i="81"/>
  <c r="M37" i="81"/>
  <c r="L37" i="81"/>
  <c r="G37" i="81"/>
  <c r="E37" i="81"/>
  <c r="C37" i="81"/>
  <c r="M36" i="81"/>
  <c r="L36" i="81"/>
  <c r="G36" i="81"/>
  <c r="E36" i="81"/>
  <c r="C36" i="81"/>
  <c r="M35" i="81"/>
  <c r="L35" i="81"/>
  <c r="G35" i="81"/>
  <c r="E35" i="81"/>
  <c r="C35" i="81"/>
  <c r="M34" i="81"/>
  <c r="L34" i="81"/>
  <c r="G34" i="81"/>
  <c r="E34" i="81"/>
  <c r="C34" i="81"/>
  <c r="M33" i="81"/>
  <c r="L33" i="81"/>
  <c r="M32" i="81"/>
  <c r="L32" i="81"/>
  <c r="M31" i="81"/>
  <c r="L31" i="81"/>
  <c r="L27" i="81"/>
  <c r="M27" i="81" s="1"/>
  <c r="G27" i="81"/>
  <c r="N27" i="81" s="1"/>
  <c r="E27" i="81"/>
  <c r="C27" i="81"/>
  <c r="L26" i="81"/>
  <c r="M26" i="81" s="1"/>
  <c r="G26" i="81"/>
  <c r="N26" i="81" s="1"/>
  <c r="F26" i="81"/>
  <c r="E26" i="81"/>
  <c r="C26" i="81"/>
  <c r="L25" i="81"/>
  <c r="M25" i="81" s="1"/>
  <c r="G25" i="81"/>
  <c r="N25" i="81" s="1"/>
  <c r="F25" i="81"/>
  <c r="E25" i="81"/>
  <c r="C25" i="81"/>
  <c r="F24" i="81"/>
  <c r="F23" i="81"/>
  <c r="F52" i="81"/>
  <c r="G19" i="81"/>
  <c r="B16" i="81"/>
  <c r="B3" i="81"/>
  <c r="B2" i="81"/>
  <c r="B1" i="81"/>
  <c r="F62" i="80"/>
  <c r="F61" i="80"/>
  <c r="F60" i="80"/>
  <c r="G54" i="80"/>
  <c r="E54" i="80"/>
  <c r="D54" i="80"/>
  <c r="G53" i="80"/>
  <c r="E53" i="80"/>
  <c r="D53" i="80"/>
  <c r="L46" i="80"/>
  <c r="M46" i="80" s="1"/>
  <c r="G46" i="80"/>
  <c r="N46" i="80" s="1"/>
  <c r="E46" i="80"/>
  <c r="C46" i="80"/>
  <c r="L45" i="80"/>
  <c r="M45" i="80" s="1"/>
  <c r="G45" i="80"/>
  <c r="N45" i="80" s="1"/>
  <c r="E45" i="80"/>
  <c r="C45" i="80"/>
  <c r="L44" i="80"/>
  <c r="M44" i="80" s="1"/>
  <c r="G44" i="80"/>
  <c r="N44" i="80" s="1"/>
  <c r="E44" i="80"/>
  <c r="C44" i="80"/>
  <c r="L43" i="80"/>
  <c r="M43" i="80" s="1"/>
  <c r="G43" i="80"/>
  <c r="N43" i="80" s="1"/>
  <c r="E43" i="80"/>
  <c r="C43" i="80"/>
  <c r="M38" i="80"/>
  <c r="L38" i="80"/>
  <c r="G38" i="80"/>
  <c r="E38" i="80"/>
  <c r="C38" i="80"/>
  <c r="M37" i="80"/>
  <c r="L37" i="80"/>
  <c r="G37" i="80"/>
  <c r="E37" i="80"/>
  <c r="C37" i="80"/>
  <c r="M36" i="80"/>
  <c r="L36" i="80"/>
  <c r="G36" i="80"/>
  <c r="E36" i="80"/>
  <c r="C36" i="80"/>
  <c r="M35" i="80"/>
  <c r="L35" i="80"/>
  <c r="G35" i="80"/>
  <c r="E35" i="80"/>
  <c r="C35" i="80"/>
  <c r="M34" i="80"/>
  <c r="L34" i="80"/>
  <c r="G34" i="80"/>
  <c r="E34" i="80"/>
  <c r="C34" i="80"/>
  <c r="M33" i="80"/>
  <c r="L33" i="80"/>
  <c r="G33" i="80"/>
  <c r="E33" i="80"/>
  <c r="C33" i="80"/>
  <c r="M32" i="80"/>
  <c r="L32" i="80"/>
  <c r="M31" i="80"/>
  <c r="L31" i="80"/>
  <c r="L27" i="80"/>
  <c r="M27" i="80" s="1"/>
  <c r="G27" i="80"/>
  <c r="N27" i="80" s="1"/>
  <c r="E27" i="80"/>
  <c r="C27" i="80"/>
  <c r="L26" i="80"/>
  <c r="M26" i="80" s="1"/>
  <c r="G26" i="80"/>
  <c r="N26" i="80" s="1"/>
  <c r="E26" i="80"/>
  <c r="C26" i="80"/>
  <c r="L25" i="80"/>
  <c r="M25" i="80" s="1"/>
  <c r="G25" i="80"/>
  <c r="N25" i="80" s="1"/>
  <c r="E25" i="80"/>
  <c r="C25" i="80"/>
  <c r="L24" i="80"/>
  <c r="M24" i="80" s="1"/>
  <c r="G24" i="80"/>
  <c r="E24" i="80"/>
  <c r="C24" i="80"/>
  <c r="L23" i="80"/>
  <c r="M23" i="80" s="1"/>
  <c r="G23" i="80"/>
  <c r="N23" i="80" s="1"/>
  <c r="E23" i="80"/>
  <c r="C23" i="80"/>
  <c r="F42" i="80"/>
  <c r="G19" i="80"/>
  <c r="B16" i="80"/>
  <c r="B3" i="80"/>
  <c r="B2" i="80"/>
  <c r="B1" i="80"/>
  <c r="F62" i="79"/>
  <c r="F61" i="79"/>
  <c r="F60" i="79"/>
  <c r="G54" i="79"/>
  <c r="E54" i="79"/>
  <c r="D54" i="79"/>
  <c r="L46" i="79"/>
  <c r="M46" i="79" s="1"/>
  <c r="G46" i="79"/>
  <c r="N46" i="79" s="1"/>
  <c r="E46" i="79"/>
  <c r="C46" i="79"/>
  <c r="L45" i="79"/>
  <c r="M45" i="79" s="1"/>
  <c r="G45" i="79"/>
  <c r="N45" i="79" s="1"/>
  <c r="E45" i="79"/>
  <c r="C45" i="79"/>
  <c r="L44" i="79"/>
  <c r="M44" i="79" s="1"/>
  <c r="G44" i="79"/>
  <c r="N44" i="79" s="1"/>
  <c r="E44" i="79"/>
  <c r="C44" i="79"/>
  <c r="L43" i="79"/>
  <c r="M43" i="79" s="1"/>
  <c r="G43" i="79"/>
  <c r="E43" i="79"/>
  <c r="C43" i="79"/>
  <c r="L42" i="79"/>
  <c r="M42" i="79" s="1"/>
  <c r="G42" i="79"/>
  <c r="N42" i="79" s="1"/>
  <c r="E42" i="79"/>
  <c r="C42" i="79"/>
  <c r="M38" i="79"/>
  <c r="L38" i="79"/>
  <c r="G38" i="79"/>
  <c r="E38" i="79"/>
  <c r="C38" i="79"/>
  <c r="M37" i="79"/>
  <c r="L37" i="79"/>
  <c r="G37" i="79"/>
  <c r="E37" i="79"/>
  <c r="C37" i="79"/>
  <c r="M36" i="79"/>
  <c r="L36" i="79"/>
  <c r="G36" i="79"/>
  <c r="E36" i="79"/>
  <c r="C36" i="79"/>
  <c r="M35" i="79"/>
  <c r="L35" i="79"/>
  <c r="G35" i="79"/>
  <c r="E35" i="79"/>
  <c r="C35" i="79"/>
  <c r="M34" i="79"/>
  <c r="L34" i="79"/>
  <c r="G34" i="79"/>
  <c r="E34" i="79"/>
  <c r="C34" i="79"/>
  <c r="M33" i="79"/>
  <c r="L33" i="79"/>
  <c r="G33" i="79"/>
  <c r="E33" i="79"/>
  <c r="C33" i="79"/>
  <c r="M32" i="79"/>
  <c r="L32" i="79"/>
  <c r="G32" i="79"/>
  <c r="E32" i="79"/>
  <c r="C32" i="79"/>
  <c r="M31" i="79"/>
  <c r="L31" i="79"/>
  <c r="L27" i="79"/>
  <c r="M27" i="79" s="1"/>
  <c r="G27" i="79"/>
  <c r="N27" i="79" s="1"/>
  <c r="E27" i="79"/>
  <c r="C27" i="79"/>
  <c r="L26" i="79"/>
  <c r="M26" i="79" s="1"/>
  <c r="G26" i="79"/>
  <c r="N26" i="79" s="1"/>
  <c r="E26" i="79"/>
  <c r="C26" i="79"/>
  <c r="L25" i="79"/>
  <c r="M25" i="79" s="1"/>
  <c r="G25" i="79"/>
  <c r="N25" i="79" s="1"/>
  <c r="E25" i="79"/>
  <c r="C25" i="79"/>
  <c r="G20" i="79"/>
  <c r="F46" i="79" s="1"/>
  <c r="G19" i="79"/>
  <c r="B16" i="79"/>
  <c r="B3" i="79"/>
  <c r="B2" i="79"/>
  <c r="B1" i="79"/>
  <c r="F62" i="78"/>
  <c r="F61" i="78"/>
  <c r="F60" i="78"/>
  <c r="G54" i="78"/>
  <c r="F54" i="78"/>
  <c r="E54" i="78"/>
  <c r="D54" i="78"/>
  <c r="G53" i="78"/>
  <c r="F53" i="78"/>
  <c r="E53" i="78"/>
  <c r="D53" i="78"/>
  <c r="F52" i="78"/>
  <c r="F51" i="78"/>
  <c r="F50" i="78"/>
  <c r="L46" i="78"/>
  <c r="M46" i="78" s="1"/>
  <c r="G46" i="78"/>
  <c r="N46" i="78" s="1"/>
  <c r="F46" i="78"/>
  <c r="E46" i="78"/>
  <c r="C46" i="78"/>
  <c r="L45" i="78"/>
  <c r="M45" i="78" s="1"/>
  <c r="G45" i="78"/>
  <c r="N45" i="78" s="1"/>
  <c r="F45" i="78"/>
  <c r="E45" i="78"/>
  <c r="C45" i="78"/>
  <c r="L44" i="78"/>
  <c r="M44" i="78" s="1"/>
  <c r="G44" i="78"/>
  <c r="N44" i="78" s="1"/>
  <c r="F44" i="78"/>
  <c r="E44" i="78"/>
  <c r="C44" i="78"/>
  <c r="L43" i="78"/>
  <c r="M43" i="78" s="1"/>
  <c r="G43" i="78"/>
  <c r="F43" i="78"/>
  <c r="E43" i="78"/>
  <c r="C43" i="78"/>
  <c r="L42" i="78"/>
  <c r="M42" i="78" s="1"/>
  <c r="G42" i="78"/>
  <c r="N42" i="78" s="1"/>
  <c r="F42" i="78"/>
  <c r="E42" i="78"/>
  <c r="C42" i="78"/>
  <c r="M38" i="78"/>
  <c r="L38" i="78"/>
  <c r="G38" i="78"/>
  <c r="E38" i="78"/>
  <c r="C38" i="78"/>
  <c r="M37" i="78"/>
  <c r="L37" i="78"/>
  <c r="G37" i="78"/>
  <c r="E37" i="78"/>
  <c r="C37" i="78"/>
  <c r="M36" i="78"/>
  <c r="L36" i="78"/>
  <c r="G36" i="78"/>
  <c r="E36" i="78"/>
  <c r="C36" i="78"/>
  <c r="M35" i="78"/>
  <c r="L35" i="78"/>
  <c r="G35" i="78"/>
  <c r="E35" i="78"/>
  <c r="C35" i="78"/>
  <c r="M34" i="78"/>
  <c r="L34" i="78"/>
  <c r="G34" i="78"/>
  <c r="E34" i="78"/>
  <c r="C34" i="78"/>
  <c r="M33" i="78"/>
  <c r="L33" i="78"/>
  <c r="G33" i="78"/>
  <c r="E33" i="78"/>
  <c r="C33" i="78"/>
  <c r="M32" i="78"/>
  <c r="L32" i="78"/>
  <c r="G32" i="78"/>
  <c r="E32" i="78"/>
  <c r="C32" i="78"/>
  <c r="M31" i="78"/>
  <c r="L31" i="78"/>
  <c r="G31" i="78"/>
  <c r="E31" i="78"/>
  <c r="C31" i="78"/>
  <c r="L27" i="78"/>
  <c r="M27" i="78" s="1"/>
  <c r="G27" i="78"/>
  <c r="N27" i="78" s="1"/>
  <c r="F27" i="78"/>
  <c r="E27" i="78"/>
  <c r="C27" i="78"/>
  <c r="L26" i="78"/>
  <c r="M26" i="78" s="1"/>
  <c r="G26" i="78"/>
  <c r="N26" i="78" s="1"/>
  <c r="F26" i="78"/>
  <c r="E26" i="78"/>
  <c r="C26" i="78"/>
  <c r="L25" i="78"/>
  <c r="M25" i="78" s="1"/>
  <c r="G25" i="78"/>
  <c r="N25" i="78" s="1"/>
  <c r="F25" i="78"/>
  <c r="E25" i="78"/>
  <c r="C25" i="78"/>
  <c r="L24" i="78"/>
  <c r="M24" i="78" s="1"/>
  <c r="G24" i="78"/>
  <c r="N24" i="78" s="1"/>
  <c r="F24" i="78"/>
  <c r="E24" i="78"/>
  <c r="C24" i="78"/>
  <c r="L23" i="78"/>
  <c r="M23" i="78" s="1"/>
  <c r="G23" i="78"/>
  <c r="N23" i="78" s="1"/>
  <c r="F23" i="78"/>
  <c r="E23" i="78"/>
  <c r="C23" i="78"/>
  <c r="G19" i="78"/>
  <c r="B16" i="78"/>
  <c r="B3" i="78"/>
  <c r="B2" i="78"/>
  <c r="B1" i="78"/>
  <c r="F62" i="77"/>
  <c r="F61" i="77"/>
  <c r="F60" i="77"/>
  <c r="G54" i="77"/>
  <c r="E54" i="77"/>
  <c r="D54" i="77"/>
  <c r="G53" i="77"/>
  <c r="E53" i="77"/>
  <c r="D53" i="77"/>
  <c r="L46" i="77"/>
  <c r="M46" i="77" s="1"/>
  <c r="G46" i="77"/>
  <c r="N46" i="77" s="1"/>
  <c r="E46" i="77"/>
  <c r="C46" i="77"/>
  <c r="L45" i="77"/>
  <c r="M45" i="77" s="1"/>
  <c r="G45" i="77"/>
  <c r="N45" i="77" s="1"/>
  <c r="E45" i="77"/>
  <c r="C45" i="77"/>
  <c r="L44" i="77"/>
  <c r="M44" i="77" s="1"/>
  <c r="G44" i="77"/>
  <c r="N44" i="77" s="1"/>
  <c r="E44" i="77"/>
  <c r="C44" i="77"/>
  <c r="L43" i="77"/>
  <c r="M43" i="77" s="1"/>
  <c r="G43" i="77"/>
  <c r="N43" i="77" s="1"/>
  <c r="E43" i="77"/>
  <c r="C43" i="77"/>
  <c r="L42" i="77"/>
  <c r="M42" i="77" s="1"/>
  <c r="G42" i="77"/>
  <c r="N42" i="77" s="1"/>
  <c r="E42" i="77"/>
  <c r="C42" i="77"/>
  <c r="M38" i="77"/>
  <c r="L38" i="77"/>
  <c r="G38" i="77"/>
  <c r="E38" i="77"/>
  <c r="C38" i="77"/>
  <c r="M37" i="77"/>
  <c r="L37" i="77"/>
  <c r="G37" i="77"/>
  <c r="E37" i="77"/>
  <c r="C37" i="77"/>
  <c r="M36" i="77"/>
  <c r="L36" i="77"/>
  <c r="G36" i="77"/>
  <c r="E36" i="77"/>
  <c r="C36" i="77"/>
  <c r="M35" i="77"/>
  <c r="L35" i="77"/>
  <c r="G35" i="77"/>
  <c r="E35" i="77"/>
  <c r="C35" i="77"/>
  <c r="M34" i="77"/>
  <c r="L34" i="77"/>
  <c r="G34" i="77"/>
  <c r="E34" i="77"/>
  <c r="C34" i="77"/>
  <c r="M33" i="77"/>
  <c r="L33" i="77"/>
  <c r="G33" i="77"/>
  <c r="E33" i="77"/>
  <c r="C33" i="77"/>
  <c r="M32" i="77"/>
  <c r="L32" i="77"/>
  <c r="G32" i="77"/>
  <c r="E32" i="77"/>
  <c r="C32" i="77"/>
  <c r="M31" i="77"/>
  <c r="L31" i="77"/>
  <c r="G31" i="77"/>
  <c r="E31" i="77"/>
  <c r="C31" i="77"/>
  <c r="L27" i="77"/>
  <c r="M27" i="77" s="1"/>
  <c r="G27" i="77"/>
  <c r="N27" i="77" s="1"/>
  <c r="E27" i="77"/>
  <c r="C27" i="77"/>
  <c r="L26" i="77"/>
  <c r="M26" i="77" s="1"/>
  <c r="G26" i="77"/>
  <c r="N26" i="77" s="1"/>
  <c r="E26" i="77"/>
  <c r="C26" i="77"/>
  <c r="L25" i="77"/>
  <c r="M25" i="77" s="1"/>
  <c r="G25" i="77"/>
  <c r="N25" i="77" s="1"/>
  <c r="E25" i="77"/>
  <c r="C25" i="77"/>
  <c r="L24" i="77"/>
  <c r="M24" i="77" s="1"/>
  <c r="G24" i="77"/>
  <c r="N24" i="77" s="1"/>
  <c r="E24" i="77"/>
  <c r="C24" i="77"/>
  <c r="L23" i="77"/>
  <c r="M23" i="77" s="1"/>
  <c r="G23" i="77"/>
  <c r="N23" i="77" s="1"/>
  <c r="E23" i="77"/>
  <c r="C23" i="77"/>
  <c r="G20" i="77"/>
  <c r="F25" i="77" s="1"/>
  <c r="G19" i="77"/>
  <c r="B16" i="77"/>
  <c r="B3" i="77"/>
  <c r="B2" i="77"/>
  <c r="B1" i="77"/>
  <c r="F62" i="76"/>
  <c r="F61" i="76"/>
  <c r="F60" i="76"/>
  <c r="G54" i="76"/>
  <c r="F54" i="76"/>
  <c r="E54" i="76"/>
  <c r="D54" i="76"/>
  <c r="G53" i="76"/>
  <c r="F53" i="76"/>
  <c r="E53" i="76"/>
  <c r="D53" i="76"/>
  <c r="F52" i="76"/>
  <c r="F51" i="76"/>
  <c r="F50" i="76"/>
  <c r="L46" i="76"/>
  <c r="M46" i="76" s="1"/>
  <c r="G46" i="76"/>
  <c r="F46" i="76"/>
  <c r="E46" i="76"/>
  <c r="C46" i="76"/>
  <c r="L45" i="76"/>
  <c r="M45" i="76" s="1"/>
  <c r="G45" i="76"/>
  <c r="N45" i="76" s="1"/>
  <c r="F45" i="76"/>
  <c r="E45" i="76"/>
  <c r="C45" i="76"/>
  <c r="L44" i="76"/>
  <c r="M44" i="76" s="1"/>
  <c r="G44" i="76"/>
  <c r="N44" i="76" s="1"/>
  <c r="F44" i="76"/>
  <c r="E44" i="76"/>
  <c r="C44" i="76"/>
  <c r="L43" i="76"/>
  <c r="M43" i="76" s="1"/>
  <c r="G43" i="76"/>
  <c r="N43" i="76" s="1"/>
  <c r="F43" i="76"/>
  <c r="E43" i="76"/>
  <c r="C43" i="76"/>
  <c r="L42" i="76"/>
  <c r="M42" i="76" s="1"/>
  <c r="G42" i="76"/>
  <c r="N42" i="76" s="1"/>
  <c r="F42" i="76"/>
  <c r="E42" i="76"/>
  <c r="C42" i="76"/>
  <c r="M38" i="76"/>
  <c r="L38" i="76"/>
  <c r="G38" i="76"/>
  <c r="E38" i="76"/>
  <c r="C38" i="76"/>
  <c r="M37" i="76"/>
  <c r="L37" i="76"/>
  <c r="G37" i="76"/>
  <c r="E37" i="76"/>
  <c r="C37" i="76"/>
  <c r="M36" i="76"/>
  <c r="L36" i="76"/>
  <c r="G36" i="76"/>
  <c r="E36" i="76"/>
  <c r="C36" i="76"/>
  <c r="M35" i="76"/>
  <c r="L35" i="76"/>
  <c r="G35" i="76"/>
  <c r="E35" i="76"/>
  <c r="C35" i="76"/>
  <c r="M34" i="76"/>
  <c r="L34" i="76"/>
  <c r="G34" i="76"/>
  <c r="E34" i="76"/>
  <c r="C34" i="76"/>
  <c r="M33" i="76"/>
  <c r="L33" i="76"/>
  <c r="G33" i="76"/>
  <c r="E33" i="76"/>
  <c r="C33" i="76"/>
  <c r="M32" i="76"/>
  <c r="L32" i="76"/>
  <c r="M31" i="76"/>
  <c r="L31" i="76"/>
  <c r="L27" i="76"/>
  <c r="M27" i="76" s="1"/>
  <c r="G27" i="76"/>
  <c r="N27" i="76" s="1"/>
  <c r="F27" i="76"/>
  <c r="E27" i="76"/>
  <c r="C27" i="76"/>
  <c r="L26" i="76"/>
  <c r="M26" i="76" s="1"/>
  <c r="G26" i="76"/>
  <c r="N26" i="76" s="1"/>
  <c r="F26" i="76"/>
  <c r="E26" i="76"/>
  <c r="C26" i="76"/>
  <c r="L25" i="76"/>
  <c r="M25" i="76" s="1"/>
  <c r="G25" i="76"/>
  <c r="N25" i="76" s="1"/>
  <c r="F25" i="76"/>
  <c r="E25" i="76"/>
  <c r="C25" i="76"/>
  <c r="L24" i="76"/>
  <c r="M24" i="76" s="1"/>
  <c r="G24" i="76"/>
  <c r="N24" i="76" s="1"/>
  <c r="F24" i="76"/>
  <c r="E24" i="76"/>
  <c r="C24" i="76"/>
  <c r="L23" i="76"/>
  <c r="M23" i="76" s="1"/>
  <c r="G23" i="76"/>
  <c r="N23" i="76" s="1"/>
  <c r="F23" i="76"/>
  <c r="E23" i="76"/>
  <c r="C23" i="76"/>
  <c r="G19" i="76"/>
  <c r="B16" i="76"/>
  <c r="B3" i="76"/>
  <c r="B2" i="76"/>
  <c r="B1" i="76"/>
  <c r="F62" i="75"/>
  <c r="F61" i="75"/>
  <c r="F60" i="75"/>
  <c r="L46" i="75"/>
  <c r="M46" i="75" s="1"/>
  <c r="G46" i="75"/>
  <c r="N46" i="75" s="1"/>
  <c r="E46" i="75"/>
  <c r="C46" i="75"/>
  <c r="L45" i="75"/>
  <c r="M45" i="75" s="1"/>
  <c r="G45" i="75"/>
  <c r="N45" i="75" s="1"/>
  <c r="E45" i="75"/>
  <c r="C45" i="75"/>
  <c r="L44" i="75"/>
  <c r="M44" i="75" s="1"/>
  <c r="G44" i="75"/>
  <c r="N44" i="75" s="1"/>
  <c r="E44" i="75"/>
  <c r="C44" i="75"/>
  <c r="L43" i="75"/>
  <c r="M43" i="75" s="1"/>
  <c r="G43" i="75"/>
  <c r="N43" i="75" s="1"/>
  <c r="E43" i="75"/>
  <c r="C43" i="75"/>
  <c r="L42" i="75"/>
  <c r="M42" i="75" s="1"/>
  <c r="G42" i="75"/>
  <c r="N42" i="75" s="1"/>
  <c r="E42" i="75"/>
  <c r="C42" i="75"/>
  <c r="M38" i="75"/>
  <c r="L38" i="75"/>
  <c r="G38" i="75"/>
  <c r="E38" i="75"/>
  <c r="C38" i="75"/>
  <c r="M37" i="75"/>
  <c r="L37" i="75"/>
  <c r="G37" i="75"/>
  <c r="E37" i="75"/>
  <c r="C37" i="75"/>
  <c r="M36" i="75"/>
  <c r="L36" i="75"/>
  <c r="G36" i="75"/>
  <c r="E36" i="75"/>
  <c r="C36" i="75"/>
  <c r="M35" i="75"/>
  <c r="L35" i="75"/>
  <c r="G35" i="75"/>
  <c r="E35" i="75"/>
  <c r="C35" i="75"/>
  <c r="M34" i="75"/>
  <c r="L34" i="75"/>
  <c r="G34" i="75"/>
  <c r="E34" i="75"/>
  <c r="C34" i="75"/>
  <c r="M33" i="75"/>
  <c r="L33" i="75"/>
  <c r="M32" i="75"/>
  <c r="L32" i="75"/>
  <c r="M31" i="75"/>
  <c r="L31" i="75"/>
  <c r="L27" i="75"/>
  <c r="M27" i="75" s="1"/>
  <c r="G27" i="75"/>
  <c r="N27" i="75" s="1"/>
  <c r="E27" i="75"/>
  <c r="C27" i="75"/>
  <c r="L26" i="75"/>
  <c r="M26" i="75" s="1"/>
  <c r="G26" i="75"/>
  <c r="N26" i="75" s="1"/>
  <c r="E26" i="75"/>
  <c r="C26" i="75"/>
  <c r="L25" i="75"/>
  <c r="M25" i="75" s="1"/>
  <c r="G25" i="75"/>
  <c r="N25" i="75" s="1"/>
  <c r="E25" i="75"/>
  <c r="C25" i="75"/>
  <c r="G20" i="75"/>
  <c r="F27" i="75" s="1"/>
  <c r="G19" i="75"/>
  <c r="B16" i="75"/>
  <c r="B3" i="75"/>
  <c r="B2" i="75"/>
  <c r="B1" i="75"/>
  <c r="F63" i="74"/>
  <c r="F62" i="74"/>
  <c r="F61" i="74"/>
  <c r="G55" i="74"/>
  <c r="E55" i="74"/>
  <c r="D55" i="74"/>
  <c r="G54" i="74"/>
  <c r="E54" i="74"/>
  <c r="D54" i="74"/>
  <c r="G53" i="74"/>
  <c r="E53" i="74"/>
  <c r="D53" i="74"/>
  <c r="L47" i="74"/>
  <c r="M47" i="74" s="1"/>
  <c r="G47" i="74"/>
  <c r="N47" i="74" s="1"/>
  <c r="E47" i="74"/>
  <c r="C47" i="74"/>
  <c r="L46" i="74"/>
  <c r="M46" i="74" s="1"/>
  <c r="G46" i="74"/>
  <c r="N46" i="74" s="1"/>
  <c r="E46" i="74"/>
  <c r="C46" i="74"/>
  <c r="L45" i="74"/>
  <c r="M45" i="74" s="1"/>
  <c r="G45" i="74"/>
  <c r="N45" i="74" s="1"/>
  <c r="E45" i="74"/>
  <c r="C45" i="74"/>
  <c r="L44" i="74"/>
  <c r="M44" i="74" s="1"/>
  <c r="G44" i="74"/>
  <c r="N44" i="74" s="1"/>
  <c r="E44" i="74"/>
  <c r="C44" i="74"/>
  <c r="M39" i="74"/>
  <c r="L39" i="74"/>
  <c r="G39" i="74"/>
  <c r="E39" i="74"/>
  <c r="C39" i="74"/>
  <c r="M38" i="74"/>
  <c r="L38" i="74"/>
  <c r="G38" i="74"/>
  <c r="E38" i="74"/>
  <c r="C38" i="74"/>
  <c r="M37" i="74"/>
  <c r="L37" i="74"/>
  <c r="G37" i="74"/>
  <c r="E37" i="74"/>
  <c r="C37" i="74"/>
  <c r="M36" i="74"/>
  <c r="L36" i="74"/>
  <c r="G36" i="74"/>
  <c r="E36" i="74"/>
  <c r="C36" i="74"/>
  <c r="M35" i="74"/>
  <c r="L35" i="74"/>
  <c r="G35" i="74"/>
  <c r="E35" i="74"/>
  <c r="C35" i="74"/>
  <c r="M34" i="74"/>
  <c r="L34" i="74"/>
  <c r="M33" i="74"/>
  <c r="L33" i="74"/>
  <c r="M32" i="74"/>
  <c r="L32" i="74"/>
  <c r="G28" i="74"/>
  <c r="E28" i="74"/>
  <c r="C28" i="74"/>
  <c r="L27" i="74"/>
  <c r="M27" i="74" s="1"/>
  <c r="G27" i="74"/>
  <c r="N27" i="74" s="1"/>
  <c r="E27" i="74"/>
  <c r="C27" i="74"/>
  <c r="L26" i="74"/>
  <c r="M26" i="74" s="1"/>
  <c r="G26" i="74"/>
  <c r="N26" i="74" s="1"/>
  <c r="E26" i="74"/>
  <c r="C26" i="74"/>
  <c r="L25" i="74"/>
  <c r="M25" i="74" s="1"/>
  <c r="G25" i="74"/>
  <c r="N25" i="74" s="1"/>
  <c r="E25" i="74"/>
  <c r="C25" i="74"/>
  <c r="L24" i="74"/>
  <c r="M24" i="74" s="1"/>
  <c r="G24" i="74"/>
  <c r="N24" i="74" s="1"/>
  <c r="E24" i="74"/>
  <c r="C24" i="74"/>
  <c r="L23" i="74"/>
  <c r="M23" i="74" s="1"/>
  <c r="G23" i="74"/>
  <c r="E23" i="74"/>
  <c r="C23" i="74"/>
  <c r="F53" i="74"/>
  <c r="G19" i="74"/>
  <c r="B16" i="74"/>
  <c r="B3" i="74"/>
  <c r="B2" i="74"/>
  <c r="B1" i="74"/>
  <c r="F62" i="73"/>
  <c r="F61" i="73"/>
  <c r="F60" i="73"/>
  <c r="L46" i="73"/>
  <c r="M46" i="73" s="1"/>
  <c r="G46" i="73"/>
  <c r="N46" i="73" s="1"/>
  <c r="E46" i="73"/>
  <c r="C46" i="73"/>
  <c r="L45" i="73"/>
  <c r="M45" i="73" s="1"/>
  <c r="G45" i="73"/>
  <c r="N45" i="73" s="1"/>
  <c r="E45" i="73"/>
  <c r="C45" i="73"/>
  <c r="L44" i="73"/>
  <c r="M44" i="73" s="1"/>
  <c r="G44" i="73"/>
  <c r="E44" i="73"/>
  <c r="C44" i="73"/>
  <c r="L43" i="73"/>
  <c r="M43" i="73" s="1"/>
  <c r="G43" i="73"/>
  <c r="N43" i="73" s="1"/>
  <c r="E43" i="73"/>
  <c r="C43" i="73"/>
  <c r="M38" i="73"/>
  <c r="L38" i="73"/>
  <c r="G38" i="73"/>
  <c r="E38" i="73"/>
  <c r="C38" i="73"/>
  <c r="M37" i="73"/>
  <c r="L37" i="73"/>
  <c r="G37" i="73"/>
  <c r="E37" i="73"/>
  <c r="C37" i="73"/>
  <c r="M36" i="73"/>
  <c r="L36" i="73"/>
  <c r="G36" i="73"/>
  <c r="E36" i="73"/>
  <c r="C36" i="73"/>
  <c r="M35" i="73"/>
  <c r="L35" i="73"/>
  <c r="G35" i="73"/>
  <c r="E35" i="73"/>
  <c r="C35" i="73"/>
  <c r="M34" i="73"/>
  <c r="L34" i="73"/>
  <c r="G34" i="73"/>
  <c r="E34" i="73"/>
  <c r="C34" i="73"/>
  <c r="M33" i="73"/>
  <c r="L33" i="73"/>
  <c r="G33" i="73"/>
  <c r="E33" i="73"/>
  <c r="C33" i="73"/>
  <c r="M32" i="73"/>
  <c r="L32" i="73"/>
  <c r="G32" i="73"/>
  <c r="E32" i="73"/>
  <c r="C32" i="73"/>
  <c r="M31" i="73"/>
  <c r="L31" i="73"/>
  <c r="G31" i="73"/>
  <c r="E31" i="73"/>
  <c r="C31" i="73"/>
  <c r="L27" i="73"/>
  <c r="M27" i="73" s="1"/>
  <c r="G27" i="73"/>
  <c r="N27" i="73" s="1"/>
  <c r="E27" i="73"/>
  <c r="C27" i="73"/>
  <c r="L26" i="73"/>
  <c r="M26" i="73" s="1"/>
  <c r="G26" i="73"/>
  <c r="N26" i="73" s="1"/>
  <c r="E26" i="73"/>
  <c r="C26" i="73"/>
  <c r="L25" i="73"/>
  <c r="M25" i="73" s="1"/>
  <c r="G25" i="73"/>
  <c r="N25" i="73" s="1"/>
  <c r="E25" i="73"/>
  <c r="C25" i="73"/>
  <c r="F54" i="73"/>
  <c r="G19" i="73"/>
  <c r="B16" i="73"/>
  <c r="B3" i="73"/>
  <c r="B2" i="73"/>
  <c r="B1" i="73"/>
  <c r="F63" i="72"/>
  <c r="F62" i="72"/>
  <c r="F61" i="72"/>
  <c r="L46" i="72"/>
  <c r="M46" i="72" s="1"/>
  <c r="G46" i="72"/>
  <c r="N46" i="72" s="1"/>
  <c r="E46" i="72"/>
  <c r="C46" i="72"/>
  <c r="L45" i="72"/>
  <c r="M45" i="72" s="1"/>
  <c r="G45" i="72"/>
  <c r="N45" i="72" s="1"/>
  <c r="E45" i="72"/>
  <c r="C45" i="72"/>
  <c r="L44" i="72"/>
  <c r="M44" i="72" s="1"/>
  <c r="G44" i="72"/>
  <c r="N44" i="72" s="1"/>
  <c r="E44" i="72"/>
  <c r="C44" i="72"/>
  <c r="L43" i="72"/>
  <c r="M43" i="72" s="1"/>
  <c r="G43" i="72"/>
  <c r="N43" i="72" s="1"/>
  <c r="E43" i="72"/>
  <c r="C43" i="72"/>
  <c r="M38" i="72"/>
  <c r="L38" i="72"/>
  <c r="G38" i="72"/>
  <c r="E38" i="72"/>
  <c r="C38" i="72"/>
  <c r="M37" i="72"/>
  <c r="L37" i="72"/>
  <c r="G37" i="72"/>
  <c r="E37" i="72"/>
  <c r="C37" i="72"/>
  <c r="M36" i="72"/>
  <c r="L36" i="72"/>
  <c r="G36" i="72"/>
  <c r="E36" i="72"/>
  <c r="C36" i="72"/>
  <c r="M35" i="72"/>
  <c r="L35" i="72"/>
  <c r="G35" i="72"/>
  <c r="E35" i="72"/>
  <c r="C35" i="72"/>
  <c r="M34" i="72"/>
  <c r="L34" i="72"/>
  <c r="G34" i="72"/>
  <c r="E34" i="72"/>
  <c r="C34" i="72"/>
  <c r="M33" i="72"/>
  <c r="L33" i="72"/>
  <c r="G33" i="72"/>
  <c r="E33" i="72"/>
  <c r="C33" i="72"/>
  <c r="M32" i="72"/>
  <c r="L32" i="72"/>
  <c r="M31" i="72"/>
  <c r="L31" i="72"/>
  <c r="L27" i="72"/>
  <c r="M27" i="72" s="1"/>
  <c r="G27" i="72"/>
  <c r="N27" i="72" s="1"/>
  <c r="E27" i="72"/>
  <c r="C27" i="72"/>
  <c r="L26" i="72"/>
  <c r="M26" i="72" s="1"/>
  <c r="G26" i="72"/>
  <c r="N26" i="72" s="1"/>
  <c r="E26" i="72"/>
  <c r="C26" i="72"/>
  <c r="F42" i="72"/>
  <c r="G19" i="72"/>
  <c r="B16" i="72"/>
  <c r="B3" i="72"/>
  <c r="B2" i="72"/>
  <c r="B1" i="72"/>
  <c r="F62" i="71"/>
  <c r="F61" i="71"/>
  <c r="F60" i="71"/>
  <c r="G54" i="71"/>
  <c r="E54" i="71"/>
  <c r="D54" i="71"/>
  <c r="G53" i="71"/>
  <c r="E53" i="71"/>
  <c r="D53" i="71"/>
  <c r="G52" i="71"/>
  <c r="F52" i="71"/>
  <c r="E52" i="71"/>
  <c r="D52" i="71"/>
  <c r="L46" i="71"/>
  <c r="M46" i="71" s="1"/>
  <c r="G46" i="71"/>
  <c r="N46" i="71" s="1"/>
  <c r="E46" i="71"/>
  <c r="C46" i="71"/>
  <c r="L45" i="71"/>
  <c r="M45" i="71" s="1"/>
  <c r="G45" i="71"/>
  <c r="N45" i="71" s="1"/>
  <c r="E45" i="71"/>
  <c r="C45" i="71"/>
  <c r="L44" i="71"/>
  <c r="M44" i="71" s="1"/>
  <c r="G44" i="71"/>
  <c r="N44" i="71" s="1"/>
  <c r="E44" i="71"/>
  <c r="C44" i="71"/>
  <c r="L43" i="71"/>
  <c r="M43" i="71" s="1"/>
  <c r="G43" i="71"/>
  <c r="N43" i="71" s="1"/>
  <c r="E43" i="71"/>
  <c r="C43" i="71"/>
  <c r="L42" i="71"/>
  <c r="M42" i="71" s="1"/>
  <c r="G42" i="71"/>
  <c r="N42" i="71" s="1"/>
  <c r="E42" i="71"/>
  <c r="C42" i="71"/>
  <c r="M38" i="71"/>
  <c r="L38" i="71"/>
  <c r="G38" i="71"/>
  <c r="E38" i="71"/>
  <c r="C38" i="71"/>
  <c r="M37" i="71"/>
  <c r="L37" i="71"/>
  <c r="G37" i="71"/>
  <c r="E37" i="71"/>
  <c r="C37" i="71"/>
  <c r="M36" i="71"/>
  <c r="L36" i="71"/>
  <c r="G36" i="71"/>
  <c r="E36" i="71"/>
  <c r="C36" i="71"/>
  <c r="M35" i="71"/>
  <c r="L35" i="71"/>
  <c r="G35" i="71"/>
  <c r="E35" i="71"/>
  <c r="C35" i="71"/>
  <c r="M34" i="71"/>
  <c r="L34" i="71"/>
  <c r="G34" i="71"/>
  <c r="E34" i="71"/>
  <c r="C34" i="71"/>
  <c r="M33" i="71"/>
  <c r="L33" i="71"/>
  <c r="M32" i="71"/>
  <c r="L32" i="71"/>
  <c r="M31" i="71"/>
  <c r="L31" i="71"/>
  <c r="L27" i="71"/>
  <c r="M27" i="71" s="1"/>
  <c r="G27" i="71"/>
  <c r="N27" i="71" s="1"/>
  <c r="E27" i="71"/>
  <c r="C27" i="71"/>
  <c r="L26" i="71"/>
  <c r="M26" i="71" s="1"/>
  <c r="G26" i="71"/>
  <c r="N26" i="71" s="1"/>
  <c r="E26" i="71"/>
  <c r="C26" i="71"/>
  <c r="L25" i="71"/>
  <c r="M25" i="71" s="1"/>
  <c r="G25" i="71"/>
  <c r="N25" i="71" s="1"/>
  <c r="E25" i="71"/>
  <c r="C25" i="71"/>
  <c r="L24" i="71"/>
  <c r="M24" i="71" s="1"/>
  <c r="G24" i="71"/>
  <c r="N24" i="71" s="1"/>
  <c r="E24" i="71"/>
  <c r="C24" i="71"/>
  <c r="F42" i="71"/>
  <c r="G19" i="71"/>
  <c r="B16" i="71"/>
  <c r="B3" i="71"/>
  <c r="B2" i="71"/>
  <c r="B1" i="71"/>
  <c r="F63" i="70"/>
  <c r="F62" i="70"/>
  <c r="F61" i="70"/>
  <c r="G55" i="70"/>
  <c r="E55" i="70"/>
  <c r="D55" i="70"/>
  <c r="G54" i="70"/>
  <c r="E54" i="70"/>
  <c r="D54" i="70"/>
  <c r="L46" i="70"/>
  <c r="M46" i="70" s="1"/>
  <c r="G46" i="70"/>
  <c r="N46" i="70" s="1"/>
  <c r="E46" i="70"/>
  <c r="C46" i="70"/>
  <c r="L45" i="70"/>
  <c r="M45" i="70" s="1"/>
  <c r="G45" i="70"/>
  <c r="N45" i="70" s="1"/>
  <c r="E45" i="70"/>
  <c r="C45" i="70"/>
  <c r="L44" i="70"/>
  <c r="M44" i="70" s="1"/>
  <c r="G44" i="70"/>
  <c r="N44" i="70" s="1"/>
  <c r="E44" i="70"/>
  <c r="C44" i="70"/>
  <c r="M38" i="70"/>
  <c r="L38" i="70"/>
  <c r="G38" i="70"/>
  <c r="E38" i="70"/>
  <c r="C38" i="70"/>
  <c r="M37" i="70"/>
  <c r="L37" i="70"/>
  <c r="G37" i="70"/>
  <c r="E37" i="70"/>
  <c r="C37" i="70"/>
  <c r="M36" i="70"/>
  <c r="L36" i="70"/>
  <c r="G36" i="70"/>
  <c r="E36" i="70"/>
  <c r="C36" i="70"/>
  <c r="M35" i="70"/>
  <c r="L35" i="70"/>
  <c r="G35" i="70"/>
  <c r="E35" i="70"/>
  <c r="C35" i="70"/>
  <c r="M34" i="70"/>
  <c r="L34" i="70"/>
  <c r="G34" i="70"/>
  <c r="E34" i="70"/>
  <c r="C34" i="70"/>
  <c r="M33" i="70"/>
  <c r="L33" i="70"/>
  <c r="G33" i="70"/>
  <c r="E33" i="70"/>
  <c r="C33" i="70"/>
  <c r="M32" i="70"/>
  <c r="L32" i="70"/>
  <c r="G32" i="70"/>
  <c r="E32" i="70"/>
  <c r="C32" i="70"/>
  <c r="M31" i="70"/>
  <c r="L31" i="70"/>
  <c r="L27" i="70"/>
  <c r="M27" i="70" s="1"/>
  <c r="G27" i="70"/>
  <c r="N27" i="70" s="1"/>
  <c r="E27" i="70"/>
  <c r="C27" i="70"/>
  <c r="L26" i="70"/>
  <c r="M26" i="70" s="1"/>
  <c r="G26" i="70"/>
  <c r="N26" i="70" s="1"/>
  <c r="E26" i="70"/>
  <c r="C26" i="70"/>
  <c r="L25" i="70"/>
  <c r="M25" i="70" s="1"/>
  <c r="G25" i="70"/>
  <c r="N25" i="70" s="1"/>
  <c r="F25" i="70"/>
  <c r="E25" i="70"/>
  <c r="C25" i="70"/>
  <c r="F46" i="70"/>
  <c r="G19" i="70"/>
  <c r="B16" i="70"/>
  <c r="B3" i="70"/>
  <c r="B2" i="70"/>
  <c r="B1" i="70"/>
  <c r="F62" i="9"/>
  <c r="F61" i="9"/>
  <c r="F60" i="9"/>
  <c r="G54" i="9"/>
  <c r="F54" i="9"/>
  <c r="E54" i="9"/>
  <c r="D54" i="9"/>
  <c r="G53" i="9"/>
  <c r="F53" i="9"/>
  <c r="E53" i="9"/>
  <c r="D53" i="9"/>
  <c r="G52" i="9"/>
  <c r="F52" i="9"/>
  <c r="E52" i="9"/>
  <c r="D52" i="9"/>
  <c r="G51" i="9"/>
  <c r="F51" i="9"/>
  <c r="E51" i="9"/>
  <c r="D51" i="9"/>
  <c r="G50" i="9"/>
  <c r="F50" i="9"/>
  <c r="E50" i="9"/>
  <c r="D50" i="9"/>
  <c r="L46" i="9"/>
  <c r="M46" i="9" s="1"/>
  <c r="G46" i="9"/>
  <c r="N46" i="9" s="1"/>
  <c r="F46" i="9"/>
  <c r="E46" i="9"/>
  <c r="C46" i="9"/>
  <c r="L45" i="9"/>
  <c r="M45" i="9" s="1"/>
  <c r="G45" i="9"/>
  <c r="F45" i="9"/>
  <c r="E45" i="9"/>
  <c r="C45" i="9"/>
  <c r="L44" i="9"/>
  <c r="M44" i="9" s="1"/>
  <c r="G44" i="9"/>
  <c r="N44" i="9" s="1"/>
  <c r="F44" i="9"/>
  <c r="E44" i="9"/>
  <c r="C44" i="9"/>
  <c r="L43" i="9"/>
  <c r="M43" i="9" s="1"/>
  <c r="G43" i="9"/>
  <c r="N43" i="9" s="1"/>
  <c r="F43" i="9"/>
  <c r="E43" i="9"/>
  <c r="C43" i="9"/>
  <c r="L42" i="9"/>
  <c r="M42" i="9" s="1"/>
  <c r="G42" i="9"/>
  <c r="N42" i="9" s="1"/>
  <c r="F42" i="9"/>
  <c r="E42" i="9"/>
  <c r="C42" i="9"/>
  <c r="M38" i="9"/>
  <c r="L38" i="9"/>
  <c r="G38" i="9"/>
  <c r="E38" i="9"/>
  <c r="C38" i="9"/>
  <c r="M37" i="9"/>
  <c r="L37" i="9"/>
  <c r="G37" i="9"/>
  <c r="E37" i="9"/>
  <c r="C37" i="9"/>
  <c r="M36" i="9"/>
  <c r="L36" i="9"/>
  <c r="G36" i="9"/>
  <c r="E36" i="9"/>
  <c r="C36" i="9"/>
  <c r="M35" i="9"/>
  <c r="L35" i="9"/>
  <c r="G35" i="9"/>
  <c r="M34" i="9"/>
  <c r="L34" i="9"/>
  <c r="G34" i="9"/>
  <c r="M33" i="9"/>
  <c r="L33" i="9"/>
  <c r="G33" i="9"/>
  <c r="M32" i="9"/>
  <c r="L32" i="9"/>
  <c r="G32" i="9"/>
  <c r="E32" i="9"/>
  <c r="C32" i="9"/>
  <c r="M31" i="9"/>
  <c r="L31" i="9"/>
  <c r="G31" i="9"/>
  <c r="E31" i="9"/>
  <c r="C31" i="9"/>
  <c r="L27" i="9"/>
  <c r="M27" i="9" s="1"/>
  <c r="G27" i="9"/>
  <c r="N27" i="9" s="1"/>
  <c r="F27" i="9"/>
  <c r="E27" i="9"/>
  <c r="C27" i="9"/>
  <c r="L26" i="9"/>
  <c r="M26" i="9" s="1"/>
  <c r="G26" i="9"/>
  <c r="N26" i="9" s="1"/>
  <c r="F26" i="9"/>
  <c r="E26" i="9"/>
  <c r="C26" i="9"/>
  <c r="L25" i="9"/>
  <c r="M25" i="9" s="1"/>
  <c r="G25" i="9"/>
  <c r="N25" i="9" s="1"/>
  <c r="F25" i="9"/>
  <c r="E25" i="9"/>
  <c r="C25" i="9"/>
  <c r="L24" i="9"/>
  <c r="M24" i="9" s="1"/>
  <c r="G24" i="9"/>
  <c r="N24" i="9" s="1"/>
  <c r="F24" i="9"/>
  <c r="E24" i="9"/>
  <c r="C24" i="9"/>
  <c r="L23" i="9"/>
  <c r="M23" i="9" s="1"/>
  <c r="G23" i="9"/>
  <c r="N23" i="9" s="1"/>
  <c r="F23" i="9"/>
  <c r="E23" i="9"/>
  <c r="C23" i="9"/>
  <c r="G19" i="9"/>
  <c r="B16" i="9"/>
  <c r="B3" i="9"/>
  <c r="B2" i="9"/>
  <c r="B1" i="9"/>
  <c r="G400" i="58"/>
  <c r="F400" i="58"/>
  <c r="E400" i="58"/>
  <c r="H400" i="58" s="1"/>
  <c r="G399" i="58"/>
  <c r="F399" i="58"/>
  <c r="E399" i="58"/>
  <c r="H399" i="58" s="1"/>
  <c r="G398" i="58"/>
  <c r="F398" i="58"/>
  <c r="E398" i="58"/>
  <c r="H398" i="58" s="1"/>
  <c r="G397" i="58"/>
  <c r="F397" i="58"/>
  <c r="E397" i="58"/>
  <c r="H397" i="58" s="1"/>
  <c r="G396" i="58"/>
  <c r="F396" i="58"/>
  <c r="E396" i="58"/>
  <c r="H396" i="58" s="1"/>
  <c r="G395" i="58"/>
  <c r="F395" i="58"/>
  <c r="E395" i="58"/>
  <c r="H395" i="58" s="1"/>
  <c r="G394" i="58"/>
  <c r="F394" i="58"/>
  <c r="E394" i="58"/>
  <c r="H394" i="58" s="1"/>
  <c r="G393" i="58"/>
  <c r="F393" i="58"/>
  <c r="E393" i="58"/>
  <c r="H393" i="58" s="1"/>
  <c r="G392" i="58"/>
  <c r="F392" i="58"/>
  <c r="E392" i="58"/>
  <c r="H392" i="58" s="1"/>
  <c r="G391" i="58"/>
  <c r="F391" i="58"/>
  <c r="E391" i="58"/>
  <c r="H391" i="58" s="1"/>
  <c r="G390" i="58"/>
  <c r="F390" i="58"/>
  <c r="E390" i="58"/>
  <c r="H390" i="58" s="1"/>
  <c r="G389" i="58"/>
  <c r="F389" i="58"/>
  <c r="E389" i="58"/>
  <c r="H389" i="58" s="1"/>
  <c r="G388" i="58"/>
  <c r="F388" i="58"/>
  <c r="E388" i="58"/>
  <c r="H388" i="58" s="1"/>
  <c r="G387" i="58"/>
  <c r="F387" i="58"/>
  <c r="E387" i="58"/>
  <c r="H387" i="58" s="1"/>
  <c r="G386" i="58"/>
  <c r="F386" i="58"/>
  <c r="E386" i="58"/>
  <c r="H386" i="58" s="1"/>
  <c r="G385" i="58"/>
  <c r="F385" i="58"/>
  <c r="E385" i="58"/>
  <c r="H385" i="58" s="1"/>
  <c r="G384" i="58"/>
  <c r="F384" i="58"/>
  <c r="E384" i="58"/>
  <c r="H384" i="58" s="1"/>
  <c r="G383" i="58"/>
  <c r="F383" i="58"/>
  <c r="E383" i="58"/>
  <c r="H383" i="58" s="1"/>
  <c r="G382" i="58"/>
  <c r="F382" i="58"/>
  <c r="E382" i="58"/>
  <c r="H382" i="58" s="1"/>
  <c r="G381" i="58"/>
  <c r="F381" i="58"/>
  <c r="E381" i="58"/>
  <c r="H381" i="58" s="1"/>
  <c r="G380" i="58"/>
  <c r="F380" i="58"/>
  <c r="E380" i="58"/>
  <c r="H380" i="58" s="1"/>
  <c r="G379" i="58"/>
  <c r="F379" i="58"/>
  <c r="E379" i="58"/>
  <c r="H379" i="58" s="1"/>
  <c r="G378" i="58"/>
  <c r="F378" i="58"/>
  <c r="E378" i="58"/>
  <c r="H378" i="58" s="1"/>
  <c r="G377" i="58"/>
  <c r="F377" i="58"/>
  <c r="E377" i="58"/>
  <c r="H377" i="58" s="1"/>
  <c r="G376" i="58"/>
  <c r="F376" i="58"/>
  <c r="E376" i="58"/>
  <c r="H376" i="58" s="1"/>
  <c r="G375" i="58"/>
  <c r="F375" i="58"/>
  <c r="E375" i="58"/>
  <c r="H375" i="58" s="1"/>
  <c r="G374" i="58"/>
  <c r="F374" i="58"/>
  <c r="E374" i="58"/>
  <c r="H374" i="58" s="1"/>
  <c r="G373" i="58"/>
  <c r="F373" i="58"/>
  <c r="E373" i="58"/>
  <c r="H373" i="58" s="1"/>
  <c r="G372" i="58"/>
  <c r="F372" i="58"/>
  <c r="E372" i="58"/>
  <c r="H372" i="58" s="1"/>
  <c r="G371" i="58"/>
  <c r="F371" i="58"/>
  <c r="E371" i="58"/>
  <c r="H371" i="58" s="1"/>
  <c r="G370" i="58"/>
  <c r="F370" i="58"/>
  <c r="E370" i="58"/>
  <c r="H370" i="58" s="1"/>
  <c r="G369" i="58"/>
  <c r="F369" i="58"/>
  <c r="E369" i="58"/>
  <c r="H369" i="58" s="1"/>
  <c r="G368" i="58"/>
  <c r="F368" i="58"/>
  <c r="E368" i="58"/>
  <c r="H368" i="58" s="1"/>
  <c r="G367" i="58"/>
  <c r="F367" i="58"/>
  <c r="E367" i="58"/>
  <c r="H367" i="58" s="1"/>
  <c r="G366" i="58"/>
  <c r="F366" i="58"/>
  <c r="E366" i="58"/>
  <c r="H366" i="58" s="1"/>
  <c r="G365" i="58"/>
  <c r="F365" i="58"/>
  <c r="E365" i="58"/>
  <c r="H365" i="58" s="1"/>
  <c r="G364" i="58"/>
  <c r="F364" i="58"/>
  <c r="E364" i="58"/>
  <c r="H364" i="58" s="1"/>
  <c r="G363" i="58"/>
  <c r="F363" i="58"/>
  <c r="E363" i="58"/>
  <c r="H363" i="58" s="1"/>
  <c r="G362" i="58"/>
  <c r="F362" i="58"/>
  <c r="E362" i="58"/>
  <c r="H362" i="58" s="1"/>
  <c r="G361" i="58"/>
  <c r="F361" i="58"/>
  <c r="E361" i="58"/>
  <c r="H361" i="58" s="1"/>
  <c r="G360" i="58"/>
  <c r="F360" i="58"/>
  <c r="E360" i="58"/>
  <c r="H360" i="58" s="1"/>
  <c r="G359" i="58"/>
  <c r="F359" i="58"/>
  <c r="E359" i="58"/>
  <c r="H359" i="58" s="1"/>
  <c r="G358" i="58"/>
  <c r="F358" i="58"/>
  <c r="E358" i="58"/>
  <c r="H358" i="58" s="1"/>
  <c r="G357" i="58"/>
  <c r="F357" i="58"/>
  <c r="E357" i="58"/>
  <c r="H357" i="58" s="1"/>
  <c r="G356" i="58"/>
  <c r="F356" i="58"/>
  <c r="E356" i="58"/>
  <c r="H356" i="58" s="1"/>
  <c r="G355" i="58"/>
  <c r="F355" i="58"/>
  <c r="E355" i="58"/>
  <c r="H355" i="58" s="1"/>
  <c r="G354" i="58"/>
  <c r="F354" i="58"/>
  <c r="E354" i="58"/>
  <c r="H354" i="58" s="1"/>
  <c r="G353" i="58"/>
  <c r="F353" i="58"/>
  <c r="E353" i="58"/>
  <c r="H353" i="58" s="1"/>
  <c r="G352" i="58"/>
  <c r="F352" i="58"/>
  <c r="E352" i="58"/>
  <c r="H352" i="58" s="1"/>
  <c r="G351" i="58"/>
  <c r="F351" i="58"/>
  <c r="E351" i="58"/>
  <c r="H351" i="58" s="1"/>
  <c r="G350" i="58"/>
  <c r="F350" i="58"/>
  <c r="E350" i="58"/>
  <c r="H350" i="58" s="1"/>
  <c r="G349" i="58"/>
  <c r="F349" i="58"/>
  <c r="E349" i="58"/>
  <c r="H349" i="58" s="1"/>
  <c r="G348" i="58"/>
  <c r="F348" i="58"/>
  <c r="E348" i="58"/>
  <c r="H348" i="58" s="1"/>
  <c r="G347" i="58"/>
  <c r="F347" i="58"/>
  <c r="E347" i="58"/>
  <c r="H347" i="58" s="1"/>
  <c r="G346" i="58"/>
  <c r="F346" i="58"/>
  <c r="E346" i="58"/>
  <c r="H346" i="58" s="1"/>
  <c r="G345" i="58"/>
  <c r="F345" i="58"/>
  <c r="E345" i="58"/>
  <c r="H345" i="58" s="1"/>
  <c r="G344" i="58"/>
  <c r="F344" i="58"/>
  <c r="E344" i="58"/>
  <c r="H344" i="58" s="1"/>
  <c r="G343" i="58"/>
  <c r="F343" i="58"/>
  <c r="E343" i="58"/>
  <c r="H343" i="58" s="1"/>
  <c r="G342" i="58"/>
  <c r="F342" i="58"/>
  <c r="E342" i="58"/>
  <c r="H342" i="58" s="1"/>
  <c r="G341" i="58"/>
  <c r="F341" i="58"/>
  <c r="E341" i="58"/>
  <c r="H341" i="58" s="1"/>
  <c r="G340" i="58"/>
  <c r="F340" i="58"/>
  <c r="E340" i="58"/>
  <c r="H340" i="58" s="1"/>
  <c r="G339" i="58"/>
  <c r="F339" i="58"/>
  <c r="E339" i="58"/>
  <c r="H339" i="58" s="1"/>
  <c r="G338" i="58"/>
  <c r="F338" i="58"/>
  <c r="E338" i="58"/>
  <c r="H338" i="58" s="1"/>
  <c r="G337" i="58"/>
  <c r="F337" i="58"/>
  <c r="E337" i="58"/>
  <c r="H337" i="58" s="1"/>
  <c r="G336" i="58"/>
  <c r="F336" i="58"/>
  <c r="E336" i="58"/>
  <c r="H336" i="58" s="1"/>
  <c r="G335" i="58"/>
  <c r="F335" i="58"/>
  <c r="E335" i="58"/>
  <c r="H335" i="58" s="1"/>
  <c r="G334" i="58"/>
  <c r="F334" i="58"/>
  <c r="E334" i="58"/>
  <c r="H334" i="58" s="1"/>
  <c r="G333" i="58"/>
  <c r="F333" i="58"/>
  <c r="E333" i="58"/>
  <c r="H333" i="58" s="1"/>
  <c r="G332" i="58"/>
  <c r="F332" i="58"/>
  <c r="E332" i="58"/>
  <c r="H332" i="58" s="1"/>
  <c r="G331" i="58"/>
  <c r="F331" i="58"/>
  <c r="E331" i="58"/>
  <c r="H331" i="58" s="1"/>
  <c r="G330" i="58"/>
  <c r="F330" i="58"/>
  <c r="E330" i="58"/>
  <c r="H330" i="58" s="1"/>
  <c r="G329" i="58"/>
  <c r="F329" i="58"/>
  <c r="E329" i="58"/>
  <c r="H329" i="58" s="1"/>
  <c r="G328" i="58"/>
  <c r="F328" i="58"/>
  <c r="E328" i="58"/>
  <c r="H328" i="58" s="1"/>
  <c r="G327" i="58"/>
  <c r="F327" i="58"/>
  <c r="E327" i="58"/>
  <c r="H327" i="58" s="1"/>
  <c r="G326" i="58"/>
  <c r="F326" i="58"/>
  <c r="E326" i="58"/>
  <c r="H326" i="58" s="1"/>
  <c r="G325" i="58"/>
  <c r="F325" i="58"/>
  <c r="E325" i="58"/>
  <c r="H325" i="58" s="1"/>
  <c r="G324" i="58"/>
  <c r="F324" i="58"/>
  <c r="E324" i="58"/>
  <c r="H324" i="58" s="1"/>
  <c r="G323" i="58"/>
  <c r="F323" i="58"/>
  <c r="E323" i="58"/>
  <c r="H323" i="58" s="1"/>
  <c r="G322" i="58"/>
  <c r="F322" i="58"/>
  <c r="E322" i="58"/>
  <c r="H322" i="58" s="1"/>
  <c r="G321" i="58"/>
  <c r="F321" i="58"/>
  <c r="E321" i="58"/>
  <c r="H321" i="58" s="1"/>
  <c r="G320" i="58"/>
  <c r="F320" i="58"/>
  <c r="E320" i="58"/>
  <c r="H320" i="58" s="1"/>
  <c r="G319" i="58"/>
  <c r="F319" i="58"/>
  <c r="E319" i="58"/>
  <c r="H319" i="58" s="1"/>
  <c r="G318" i="58"/>
  <c r="F318" i="58"/>
  <c r="E318" i="58"/>
  <c r="H318" i="58" s="1"/>
  <c r="G317" i="58"/>
  <c r="F317" i="58"/>
  <c r="E317" i="58"/>
  <c r="H317" i="58" s="1"/>
  <c r="G316" i="58"/>
  <c r="F316" i="58"/>
  <c r="E316" i="58"/>
  <c r="H316" i="58" s="1"/>
  <c r="G315" i="58"/>
  <c r="F315" i="58"/>
  <c r="E315" i="58"/>
  <c r="H315" i="58" s="1"/>
  <c r="G314" i="58"/>
  <c r="F314" i="58"/>
  <c r="E314" i="58"/>
  <c r="H314" i="58" s="1"/>
  <c r="G313" i="58"/>
  <c r="F313" i="58"/>
  <c r="E313" i="58"/>
  <c r="H313" i="58" s="1"/>
  <c r="G312" i="58"/>
  <c r="F312" i="58"/>
  <c r="E312" i="58"/>
  <c r="H312" i="58" s="1"/>
  <c r="G311" i="58"/>
  <c r="F311" i="58"/>
  <c r="E311" i="58"/>
  <c r="H311" i="58" s="1"/>
  <c r="G310" i="58"/>
  <c r="F310" i="58"/>
  <c r="E310" i="58"/>
  <c r="H310" i="58" s="1"/>
  <c r="G309" i="58"/>
  <c r="F309" i="58"/>
  <c r="E309" i="58"/>
  <c r="H309" i="58" s="1"/>
  <c r="G308" i="58"/>
  <c r="F308" i="58"/>
  <c r="E308" i="58"/>
  <c r="H308" i="58" s="1"/>
  <c r="G307" i="58"/>
  <c r="F307" i="58"/>
  <c r="E307" i="58"/>
  <c r="H307" i="58" s="1"/>
  <c r="G306" i="58"/>
  <c r="F306" i="58"/>
  <c r="E306" i="58"/>
  <c r="H306" i="58" s="1"/>
  <c r="G305" i="58"/>
  <c r="F305" i="58"/>
  <c r="E305" i="58"/>
  <c r="H305" i="58" s="1"/>
  <c r="G304" i="58"/>
  <c r="F304" i="58"/>
  <c r="E304" i="58"/>
  <c r="H304" i="58" s="1"/>
  <c r="G303" i="58"/>
  <c r="F303" i="58"/>
  <c r="E303" i="58"/>
  <c r="H303" i="58" s="1"/>
  <c r="G302" i="58"/>
  <c r="F302" i="58"/>
  <c r="E302" i="58"/>
  <c r="H302" i="58" s="1"/>
  <c r="G301" i="58"/>
  <c r="F301" i="58"/>
  <c r="E301" i="58"/>
  <c r="H301" i="58" s="1"/>
  <c r="G300" i="58"/>
  <c r="F300" i="58"/>
  <c r="E300" i="58"/>
  <c r="H300" i="58" s="1"/>
  <c r="G299" i="58"/>
  <c r="F299" i="58"/>
  <c r="E299" i="58"/>
  <c r="H299" i="58" s="1"/>
  <c r="G298" i="58"/>
  <c r="F298" i="58"/>
  <c r="E298" i="58"/>
  <c r="H298" i="58" s="1"/>
  <c r="G297" i="58"/>
  <c r="F297" i="58"/>
  <c r="E297" i="58"/>
  <c r="H297" i="58" s="1"/>
  <c r="G296" i="58"/>
  <c r="F296" i="58"/>
  <c r="E296" i="58"/>
  <c r="H296" i="58" s="1"/>
  <c r="G295" i="58"/>
  <c r="F295" i="58"/>
  <c r="E295" i="58"/>
  <c r="H295" i="58" s="1"/>
  <c r="G294" i="58"/>
  <c r="F294" i="58"/>
  <c r="E294" i="58"/>
  <c r="H294" i="58" s="1"/>
  <c r="G293" i="58"/>
  <c r="F293" i="58"/>
  <c r="E293" i="58"/>
  <c r="H293" i="58" s="1"/>
  <c r="G292" i="58"/>
  <c r="F292" i="58"/>
  <c r="E292" i="58"/>
  <c r="H292" i="58" s="1"/>
  <c r="G291" i="58"/>
  <c r="F291" i="58"/>
  <c r="E291" i="58"/>
  <c r="H291" i="58" s="1"/>
  <c r="G290" i="58"/>
  <c r="F290" i="58"/>
  <c r="E290" i="58"/>
  <c r="H290" i="58" s="1"/>
  <c r="G289" i="58"/>
  <c r="F289" i="58"/>
  <c r="E289" i="58"/>
  <c r="H289" i="58" s="1"/>
  <c r="G288" i="58"/>
  <c r="F288" i="58"/>
  <c r="E288" i="58"/>
  <c r="H288" i="58" s="1"/>
  <c r="G287" i="58"/>
  <c r="F287" i="58"/>
  <c r="E287" i="58"/>
  <c r="H287" i="58" s="1"/>
  <c r="G286" i="58"/>
  <c r="F286" i="58"/>
  <c r="E286" i="58"/>
  <c r="H286" i="58" s="1"/>
  <c r="G285" i="58"/>
  <c r="F285" i="58"/>
  <c r="E285" i="58"/>
  <c r="H285" i="58" s="1"/>
  <c r="G284" i="58"/>
  <c r="F284" i="58"/>
  <c r="E284" i="58"/>
  <c r="H284" i="58" s="1"/>
  <c r="G283" i="58"/>
  <c r="F283" i="58"/>
  <c r="E283" i="58"/>
  <c r="H283" i="58" s="1"/>
  <c r="G282" i="58"/>
  <c r="F282" i="58"/>
  <c r="E282" i="58"/>
  <c r="H282" i="58" s="1"/>
  <c r="G281" i="58"/>
  <c r="F281" i="58"/>
  <c r="E281" i="58"/>
  <c r="H281" i="58" s="1"/>
  <c r="G280" i="58"/>
  <c r="F280" i="58"/>
  <c r="E280" i="58"/>
  <c r="H280" i="58" s="1"/>
  <c r="G279" i="58"/>
  <c r="F279" i="58"/>
  <c r="E279" i="58"/>
  <c r="H279" i="58" s="1"/>
  <c r="G278" i="58"/>
  <c r="F278" i="58"/>
  <c r="E278" i="58"/>
  <c r="H278" i="58" s="1"/>
  <c r="G277" i="58"/>
  <c r="F277" i="58"/>
  <c r="E277" i="58"/>
  <c r="H277" i="58" s="1"/>
  <c r="G276" i="58"/>
  <c r="F276" i="58"/>
  <c r="E276" i="58"/>
  <c r="H276" i="58" s="1"/>
  <c r="G275" i="58"/>
  <c r="F275" i="58"/>
  <c r="E275" i="58"/>
  <c r="H275" i="58" s="1"/>
  <c r="G274" i="58"/>
  <c r="F274" i="58"/>
  <c r="E274" i="58"/>
  <c r="H274" i="58" s="1"/>
  <c r="G273" i="58"/>
  <c r="F273" i="58"/>
  <c r="E273" i="58"/>
  <c r="H273" i="58" s="1"/>
  <c r="G272" i="58"/>
  <c r="F272" i="58"/>
  <c r="E272" i="58"/>
  <c r="H272" i="58" s="1"/>
  <c r="G271" i="58"/>
  <c r="F271" i="58"/>
  <c r="E271" i="58"/>
  <c r="H271" i="58" s="1"/>
  <c r="G270" i="58"/>
  <c r="F270" i="58"/>
  <c r="E270" i="58"/>
  <c r="H270" i="58" s="1"/>
  <c r="G269" i="58"/>
  <c r="F269" i="58"/>
  <c r="E269" i="58"/>
  <c r="H269" i="58" s="1"/>
  <c r="G268" i="58"/>
  <c r="F268" i="58"/>
  <c r="E268" i="58"/>
  <c r="H268" i="58" s="1"/>
  <c r="G267" i="58"/>
  <c r="F267" i="58"/>
  <c r="E267" i="58"/>
  <c r="H267" i="58" s="1"/>
  <c r="G266" i="58"/>
  <c r="F266" i="58"/>
  <c r="E266" i="58"/>
  <c r="H266" i="58" s="1"/>
  <c r="G265" i="58"/>
  <c r="F265" i="58"/>
  <c r="E265" i="58"/>
  <c r="H265" i="58" s="1"/>
  <c r="G264" i="58"/>
  <c r="F264" i="58"/>
  <c r="E264" i="58"/>
  <c r="H264" i="58" s="1"/>
  <c r="G263" i="58"/>
  <c r="F263" i="58"/>
  <c r="E263" i="58"/>
  <c r="H263" i="58" s="1"/>
  <c r="G262" i="58"/>
  <c r="F262" i="58"/>
  <c r="E262" i="58"/>
  <c r="H262" i="58" s="1"/>
  <c r="G261" i="58"/>
  <c r="F261" i="58"/>
  <c r="E261" i="58"/>
  <c r="H261" i="58" s="1"/>
  <c r="G260" i="58"/>
  <c r="F260" i="58"/>
  <c r="E260" i="58"/>
  <c r="H260" i="58" s="1"/>
  <c r="G259" i="58"/>
  <c r="F259" i="58"/>
  <c r="E259" i="58"/>
  <c r="H259" i="58" s="1"/>
  <c r="G258" i="58"/>
  <c r="F258" i="58"/>
  <c r="E258" i="58"/>
  <c r="H258" i="58" s="1"/>
  <c r="G257" i="58"/>
  <c r="F257" i="58"/>
  <c r="E257" i="58"/>
  <c r="H257" i="58" s="1"/>
  <c r="G256" i="58"/>
  <c r="F256" i="58"/>
  <c r="E256" i="58"/>
  <c r="H256" i="58" s="1"/>
  <c r="G255" i="58"/>
  <c r="F255" i="58"/>
  <c r="E255" i="58"/>
  <c r="H255" i="58" s="1"/>
  <c r="G254" i="58"/>
  <c r="F254" i="58"/>
  <c r="E254" i="58"/>
  <c r="H254" i="58" s="1"/>
  <c r="G253" i="58"/>
  <c r="F253" i="58"/>
  <c r="E253" i="58"/>
  <c r="H253" i="58" s="1"/>
  <c r="G252" i="58"/>
  <c r="F252" i="58"/>
  <c r="E252" i="58"/>
  <c r="H252" i="58" s="1"/>
  <c r="G251" i="58"/>
  <c r="F251" i="58"/>
  <c r="E251" i="58"/>
  <c r="H251" i="58" s="1"/>
  <c r="G250" i="58"/>
  <c r="F250" i="58"/>
  <c r="E250" i="58"/>
  <c r="H250" i="58" s="1"/>
  <c r="G249" i="58"/>
  <c r="F249" i="58"/>
  <c r="E249" i="58"/>
  <c r="H249" i="58" s="1"/>
  <c r="G248" i="58"/>
  <c r="F248" i="58"/>
  <c r="E248" i="58"/>
  <c r="H248" i="58" s="1"/>
  <c r="G247" i="58"/>
  <c r="F247" i="58"/>
  <c r="E247" i="58"/>
  <c r="H247" i="58" s="1"/>
  <c r="G246" i="58"/>
  <c r="F246" i="58"/>
  <c r="E246" i="58"/>
  <c r="H246" i="58" s="1"/>
  <c r="G245" i="58"/>
  <c r="F245" i="58"/>
  <c r="E245" i="58"/>
  <c r="H245" i="58" s="1"/>
  <c r="G244" i="58"/>
  <c r="F244" i="58"/>
  <c r="E244" i="58"/>
  <c r="H244" i="58" s="1"/>
  <c r="G243" i="58"/>
  <c r="F243" i="58"/>
  <c r="E243" i="58"/>
  <c r="H243" i="58" s="1"/>
  <c r="G242" i="58"/>
  <c r="F242" i="58"/>
  <c r="E242" i="58"/>
  <c r="H242" i="58" s="1"/>
  <c r="G241" i="58"/>
  <c r="F241" i="58"/>
  <c r="E241" i="58"/>
  <c r="H241" i="58" s="1"/>
  <c r="G240" i="58"/>
  <c r="F240" i="58"/>
  <c r="E240" i="58"/>
  <c r="H240" i="58" s="1"/>
  <c r="G239" i="58"/>
  <c r="F239" i="58"/>
  <c r="E239" i="58"/>
  <c r="H239" i="58" s="1"/>
  <c r="G238" i="58"/>
  <c r="F238" i="58"/>
  <c r="E238" i="58"/>
  <c r="H238" i="58" s="1"/>
  <c r="G237" i="58"/>
  <c r="F237" i="58"/>
  <c r="E237" i="58"/>
  <c r="H237" i="58" s="1"/>
  <c r="G236" i="58"/>
  <c r="F236" i="58"/>
  <c r="E236" i="58"/>
  <c r="H236" i="58" s="1"/>
  <c r="G235" i="58"/>
  <c r="F235" i="58"/>
  <c r="E235" i="58"/>
  <c r="H235" i="58" s="1"/>
  <c r="G234" i="58"/>
  <c r="F234" i="58"/>
  <c r="E234" i="58"/>
  <c r="H234" i="58" s="1"/>
  <c r="G233" i="58"/>
  <c r="F233" i="58"/>
  <c r="E233" i="58"/>
  <c r="H233" i="58" s="1"/>
  <c r="G232" i="58"/>
  <c r="F232" i="58"/>
  <c r="E232" i="58"/>
  <c r="H232" i="58" s="1"/>
  <c r="G231" i="58"/>
  <c r="F231" i="58"/>
  <c r="E231" i="58"/>
  <c r="H231" i="58" s="1"/>
  <c r="G230" i="58"/>
  <c r="F230" i="58"/>
  <c r="E230" i="58"/>
  <c r="H230" i="58" s="1"/>
  <c r="G229" i="58"/>
  <c r="F229" i="58"/>
  <c r="E229" i="58"/>
  <c r="H229" i="58" s="1"/>
  <c r="G228" i="58"/>
  <c r="F228" i="58"/>
  <c r="E228" i="58"/>
  <c r="H228" i="58" s="1"/>
  <c r="G227" i="58"/>
  <c r="F227" i="58"/>
  <c r="E227" i="58"/>
  <c r="H227" i="58" s="1"/>
  <c r="G226" i="58"/>
  <c r="F226" i="58"/>
  <c r="E226" i="58"/>
  <c r="H226" i="58" s="1"/>
  <c r="G225" i="58"/>
  <c r="F225" i="58"/>
  <c r="E225" i="58"/>
  <c r="H225" i="58" s="1"/>
  <c r="G224" i="58"/>
  <c r="F224" i="58"/>
  <c r="E224" i="58"/>
  <c r="H224" i="58" s="1"/>
  <c r="G223" i="58"/>
  <c r="F223" i="58"/>
  <c r="E223" i="58"/>
  <c r="H223" i="58" s="1"/>
  <c r="G222" i="58"/>
  <c r="F222" i="58"/>
  <c r="E222" i="58"/>
  <c r="H222" i="58" s="1"/>
  <c r="G221" i="58"/>
  <c r="F221" i="58"/>
  <c r="E221" i="58"/>
  <c r="H221" i="58" s="1"/>
  <c r="G220" i="58"/>
  <c r="F220" i="58"/>
  <c r="E220" i="58"/>
  <c r="H220" i="58" s="1"/>
  <c r="G219" i="58"/>
  <c r="F219" i="58"/>
  <c r="E219" i="58"/>
  <c r="H219" i="58" s="1"/>
  <c r="G218" i="58"/>
  <c r="F218" i="58"/>
  <c r="E218" i="58"/>
  <c r="H218" i="58" s="1"/>
  <c r="G217" i="58"/>
  <c r="F217" i="58"/>
  <c r="E217" i="58"/>
  <c r="H217" i="58" s="1"/>
  <c r="G216" i="58"/>
  <c r="F216" i="58"/>
  <c r="E216" i="58"/>
  <c r="H216" i="58" s="1"/>
  <c r="G215" i="58"/>
  <c r="F215" i="58"/>
  <c r="E215" i="58"/>
  <c r="H215" i="58" s="1"/>
  <c r="G214" i="58"/>
  <c r="F214" i="58"/>
  <c r="E214" i="58"/>
  <c r="H214" i="58" s="1"/>
  <c r="G213" i="58"/>
  <c r="F213" i="58"/>
  <c r="E213" i="58"/>
  <c r="H213" i="58" s="1"/>
  <c r="G212" i="58"/>
  <c r="F212" i="58"/>
  <c r="E212" i="58"/>
  <c r="H212" i="58" s="1"/>
  <c r="G211" i="58"/>
  <c r="F211" i="58"/>
  <c r="E211" i="58"/>
  <c r="H211" i="58" s="1"/>
  <c r="G210" i="58"/>
  <c r="F210" i="58"/>
  <c r="E210" i="58"/>
  <c r="H210" i="58" s="1"/>
  <c r="G209" i="58"/>
  <c r="F209" i="58"/>
  <c r="E209" i="58"/>
  <c r="H209" i="58" s="1"/>
  <c r="G208" i="58"/>
  <c r="F208" i="58"/>
  <c r="E208" i="58"/>
  <c r="H208" i="58" s="1"/>
  <c r="G207" i="58"/>
  <c r="F207" i="58"/>
  <c r="E207" i="58"/>
  <c r="H207" i="58" s="1"/>
  <c r="G206" i="58"/>
  <c r="F206" i="58"/>
  <c r="E206" i="58"/>
  <c r="H206" i="58" s="1"/>
  <c r="G205" i="58"/>
  <c r="F205" i="58"/>
  <c r="E205" i="58"/>
  <c r="H205" i="58" s="1"/>
  <c r="G204" i="58"/>
  <c r="F204" i="58"/>
  <c r="E204" i="58"/>
  <c r="H204" i="58" s="1"/>
  <c r="G203" i="58"/>
  <c r="F203" i="58"/>
  <c r="E203" i="58"/>
  <c r="H203" i="58" s="1"/>
  <c r="G202" i="58"/>
  <c r="F202" i="58"/>
  <c r="E202" i="58"/>
  <c r="H202" i="58" s="1"/>
  <c r="G201" i="58"/>
  <c r="F201" i="58"/>
  <c r="E201" i="58"/>
  <c r="H201" i="58" s="1"/>
  <c r="G200" i="58"/>
  <c r="F200" i="58"/>
  <c r="E200" i="58"/>
  <c r="H200" i="58" s="1"/>
  <c r="G199" i="58"/>
  <c r="F199" i="58"/>
  <c r="E199" i="58"/>
  <c r="H199" i="58" s="1"/>
  <c r="G198" i="58"/>
  <c r="F198" i="58"/>
  <c r="E198" i="58"/>
  <c r="H198" i="58" s="1"/>
  <c r="G197" i="58"/>
  <c r="F197" i="58"/>
  <c r="E197" i="58"/>
  <c r="H197" i="58" s="1"/>
  <c r="G196" i="58"/>
  <c r="F196" i="58"/>
  <c r="E196" i="58"/>
  <c r="H196" i="58" s="1"/>
  <c r="G195" i="58"/>
  <c r="F195" i="58"/>
  <c r="E195" i="58"/>
  <c r="H195" i="58" s="1"/>
  <c r="G194" i="58"/>
  <c r="F194" i="58"/>
  <c r="E194" i="58"/>
  <c r="H194" i="58" s="1"/>
  <c r="G193" i="58"/>
  <c r="F193" i="58"/>
  <c r="E193" i="58"/>
  <c r="H193" i="58" s="1"/>
  <c r="G192" i="58"/>
  <c r="F192" i="58"/>
  <c r="E192" i="58"/>
  <c r="H192" i="58" s="1"/>
  <c r="G191" i="58"/>
  <c r="F191" i="58"/>
  <c r="E191" i="58"/>
  <c r="H191" i="58" s="1"/>
  <c r="G190" i="58"/>
  <c r="F190" i="58"/>
  <c r="E190" i="58"/>
  <c r="H190" i="58" s="1"/>
  <c r="G189" i="58"/>
  <c r="F189" i="58"/>
  <c r="E189" i="58"/>
  <c r="H189" i="58" s="1"/>
  <c r="G188" i="58"/>
  <c r="F188" i="58"/>
  <c r="E188" i="58"/>
  <c r="H188" i="58" s="1"/>
  <c r="G187" i="58"/>
  <c r="F187" i="58"/>
  <c r="E187" i="58"/>
  <c r="H187" i="58" s="1"/>
  <c r="G186" i="58"/>
  <c r="F186" i="58"/>
  <c r="E186" i="58"/>
  <c r="H186" i="58" s="1"/>
  <c r="G185" i="58"/>
  <c r="F185" i="58"/>
  <c r="E185" i="58"/>
  <c r="H185" i="58" s="1"/>
  <c r="G184" i="58"/>
  <c r="F184" i="58"/>
  <c r="E184" i="58"/>
  <c r="H184" i="58" s="1"/>
  <c r="G183" i="58"/>
  <c r="F183" i="58"/>
  <c r="E183" i="58"/>
  <c r="H183" i="58" s="1"/>
  <c r="G182" i="58"/>
  <c r="F182" i="58"/>
  <c r="E182" i="58"/>
  <c r="H182" i="58" s="1"/>
  <c r="G181" i="58"/>
  <c r="F181" i="58"/>
  <c r="E181" i="58"/>
  <c r="H181" i="58" s="1"/>
  <c r="G180" i="58"/>
  <c r="F180" i="58"/>
  <c r="E180" i="58"/>
  <c r="H180" i="58" s="1"/>
  <c r="G179" i="58"/>
  <c r="F179" i="58"/>
  <c r="E179" i="58"/>
  <c r="H179" i="58" s="1"/>
  <c r="G178" i="58"/>
  <c r="F178" i="58"/>
  <c r="E178" i="58"/>
  <c r="H178" i="58" s="1"/>
  <c r="G177" i="58"/>
  <c r="F177" i="58"/>
  <c r="E177" i="58"/>
  <c r="H177" i="58" s="1"/>
  <c r="G176" i="58"/>
  <c r="F176" i="58"/>
  <c r="E176" i="58"/>
  <c r="H176" i="58" s="1"/>
  <c r="G175" i="58"/>
  <c r="F175" i="58"/>
  <c r="E175" i="58"/>
  <c r="H175" i="58" s="1"/>
  <c r="G174" i="58"/>
  <c r="F174" i="58"/>
  <c r="E174" i="58"/>
  <c r="H174" i="58" s="1"/>
  <c r="G173" i="58"/>
  <c r="F173" i="58"/>
  <c r="E173" i="58"/>
  <c r="H173" i="58" s="1"/>
  <c r="G172" i="58"/>
  <c r="F172" i="58"/>
  <c r="E172" i="58"/>
  <c r="H172" i="58" s="1"/>
  <c r="G171" i="58"/>
  <c r="F171" i="58"/>
  <c r="E171" i="58"/>
  <c r="H171" i="58" s="1"/>
  <c r="G170" i="58"/>
  <c r="F170" i="58"/>
  <c r="E170" i="58"/>
  <c r="H170" i="58" s="1"/>
  <c r="G169" i="58"/>
  <c r="F169" i="58"/>
  <c r="E169" i="58"/>
  <c r="H169" i="58" s="1"/>
  <c r="G168" i="58"/>
  <c r="F168" i="58"/>
  <c r="E168" i="58"/>
  <c r="H168" i="58" s="1"/>
  <c r="G167" i="58"/>
  <c r="F167" i="58"/>
  <c r="E167" i="58"/>
  <c r="H167" i="58" s="1"/>
  <c r="G166" i="58"/>
  <c r="F166" i="58"/>
  <c r="E166" i="58"/>
  <c r="H166" i="58" s="1"/>
  <c r="G165" i="58"/>
  <c r="F165" i="58"/>
  <c r="E165" i="58"/>
  <c r="H165" i="58" s="1"/>
  <c r="G164" i="58"/>
  <c r="F164" i="58"/>
  <c r="E164" i="58"/>
  <c r="H164" i="58" s="1"/>
  <c r="G163" i="58"/>
  <c r="F163" i="58"/>
  <c r="E163" i="58"/>
  <c r="H163" i="58" s="1"/>
  <c r="G162" i="58"/>
  <c r="F162" i="58"/>
  <c r="E162" i="58"/>
  <c r="H162" i="58" s="1"/>
  <c r="G161" i="58"/>
  <c r="F161" i="58"/>
  <c r="E161" i="58"/>
  <c r="H161" i="58" s="1"/>
  <c r="G160" i="58"/>
  <c r="F160" i="58"/>
  <c r="E160" i="58"/>
  <c r="H160" i="58" s="1"/>
  <c r="G159" i="58"/>
  <c r="F159" i="58"/>
  <c r="E159" i="58"/>
  <c r="H159" i="58" s="1"/>
  <c r="G158" i="58"/>
  <c r="F158" i="58"/>
  <c r="E158" i="58"/>
  <c r="H158" i="58" s="1"/>
  <c r="G157" i="58"/>
  <c r="F157" i="58"/>
  <c r="E157" i="58"/>
  <c r="H157" i="58" s="1"/>
  <c r="G156" i="58"/>
  <c r="F156" i="58"/>
  <c r="E156" i="58"/>
  <c r="H156" i="58" s="1"/>
  <c r="G155" i="58"/>
  <c r="F155" i="58"/>
  <c r="E155" i="58"/>
  <c r="H155" i="58" s="1"/>
  <c r="G154" i="58"/>
  <c r="F154" i="58"/>
  <c r="E154" i="58"/>
  <c r="H154" i="58" s="1"/>
  <c r="G153" i="58"/>
  <c r="F153" i="58"/>
  <c r="E153" i="58"/>
  <c r="H153" i="58" s="1"/>
  <c r="G152" i="58"/>
  <c r="F152" i="58"/>
  <c r="E152" i="58"/>
  <c r="H152" i="58" s="1"/>
  <c r="G151" i="58"/>
  <c r="F151" i="58"/>
  <c r="E151" i="58"/>
  <c r="H151" i="58" s="1"/>
  <c r="G150" i="58"/>
  <c r="F150" i="58"/>
  <c r="E150" i="58"/>
  <c r="H150" i="58" s="1"/>
  <c r="G149" i="58"/>
  <c r="F149" i="58"/>
  <c r="E149" i="58"/>
  <c r="H149" i="58" s="1"/>
  <c r="G148" i="58"/>
  <c r="F148" i="58"/>
  <c r="E148" i="58"/>
  <c r="H148" i="58" s="1"/>
  <c r="G147" i="58"/>
  <c r="F147" i="58"/>
  <c r="E147" i="58"/>
  <c r="H147" i="58" s="1"/>
  <c r="G146" i="58"/>
  <c r="F146" i="58"/>
  <c r="E146" i="58"/>
  <c r="H146" i="58" s="1"/>
  <c r="G145" i="58"/>
  <c r="F145" i="58"/>
  <c r="E145" i="58"/>
  <c r="H145" i="58" s="1"/>
  <c r="G144" i="58"/>
  <c r="F144" i="58"/>
  <c r="E144" i="58"/>
  <c r="H144" i="58" s="1"/>
  <c r="G143" i="58"/>
  <c r="F143" i="58"/>
  <c r="E143" i="58"/>
  <c r="H143" i="58" s="1"/>
  <c r="G142" i="58"/>
  <c r="F142" i="58"/>
  <c r="E142" i="58"/>
  <c r="H142" i="58" s="1"/>
  <c r="G141" i="58"/>
  <c r="F141" i="58"/>
  <c r="E141" i="58"/>
  <c r="H141" i="58" s="1"/>
  <c r="G140" i="58"/>
  <c r="F140" i="58"/>
  <c r="E140" i="58"/>
  <c r="H140" i="58" s="1"/>
  <c r="G139" i="58"/>
  <c r="F139" i="58"/>
  <c r="E139" i="58"/>
  <c r="H139" i="58" s="1"/>
  <c r="G138" i="58"/>
  <c r="F138" i="58"/>
  <c r="E138" i="58"/>
  <c r="H138" i="58" s="1"/>
  <c r="G137" i="58"/>
  <c r="F137" i="58"/>
  <c r="E137" i="58"/>
  <c r="H137" i="58" s="1"/>
  <c r="G136" i="58"/>
  <c r="F136" i="58"/>
  <c r="E136" i="58"/>
  <c r="H136" i="58" s="1"/>
  <c r="G135" i="58"/>
  <c r="F135" i="58"/>
  <c r="E135" i="58"/>
  <c r="H135" i="58" s="1"/>
  <c r="G134" i="58"/>
  <c r="F134" i="58"/>
  <c r="E134" i="58"/>
  <c r="H134" i="58" s="1"/>
  <c r="G133" i="58"/>
  <c r="F133" i="58"/>
  <c r="E133" i="58"/>
  <c r="H133" i="58" s="1"/>
  <c r="G132" i="58"/>
  <c r="F132" i="58"/>
  <c r="E132" i="58"/>
  <c r="H132" i="58" s="1"/>
  <c r="G131" i="58"/>
  <c r="F131" i="58"/>
  <c r="E131" i="58"/>
  <c r="H131" i="58" s="1"/>
  <c r="G130" i="58"/>
  <c r="F130" i="58"/>
  <c r="E130" i="58"/>
  <c r="H130" i="58" s="1"/>
  <c r="G129" i="58"/>
  <c r="F129" i="58"/>
  <c r="E129" i="58"/>
  <c r="H129" i="58" s="1"/>
  <c r="G128" i="58"/>
  <c r="F128" i="58"/>
  <c r="E128" i="58"/>
  <c r="H128" i="58" s="1"/>
  <c r="G127" i="58"/>
  <c r="F127" i="58"/>
  <c r="E127" i="58"/>
  <c r="H127" i="58" s="1"/>
  <c r="G126" i="58"/>
  <c r="F126" i="58"/>
  <c r="E126" i="58"/>
  <c r="H126" i="58" s="1"/>
  <c r="G125" i="58"/>
  <c r="F125" i="58"/>
  <c r="E125" i="58"/>
  <c r="H125" i="58" s="1"/>
  <c r="G124" i="58"/>
  <c r="F124" i="58"/>
  <c r="E124" i="58"/>
  <c r="H124" i="58" s="1"/>
  <c r="G123" i="58"/>
  <c r="F123" i="58"/>
  <c r="E123" i="58"/>
  <c r="H123" i="58" s="1"/>
  <c r="G122" i="58"/>
  <c r="F122" i="58"/>
  <c r="E122" i="58"/>
  <c r="H122" i="58" s="1"/>
  <c r="G121" i="58"/>
  <c r="F121" i="58"/>
  <c r="E121" i="58"/>
  <c r="H121" i="58" s="1"/>
  <c r="G120" i="58"/>
  <c r="F120" i="58"/>
  <c r="E120" i="58"/>
  <c r="H120" i="58" s="1"/>
  <c r="G119" i="58"/>
  <c r="F119" i="58"/>
  <c r="E119" i="58"/>
  <c r="H119" i="58" s="1"/>
  <c r="G118" i="58"/>
  <c r="F118" i="58"/>
  <c r="E118" i="58"/>
  <c r="H118" i="58" s="1"/>
  <c r="G117" i="58"/>
  <c r="F117" i="58"/>
  <c r="E117" i="58"/>
  <c r="H117" i="58" s="1"/>
  <c r="G116" i="58"/>
  <c r="F116" i="58"/>
  <c r="E116" i="58"/>
  <c r="H116" i="58" s="1"/>
  <c r="G115" i="58"/>
  <c r="F115" i="58"/>
  <c r="E115" i="58"/>
  <c r="H115" i="58" s="1"/>
  <c r="G114" i="58"/>
  <c r="F114" i="58"/>
  <c r="E114" i="58"/>
  <c r="H114" i="58" s="1"/>
  <c r="G113" i="58"/>
  <c r="F113" i="58"/>
  <c r="E113" i="58"/>
  <c r="H113" i="58" s="1"/>
  <c r="G112" i="58"/>
  <c r="F112" i="58"/>
  <c r="E112" i="58"/>
  <c r="H112" i="58" s="1"/>
  <c r="G111" i="58"/>
  <c r="F111" i="58"/>
  <c r="E111" i="58"/>
  <c r="H111" i="58" s="1"/>
  <c r="G110" i="58"/>
  <c r="F110" i="58"/>
  <c r="E110" i="58"/>
  <c r="H110" i="58" s="1"/>
  <c r="G109" i="58"/>
  <c r="F109" i="58"/>
  <c r="E109" i="58"/>
  <c r="H109" i="58" s="1"/>
  <c r="G108" i="58"/>
  <c r="F108" i="58"/>
  <c r="E108" i="58"/>
  <c r="H108" i="58" s="1"/>
  <c r="G107" i="58"/>
  <c r="F107" i="58"/>
  <c r="E107" i="58"/>
  <c r="H107" i="58" s="1"/>
  <c r="G106" i="58"/>
  <c r="F106" i="58"/>
  <c r="E106" i="58"/>
  <c r="H106" i="58" s="1"/>
  <c r="G105" i="58"/>
  <c r="F105" i="58"/>
  <c r="E105" i="58"/>
  <c r="H105" i="58" s="1"/>
  <c r="G104" i="58"/>
  <c r="F104" i="58"/>
  <c r="E104" i="58"/>
  <c r="H104" i="58" s="1"/>
  <c r="G103" i="58"/>
  <c r="F103" i="58"/>
  <c r="E103" i="58"/>
  <c r="H103" i="58" s="1"/>
  <c r="G102" i="58"/>
  <c r="F102" i="58"/>
  <c r="E102" i="58"/>
  <c r="H102" i="58" s="1"/>
  <c r="G101" i="58"/>
  <c r="F101" i="58"/>
  <c r="E101" i="58"/>
  <c r="H101" i="58" s="1"/>
  <c r="G100" i="58"/>
  <c r="F100" i="58"/>
  <c r="E100" i="58"/>
  <c r="H100" i="58" s="1"/>
  <c r="G99" i="58"/>
  <c r="F99" i="58"/>
  <c r="E99" i="58"/>
  <c r="H99" i="58" s="1"/>
  <c r="G98" i="58"/>
  <c r="F98" i="58"/>
  <c r="E98" i="58"/>
  <c r="H98" i="58" s="1"/>
  <c r="G97" i="58"/>
  <c r="F97" i="58"/>
  <c r="E97" i="58"/>
  <c r="H97" i="58" s="1"/>
  <c r="G96" i="58"/>
  <c r="F96" i="58"/>
  <c r="E96" i="58"/>
  <c r="H96" i="58" s="1"/>
  <c r="G95" i="58"/>
  <c r="F95" i="58"/>
  <c r="E95" i="58"/>
  <c r="H95" i="58" s="1"/>
  <c r="G94" i="58"/>
  <c r="F94" i="58"/>
  <c r="E94" i="58"/>
  <c r="H94" i="58" s="1"/>
  <c r="G93" i="58"/>
  <c r="F93" i="58"/>
  <c r="E93" i="58"/>
  <c r="H93" i="58" s="1"/>
  <c r="G92" i="58"/>
  <c r="F92" i="58"/>
  <c r="E92" i="58"/>
  <c r="H92" i="58" s="1"/>
  <c r="G91" i="58"/>
  <c r="F91" i="58"/>
  <c r="E91" i="58"/>
  <c r="H91" i="58" s="1"/>
  <c r="G90" i="58"/>
  <c r="F90" i="58"/>
  <c r="E90" i="58"/>
  <c r="H90" i="58" s="1"/>
  <c r="G89" i="58"/>
  <c r="F89" i="58"/>
  <c r="E89" i="58"/>
  <c r="H89" i="58" s="1"/>
  <c r="G88" i="58"/>
  <c r="F88" i="58"/>
  <c r="E88" i="58"/>
  <c r="H88" i="58" s="1"/>
  <c r="G87" i="58"/>
  <c r="F87" i="58"/>
  <c r="E87" i="58"/>
  <c r="H87" i="58" s="1"/>
  <c r="G86" i="58"/>
  <c r="F86" i="58"/>
  <c r="E86" i="58"/>
  <c r="H86" i="58" s="1"/>
  <c r="G85" i="58"/>
  <c r="F85" i="58"/>
  <c r="E85" i="58"/>
  <c r="H85" i="58" s="1"/>
  <c r="G84" i="58"/>
  <c r="F84" i="58"/>
  <c r="E84" i="58"/>
  <c r="H84" i="58" s="1"/>
  <c r="G83" i="58"/>
  <c r="F83" i="58"/>
  <c r="E83" i="58"/>
  <c r="H83" i="58" s="1"/>
  <c r="G82" i="58"/>
  <c r="F82" i="58"/>
  <c r="E82" i="58"/>
  <c r="H82" i="58" s="1"/>
  <c r="G81" i="58"/>
  <c r="F81" i="58"/>
  <c r="E81" i="58"/>
  <c r="H81" i="58" s="1"/>
  <c r="G80" i="58"/>
  <c r="F80" i="58"/>
  <c r="E80" i="58"/>
  <c r="H80" i="58" s="1"/>
  <c r="G79" i="58"/>
  <c r="F79" i="58"/>
  <c r="E79" i="58"/>
  <c r="H79" i="58" s="1"/>
  <c r="G78" i="58"/>
  <c r="F78" i="58"/>
  <c r="E78" i="58"/>
  <c r="H78" i="58" s="1"/>
  <c r="G77" i="58"/>
  <c r="F77" i="58"/>
  <c r="E77" i="58"/>
  <c r="H77" i="58" s="1"/>
  <c r="G76" i="58"/>
  <c r="F76" i="58"/>
  <c r="E76" i="58"/>
  <c r="H76" i="58" s="1"/>
  <c r="G75" i="58"/>
  <c r="F75" i="58"/>
  <c r="E75" i="58"/>
  <c r="H75" i="58" s="1"/>
  <c r="G74" i="58"/>
  <c r="F74" i="58"/>
  <c r="E74" i="58"/>
  <c r="H74" i="58" s="1"/>
  <c r="G73" i="58"/>
  <c r="F73" i="58"/>
  <c r="E73" i="58"/>
  <c r="H73" i="58" s="1"/>
  <c r="G72" i="58"/>
  <c r="F72" i="58"/>
  <c r="E72" i="58"/>
  <c r="H72" i="58" s="1"/>
  <c r="G71" i="58"/>
  <c r="F71" i="58"/>
  <c r="E71" i="58"/>
  <c r="H71" i="58" s="1"/>
  <c r="G70" i="58"/>
  <c r="F70" i="58"/>
  <c r="E70" i="58"/>
  <c r="H70" i="58" s="1"/>
  <c r="G69" i="58"/>
  <c r="F69" i="58"/>
  <c r="E69" i="58"/>
  <c r="H69" i="58" s="1"/>
  <c r="G68" i="58"/>
  <c r="F68" i="58"/>
  <c r="E68" i="58"/>
  <c r="H68" i="58" s="1"/>
  <c r="G67" i="58"/>
  <c r="F67" i="58"/>
  <c r="E67" i="58"/>
  <c r="H67" i="58" s="1"/>
  <c r="G66" i="58"/>
  <c r="F66" i="58"/>
  <c r="E66" i="58"/>
  <c r="H66" i="58" s="1"/>
  <c r="G65" i="58"/>
  <c r="F65" i="58"/>
  <c r="E65" i="58"/>
  <c r="H65" i="58" s="1"/>
  <c r="G64" i="58"/>
  <c r="F64" i="58"/>
  <c r="E64" i="58"/>
  <c r="H64" i="58" s="1"/>
  <c r="G63" i="58"/>
  <c r="F63" i="58"/>
  <c r="E63" i="58"/>
  <c r="H63" i="58" s="1"/>
  <c r="G62" i="58"/>
  <c r="F62" i="58"/>
  <c r="E62" i="58"/>
  <c r="H62" i="58" s="1"/>
  <c r="G61" i="58"/>
  <c r="F61" i="58"/>
  <c r="E61" i="58"/>
  <c r="H61" i="58" s="1"/>
  <c r="G60" i="58"/>
  <c r="F60" i="58"/>
  <c r="E60" i="58"/>
  <c r="H60" i="58" s="1"/>
  <c r="G59" i="58"/>
  <c r="F59" i="58"/>
  <c r="E59" i="58"/>
  <c r="H59" i="58" s="1"/>
  <c r="G58" i="58"/>
  <c r="F58" i="58"/>
  <c r="E58" i="58"/>
  <c r="H58" i="58" s="1"/>
  <c r="G57" i="58"/>
  <c r="F57" i="58"/>
  <c r="E57" i="58"/>
  <c r="H57" i="58" s="1"/>
  <c r="G56" i="58"/>
  <c r="F56" i="58"/>
  <c r="E56" i="58"/>
  <c r="H56" i="58" s="1"/>
  <c r="G55" i="58"/>
  <c r="F55" i="58"/>
  <c r="E55" i="58"/>
  <c r="H55" i="58" s="1"/>
  <c r="G54" i="58"/>
  <c r="F54" i="58"/>
  <c r="E54" i="58"/>
  <c r="H54" i="58" s="1"/>
  <c r="G53" i="58"/>
  <c r="F53" i="58"/>
  <c r="E53" i="58"/>
  <c r="H53" i="58" s="1"/>
  <c r="G52" i="58"/>
  <c r="F52" i="58"/>
  <c r="E52" i="58"/>
  <c r="H52" i="58" s="1"/>
  <c r="G51" i="58"/>
  <c r="F51" i="58"/>
  <c r="E51" i="58"/>
  <c r="H51" i="58" s="1"/>
  <c r="G50" i="58"/>
  <c r="F50" i="58"/>
  <c r="E50" i="58"/>
  <c r="H50" i="58" s="1"/>
  <c r="G49" i="58"/>
  <c r="F49" i="58"/>
  <c r="E49" i="58"/>
  <c r="H49" i="58" s="1"/>
  <c r="G48" i="58"/>
  <c r="F48" i="58"/>
  <c r="E48" i="58"/>
  <c r="H48" i="58" s="1"/>
  <c r="G47" i="58"/>
  <c r="F47" i="58"/>
  <c r="E47" i="58"/>
  <c r="H47" i="58" s="1"/>
  <c r="G46" i="58"/>
  <c r="F46" i="58"/>
  <c r="E46" i="58"/>
  <c r="H46" i="58" s="1"/>
  <c r="G45" i="58"/>
  <c r="F45" i="58"/>
  <c r="E45" i="58"/>
  <c r="H45" i="58" s="1"/>
  <c r="G44" i="58"/>
  <c r="F44" i="58"/>
  <c r="E44" i="58"/>
  <c r="H44" i="58" s="1"/>
  <c r="G43" i="58"/>
  <c r="F43" i="58"/>
  <c r="E43" i="58"/>
  <c r="H43" i="58" s="1"/>
  <c r="G42" i="58"/>
  <c r="F42" i="58"/>
  <c r="E42" i="58"/>
  <c r="H42" i="58" s="1"/>
  <c r="G41" i="58"/>
  <c r="F41" i="58"/>
  <c r="E41" i="58"/>
  <c r="H41" i="58" s="1"/>
  <c r="G40" i="58"/>
  <c r="F40" i="58"/>
  <c r="E40" i="58"/>
  <c r="H40" i="58" s="1"/>
  <c r="G39" i="58"/>
  <c r="F39" i="58"/>
  <c r="E39" i="58"/>
  <c r="H39" i="58" s="1"/>
  <c r="G38" i="58"/>
  <c r="F38" i="58"/>
  <c r="E38" i="58"/>
  <c r="H38" i="58" s="1"/>
  <c r="G37" i="58"/>
  <c r="F37" i="58"/>
  <c r="E37" i="58"/>
  <c r="H37" i="58" s="1"/>
  <c r="G36" i="58"/>
  <c r="F36" i="58"/>
  <c r="E36" i="58"/>
  <c r="H36" i="58" s="1"/>
  <c r="G35" i="58"/>
  <c r="F35" i="58"/>
  <c r="E35" i="58"/>
  <c r="H35" i="58" s="1"/>
  <c r="G34" i="58"/>
  <c r="F34" i="58"/>
  <c r="E34" i="58"/>
  <c r="H34" i="58" s="1"/>
  <c r="G33" i="58"/>
  <c r="F33" i="58"/>
  <c r="E33" i="58"/>
  <c r="H33" i="58" s="1"/>
  <c r="G32" i="58"/>
  <c r="F32" i="58"/>
  <c r="E32" i="58"/>
  <c r="H32" i="58" s="1"/>
  <c r="G31" i="58"/>
  <c r="F31" i="58"/>
  <c r="E31" i="58"/>
  <c r="H31" i="58" s="1"/>
  <c r="G30" i="58"/>
  <c r="F30" i="58"/>
  <c r="E30" i="58"/>
  <c r="H30" i="58" s="1"/>
  <c r="G29" i="58"/>
  <c r="F29" i="58"/>
  <c r="E29" i="58"/>
  <c r="H29" i="58" s="1"/>
  <c r="G28" i="58"/>
  <c r="F28" i="58"/>
  <c r="E28" i="58"/>
  <c r="H28" i="58" s="1"/>
  <c r="G27" i="58"/>
  <c r="F27" i="58"/>
  <c r="E27" i="58"/>
  <c r="H27" i="58" s="1"/>
  <c r="G26" i="58"/>
  <c r="F26" i="58"/>
  <c r="E26" i="58"/>
  <c r="H26" i="58" s="1"/>
  <c r="G25" i="58"/>
  <c r="F25" i="58"/>
  <c r="E25" i="58"/>
  <c r="H25" i="58" s="1"/>
  <c r="G24" i="58"/>
  <c r="F24" i="58"/>
  <c r="E24" i="58"/>
  <c r="H24" i="58" s="1"/>
  <c r="G23" i="58"/>
  <c r="F23" i="58"/>
  <c r="E23" i="58"/>
  <c r="H23" i="58" s="1"/>
  <c r="G22" i="58"/>
  <c r="F22" i="58"/>
  <c r="E22" i="58"/>
  <c r="H22" i="58" s="1"/>
  <c r="G21" i="58"/>
  <c r="F21" i="58"/>
  <c r="E21" i="58"/>
  <c r="H21" i="58" s="1"/>
  <c r="G20" i="58"/>
  <c r="F20" i="58"/>
  <c r="E20" i="58"/>
  <c r="H20" i="58" s="1"/>
  <c r="G19" i="58"/>
  <c r="F19" i="58"/>
  <c r="E19" i="58"/>
  <c r="H19" i="58" s="1"/>
  <c r="G18" i="58"/>
  <c r="F18" i="58"/>
  <c r="E18" i="58"/>
  <c r="H18" i="58" s="1"/>
  <c r="G17" i="58"/>
  <c r="F17" i="58"/>
  <c r="E17" i="58"/>
  <c r="H17" i="58" s="1"/>
  <c r="G16" i="58"/>
  <c r="F16" i="58"/>
  <c r="E16" i="58"/>
  <c r="H16" i="58" s="1"/>
  <c r="G15" i="58"/>
  <c r="F15" i="58"/>
  <c r="E15" i="58"/>
  <c r="H15" i="58" s="1"/>
  <c r="G14" i="58"/>
  <c r="F14" i="58"/>
  <c r="E14" i="58"/>
  <c r="H14" i="58" s="1"/>
  <c r="G13" i="58"/>
  <c r="F13" i="58"/>
  <c r="E13" i="58"/>
  <c r="H13" i="58" s="1"/>
  <c r="G12" i="58"/>
  <c r="F12" i="58"/>
  <c r="E12" i="58"/>
  <c r="H12" i="58" s="1"/>
  <c r="G11" i="58"/>
  <c r="F11" i="58"/>
  <c r="E11" i="58"/>
  <c r="H11" i="58" s="1"/>
  <c r="G10" i="58"/>
  <c r="F10" i="58"/>
  <c r="E10" i="58"/>
  <c r="H10" i="58" s="1"/>
  <c r="G9" i="58"/>
  <c r="F9" i="58"/>
  <c r="E9" i="58"/>
  <c r="H9" i="58" s="1"/>
  <c r="G8" i="58"/>
  <c r="F8" i="58"/>
  <c r="E8" i="58"/>
  <c r="H8" i="58" s="1"/>
  <c r="G7" i="58"/>
  <c r="F7" i="58"/>
  <c r="E7" i="58"/>
  <c r="H7" i="58" s="1"/>
  <c r="G6" i="58"/>
  <c r="F6" i="58"/>
  <c r="E6" i="58"/>
  <c r="H6" i="58" s="1"/>
  <c r="B3" i="58"/>
  <c r="B1" i="58"/>
  <c r="D93" i="155"/>
  <c r="C93" i="155"/>
  <c r="D87" i="155"/>
  <c r="C87" i="155"/>
  <c r="D86" i="155"/>
  <c r="C86" i="155"/>
  <c r="A29" i="155"/>
  <c r="A10" i="155"/>
  <c r="G109" i="6"/>
  <c r="G108" i="6"/>
  <c r="G107" i="6"/>
  <c r="G106" i="6"/>
  <c r="G105" i="6"/>
  <c r="E98" i="6"/>
  <c r="E97" i="6"/>
  <c r="E96" i="6"/>
  <c r="E95" i="6"/>
  <c r="FS66" i="6"/>
  <c r="FI66" i="6"/>
  <c r="EY66" i="6"/>
  <c r="EO66" i="6"/>
  <c r="EE66" i="6"/>
  <c r="DU66" i="6"/>
  <c r="DK66" i="6"/>
  <c r="DA66" i="6"/>
  <c r="CQ66" i="6"/>
  <c r="CG66" i="6"/>
  <c r="BW66" i="6"/>
  <c r="BM66" i="6"/>
  <c r="BC66" i="6"/>
  <c r="AS66" i="6"/>
  <c r="AI70" i="6"/>
  <c r="Z70" i="6"/>
  <c r="P70" i="6"/>
  <c r="F66" i="6"/>
  <c r="FS65" i="6"/>
  <c r="FI65" i="6"/>
  <c r="EY65" i="6"/>
  <c r="EO65" i="6"/>
  <c r="EE65" i="6"/>
  <c r="DU65" i="6"/>
  <c r="DK65" i="6"/>
  <c r="DA65" i="6"/>
  <c r="CQ65" i="6"/>
  <c r="CG65" i="6"/>
  <c r="BW65" i="6"/>
  <c r="BM65" i="6"/>
  <c r="BC65" i="6"/>
  <c r="AS65" i="6"/>
  <c r="AI69" i="6"/>
  <c r="Z69" i="6"/>
  <c r="P69" i="6"/>
  <c r="F65" i="6"/>
  <c r="FS64" i="6"/>
  <c r="FI64" i="6"/>
  <c r="EY64" i="6"/>
  <c r="EO64" i="6"/>
  <c r="EE64" i="6"/>
  <c r="DU64" i="6"/>
  <c r="DK64" i="6"/>
  <c r="DA64" i="6"/>
  <c r="CQ64" i="6"/>
  <c r="CG64" i="6"/>
  <c r="BW64" i="6"/>
  <c r="BM64" i="6"/>
  <c r="BC64" i="6"/>
  <c r="AS64" i="6"/>
  <c r="AI68" i="6"/>
  <c r="Z68" i="6"/>
  <c r="P68" i="6"/>
  <c r="F64" i="6"/>
  <c r="FT53" i="6"/>
  <c r="FU53" i="6" s="1"/>
  <c r="FR53" i="6"/>
  <c r="FQ53" i="6"/>
  <c r="FP53" i="6"/>
  <c r="FJ53" i="6"/>
  <c r="FK53" i="6" s="1"/>
  <c r="FH53" i="6"/>
  <c r="FG53" i="6"/>
  <c r="FF53" i="6"/>
  <c r="EZ53" i="6"/>
  <c r="FA53" i="6" s="1"/>
  <c r="EX53" i="6"/>
  <c r="EW53" i="6"/>
  <c r="EV53" i="6"/>
  <c r="EP53" i="6"/>
  <c r="EQ53" i="6" s="1"/>
  <c r="EN53" i="6"/>
  <c r="EM53" i="6"/>
  <c r="EL53" i="6"/>
  <c r="EF53" i="6"/>
  <c r="EG53" i="6" s="1"/>
  <c r="ED53" i="6"/>
  <c r="EC53" i="6"/>
  <c r="EB53" i="6"/>
  <c r="DV53" i="6"/>
  <c r="DW53" i="6" s="1"/>
  <c r="DT53" i="6"/>
  <c r="DS53" i="6"/>
  <c r="DR53" i="6"/>
  <c r="DL53" i="6"/>
  <c r="DM53" i="6" s="1"/>
  <c r="DJ53" i="6"/>
  <c r="DI53" i="6"/>
  <c r="DH53" i="6"/>
  <c r="DB53" i="6"/>
  <c r="DC53" i="6" s="1"/>
  <c r="CZ53" i="6"/>
  <c r="CY53" i="6"/>
  <c r="CX53" i="6"/>
  <c r="CR53" i="6"/>
  <c r="CS53" i="6" s="1"/>
  <c r="CP53" i="6"/>
  <c r="CO53" i="6"/>
  <c r="CN53" i="6"/>
  <c r="CH53" i="6"/>
  <c r="CI53" i="6" s="1"/>
  <c r="CF53" i="6"/>
  <c r="CE53" i="6"/>
  <c r="CD53" i="6"/>
  <c r="BX53" i="6"/>
  <c r="BY53" i="6" s="1"/>
  <c r="BV53" i="6"/>
  <c r="BU53" i="6"/>
  <c r="BT53" i="6"/>
  <c r="BN53" i="6"/>
  <c r="BO53" i="6" s="1"/>
  <c r="BL53" i="6"/>
  <c r="BK53" i="6"/>
  <c r="BJ53" i="6"/>
  <c r="BD53" i="6"/>
  <c r="BE53" i="6" s="1"/>
  <c r="BB53" i="6"/>
  <c r="BA53" i="6"/>
  <c r="AZ53" i="6"/>
  <c r="AT53" i="6"/>
  <c r="AU53" i="6" s="1"/>
  <c r="AR53" i="6"/>
  <c r="AQ53" i="6"/>
  <c r="AP53" i="6"/>
  <c r="FT52" i="6"/>
  <c r="FU52" i="6" s="1"/>
  <c r="FR52" i="6"/>
  <c r="FQ52" i="6"/>
  <c r="FP52" i="6"/>
  <c r="FJ52" i="6"/>
  <c r="FK52" i="6" s="1"/>
  <c r="FH52" i="6"/>
  <c r="FG52" i="6"/>
  <c r="FF52" i="6"/>
  <c r="EZ52" i="6"/>
  <c r="FA52" i="6" s="1"/>
  <c r="EX52" i="6"/>
  <c r="EW52" i="6"/>
  <c r="EV52" i="6"/>
  <c r="EP52" i="6"/>
  <c r="EQ52" i="6" s="1"/>
  <c r="EN52" i="6"/>
  <c r="EM52" i="6"/>
  <c r="EL52" i="6"/>
  <c r="EF52" i="6"/>
  <c r="EG52" i="6" s="1"/>
  <c r="ED52" i="6"/>
  <c r="EC52" i="6"/>
  <c r="EB52" i="6"/>
  <c r="DV52" i="6"/>
  <c r="DW52" i="6" s="1"/>
  <c r="DT52" i="6"/>
  <c r="DS52" i="6"/>
  <c r="DR52" i="6"/>
  <c r="DL52" i="6"/>
  <c r="DM52" i="6" s="1"/>
  <c r="DJ52" i="6"/>
  <c r="DI52" i="6"/>
  <c r="DH52" i="6"/>
  <c r="DB52" i="6"/>
  <c r="DC52" i="6" s="1"/>
  <c r="CZ52" i="6"/>
  <c r="CY52" i="6"/>
  <c r="CX52" i="6"/>
  <c r="CR52" i="6"/>
  <c r="CS52" i="6" s="1"/>
  <c r="CP52" i="6"/>
  <c r="CO52" i="6"/>
  <c r="CN52" i="6"/>
  <c r="CH52" i="6"/>
  <c r="CI52" i="6" s="1"/>
  <c r="CF52" i="6"/>
  <c r="CE52" i="6"/>
  <c r="CD52" i="6"/>
  <c r="BX52" i="6"/>
  <c r="BY52" i="6" s="1"/>
  <c r="BV52" i="6"/>
  <c r="BU52" i="6"/>
  <c r="BT52" i="6"/>
  <c r="BN52" i="6"/>
  <c r="BO52" i="6" s="1"/>
  <c r="BL52" i="6"/>
  <c r="BK52" i="6"/>
  <c r="BJ52" i="6"/>
  <c r="BD52" i="6"/>
  <c r="BE52" i="6" s="1"/>
  <c r="BB52" i="6"/>
  <c r="BA52" i="6"/>
  <c r="AZ52" i="6"/>
  <c r="AT52" i="6"/>
  <c r="AU52" i="6" s="1"/>
  <c r="AR52" i="6"/>
  <c r="AQ52" i="6"/>
  <c r="AP52" i="6"/>
  <c r="FT51" i="6"/>
  <c r="FU51" i="6" s="1"/>
  <c r="FR51" i="6"/>
  <c r="FQ51" i="6"/>
  <c r="FP51" i="6"/>
  <c r="FJ51" i="6"/>
  <c r="FK51" i="6" s="1"/>
  <c r="FH51" i="6"/>
  <c r="FG51" i="6"/>
  <c r="FF51" i="6"/>
  <c r="EZ51" i="6"/>
  <c r="FA51" i="6" s="1"/>
  <c r="EX51" i="6"/>
  <c r="EW51" i="6"/>
  <c r="EV51" i="6"/>
  <c r="EP51" i="6"/>
  <c r="EQ51" i="6" s="1"/>
  <c r="EN51" i="6"/>
  <c r="EM51" i="6"/>
  <c r="EL51" i="6"/>
  <c r="EF51" i="6"/>
  <c r="EG51" i="6" s="1"/>
  <c r="ED51" i="6"/>
  <c r="EC51" i="6"/>
  <c r="EB51" i="6"/>
  <c r="DV51" i="6"/>
  <c r="DW51" i="6" s="1"/>
  <c r="DT51" i="6"/>
  <c r="DS51" i="6"/>
  <c r="DR51" i="6"/>
  <c r="DL51" i="6"/>
  <c r="DM51" i="6" s="1"/>
  <c r="DJ51" i="6"/>
  <c r="DI51" i="6"/>
  <c r="DH51" i="6"/>
  <c r="DB51" i="6"/>
  <c r="DC51" i="6" s="1"/>
  <c r="CZ51" i="6"/>
  <c r="CY51" i="6"/>
  <c r="CX51" i="6"/>
  <c r="CR51" i="6"/>
  <c r="CS51" i="6" s="1"/>
  <c r="CP51" i="6"/>
  <c r="CO51" i="6"/>
  <c r="CN51" i="6"/>
  <c r="CH51" i="6"/>
  <c r="CI51" i="6" s="1"/>
  <c r="CF51" i="6"/>
  <c r="CE51" i="6"/>
  <c r="CD51" i="6"/>
  <c r="BX51" i="6"/>
  <c r="BY51" i="6" s="1"/>
  <c r="BV51" i="6"/>
  <c r="BU51" i="6"/>
  <c r="BT51" i="6"/>
  <c r="BN51" i="6"/>
  <c r="BO51" i="6" s="1"/>
  <c r="BL51" i="6"/>
  <c r="BK51" i="6"/>
  <c r="BJ51" i="6"/>
  <c r="BD51" i="6"/>
  <c r="BE51" i="6" s="1"/>
  <c r="BB51" i="6"/>
  <c r="BA51" i="6"/>
  <c r="AZ51" i="6"/>
  <c r="AT51" i="6"/>
  <c r="AU51" i="6" s="1"/>
  <c r="AR51" i="6"/>
  <c r="AQ51" i="6"/>
  <c r="AP51" i="6"/>
  <c r="FT50" i="6"/>
  <c r="FU50" i="6" s="1"/>
  <c r="FR50" i="6"/>
  <c r="FQ50" i="6"/>
  <c r="FP50" i="6"/>
  <c r="FJ50" i="6"/>
  <c r="FK50" i="6" s="1"/>
  <c r="FH50" i="6"/>
  <c r="FG50" i="6"/>
  <c r="FF50" i="6"/>
  <c r="EZ50" i="6"/>
  <c r="FA50" i="6" s="1"/>
  <c r="EX50" i="6"/>
  <c r="EW50" i="6"/>
  <c r="EV50" i="6"/>
  <c r="EP50" i="6"/>
  <c r="EQ50" i="6" s="1"/>
  <c r="EN50" i="6"/>
  <c r="EM50" i="6"/>
  <c r="EL50" i="6"/>
  <c r="EF50" i="6"/>
  <c r="EG50" i="6" s="1"/>
  <c r="ED50" i="6"/>
  <c r="EC50" i="6"/>
  <c r="EB50" i="6"/>
  <c r="DV50" i="6"/>
  <c r="DW50" i="6" s="1"/>
  <c r="DT50" i="6"/>
  <c r="DS50" i="6"/>
  <c r="DR50" i="6"/>
  <c r="DL50" i="6"/>
  <c r="DM50" i="6" s="1"/>
  <c r="DJ50" i="6"/>
  <c r="DI50" i="6"/>
  <c r="DH50" i="6"/>
  <c r="DB50" i="6"/>
  <c r="DC50" i="6" s="1"/>
  <c r="CZ50" i="6"/>
  <c r="CY50" i="6"/>
  <c r="CX50" i="6"/>
  <c r="CR50" i="6"/>
  <c r="CS50" i="6" s="1"/>
  <c r="CP50" i="6"/>
  <c r="CO50" i="6"/>
  <c r="CN50" i="6"/>
  <c r="CH50" i="6"/>
  <c r="CI50" i="6" s="1"/>
  <c r="CF50" i="6"/>
  <c r="CE50" i="6"/>
  <c r="CD50" i="6"/>
  <c r="BX50" i="6"/>
  <c r="BY50" i="6" s="1"/>
  <c r="BV50" i="6"/>
  <c r="BU50" i="6"/>
  <c r="BT50" i="6"/>
  <c r="BN50" i="6"/>
  <c r="BO50" i="6" s="1"/>
  <c r="BL50" i="6"/>
  <c r="BK50" i="6"/>
  <c r="BJ50" i="6"/>
  <c r="BD50" i="6"/>
  <c r="BE50" i="6" s="1"/>
  <c r="BB50" i="6"/>
  <c r="BA50" i="6"/>
  <c r="AZ50" i="6"/>
  <c r="AT50" i="6"/>
  <c r="AU50" i="6" s="1"/>
  <c r="AR50" i="6"/>
  <c r="AQ50" i="6"/>
  <c r="AP50" i="6"/>
  <c r="FT49" i="6"/>
  <c r="FU49" i="6" s="1"/>
  <c r="FR49" i="6"/>
  <c r="FQ49" i="6"/>
  <c r="FP49" i="6"/>
  <c r="FJ49" i="6"/>
  <c r="FK49" i="6" s="1"/>
  <c r="FH49" i="6"/>
  <c r="FG49" i="6"/>
  <c r="FF49" i="6"/>
  <c r="EZ49" i="6"/>
  <c r="FA49" i="6" s="1"/>
  <c r="EX49" i="6"/>
  <c r="EW49" i="6"/>
  <c r="EV49" i="6"/>
  <c r="EP49" i="6"/>
  <c r="EQ49" i="6" s="1"/>
  <c r="EN49" i="6"/>
  <c r="EM49" i="6"/>
  <c r="EL49" i="6"/>
  <c r="EF49" i="6"/>
  <c r="EG49" i="6" s="1"/>
  <c r="ED49" i="6"/>
  <c r="EC49" i="6"/>
  <c r="EB49" i="6"/>
  <c r="DV49" i="6"/>
  <c r="DW49" i="6" s="1"/>
  <c r="DT49" i="6"/>
  <c r="DS49" i="6"/>
  <c r="DR49" i="6"/>
  <c r="DL49" i="6"/>
  <c r="DM49" i="6" s="1"/>
  <c r="DJ49" i="6"/>
  <c r="DI49" i="6"/>
  <c r="DH49" i="6"/>
  <c r="DB49" i="6"/>
  <c r="DC49" i="6" s="1"/>
  <c r="CZ49" i="6"/>
  <c r="CY49" i="6"/>
  <c r="CX49" i="6"/>
  <c r="CR49" i="6"/>
  <c r="CS49" i="6" s="1"/>
  <c r="CP49" i="6"/>
  <c r="CO49" i="6"/>
  <c r="CN49" i="6"/>
  <c r="CH49" i="6"/>
  <c r="CI49" i="6" s="1"/>
  <c r="CF49" i="6"/>
  <c r="CE49" i="6"/>
  <c r="CD49" i="6"/>
  <c r="BX49" i="6"/>
  <c r="BY49" i="6" s="1"/>
  <c r="BV49" i="6"/>
  <c r="BU49" i="6"/>
  <c r="BT49" i="6"/>
  <c r="BN49" i="6"/>
  <c r="BO49" i="6" s="1"/>
  <c r="BL49" i="6"/>
  <c r="BK49" i="6"/>
  <c r="BJ49" i="6"/>
  <c r="BD49" i="6"/>
  <c r="BE49" i="6" s="1"/>
  <c r="BB49" i="6"/>
  <c r="BA49" i="6"/>
  <c r="AZ49" i="6"/>
  <c r="AT49" i="6"/>
  <c r="AU49" i="6" s="1"/>
  <c r="AR49" i="6"/>
  <c r="AQ49" i="6"/>
  <c r="AP49" i="6"/>
  <c r="FT48" i="6"/>
  <c r="FU48" i="6" s="1"/>
  <c r="FR48" i="6"/>
  <c r="FQ48" i="6"/>
  <c r="FP48" i="6"/>
  <c r="FJ48" i="6"/>
  <c r="FK48" i="6" s="1"/>
  <c r="FH48" i="6"/>
  <c r="FG48" i="6"/>
  <c r="FF48" i="6"/>
  <c r="EZ48" i="6"/>
  <c r="FA48" i="6" s="1"/>
  <c r="EX48" i="6"/>
  <c r="EW48" i="6"/>
  <c r="EV48" i="6"/>
  <c r="EP48" i="6"/>
  <c r="EQ48" i="6" s="1"/>
  <c r="EN48" i="6"/>
  <c r="EM48" i="6"/>
  <c r="EL48" i="6"/>
  <c r="EF48" i="6"/>
  <c r="EG48" i="6" s="1"/>
  <c r="ED48" i="6"/>
  <c r="EC48" i="6"/>
  <c r="EB48" i="6"/>
  <c r="DV48" i="6"/>
  <c r="DW48" i="6" s="1"/>
  <c r="DT48" i="6"/>
  <c r="DS48" i="6"/>
  <c r="DR48" i="6"/>
  <c r="DL48" i="6"/>
  <c r="DM48" i="6" s="1"/>
  <c r="DJ48" i="6"/>
  <c r="DI48" i="6"/>
  <c r="DH48" i="6"/>
  <c r="DB48" i="6"/>
  <c r="DC48" i="6" s="1"/>
  <c r="CZ48" i="6"/>
  <c r="CY48" i="6"/>
  <c r="CX48" i="6"/>
  <c r="CR48" i="6"/>
  <c r="CS48" i="6" s="1"/>
  <c r="CP48" i="6"/>
  <c r="CO48" i="6"/>
  <c r="CN48" i="6"/>
  <c r="CH48" i="6"/>
  <c r="CI48" i="6" s="1"/>
  <c r="CF48" i="6"/>
  <c r="CE48" i="6"/>
  <c r="CD48" i="6"/>
  <c r="BX48" i="6"/>
  <c r="BY48" i="6" s="1"/>
  <c r="BV48" i="6"/>
  <c r="BU48" i="6"/>
  <c r="BT48" i="6"/>
  <c r="BN48" i="6"/>
  <c r="BO48" i="6" s="1"/>
  <c r="BL48" i="6"/>
  <c r="BK48" i="6"/>
  <c r="BJ48" i="6"/>
  <c r="BD48" i="6"/>
  <c r="BE48" i="6" s="1"/>
  <c r="BB48" i="6"/>
  <c r="BA48" i="6"/>
  <c r="AZ48" i="6"/>
  <c r="AT48" i="6"/>
  <c r="AU48" i="6" s="1"/>
  <c r="AR48" i="6"/>
  <c r="AQ48" i="6"/>
  <c r="AP48" i="6"/>
  <c r="FT47" i="6"/>
  <c r="FU47" i="6" s="1"/>
  <c r="FR47" i="6"/>
  <c r="FQ47" i="6"/>
  <c r="FP47" i="6"/>
  <c r="FJ47" i="6"/>
  <c r="FK47" i="6" s="1"/>
  <c r="FH47" i="6"/>
  <c r="FG47" i="6"/>
  <c r="FF47" i="6"/>
  <c r="EZ47" i="6"/>
  <c r="FA47" i="6" s="1"/>
  <c r="EX47" i="6"/>
  <c r="EW47" i="6"/>
  <c r="EV47" i="6"/>
  <c r="EP47" i="6"/>
  <c r="EQ47" i="6" s="1"/>
  <c r="EN47" i="6"/>
  <c r="EM47" i="6"/>
  <c r="EL47" i="6"/>
  <c r="EF47" i="6"/>
  <c r="EG47" i="6" s="1"/>
  <c r="ED47" i="6"/>
  <c r="EC47" i="6"/>
  <c r="EB47" i="6"/>
  <c r="DV47" i="6"/>
  <c r="DW47" i="6" s="1"/>
  <c r="DT47" i="6"/>
  <c r="DS47" i="6"/>
  <c r="DR47" i="6"/>
  <c r="DL47" i="6"/>
  <c r="DM47" i="6" s="1"/>
  <c r="DJ47" i="6"/>
  <c r="DI47" i="6"/>
  <c r="DH47" i="6"/>
  <c r="DB47" i="6"/>
  <c r="DC47" i="6" s="1"/>
  <c r="CZ47" i="6"/>
  <c r="CY47" i="6"/>
  <c r="CX47" i="6"/>
  <c r="CR47" i="6"/>
  <c r="CS47" i="6" s="1"/>
  <c r="CP47" i="6"/>
  <c r="CO47" i="6"/>
  <c r="CN47" i="6"/>
  <c r="CH47" i="6"/>
  <c r="CI47" i="6" s="1"/>
  <c r="CF47" i="6"/>
  <c r="CE47" i="6"/>
  <c r="CD47" i="6"/>
  <c r="BX47" i="6"/>
  <c r="BY47" i="6" s="1"/>
  <c r="BV47" i="6"/>
  <c r="BU47" i="6"/>
  <c r="BT47" i="6"/>
  <c r="BN47" i="6"/>
  <c r="BO47" i="6" s="1"/>
  <c r="BL47" i="6"/>
  <c r="BK47" i="6"/>
  <c r="BJ47" i="6"/>
  <c r="BD47" i="6"/>
  <c r="BE47" i="6" s="1"/>
  <c r="BB47" i="6"/>
  <c r="BA47" i="6"/>
  <c r="AZ47" i="6"/>
  <c r="AT47" i="6"/>
  <c r="AU47" i="6" s="1"/>
  <c r="AR47" i="6"/>
  <c r="AQ47" i="6"/>
  <c r="AP47" i="6"/>
  <c r="FT46" i="6"/>
  <c r="FU46" i="6" s="1"/>
  <c r="FR46" i="6"/>
  <c r="FQ46" i="6"/>
  <c r="FP46" i="6"/>
  <c r="FJ46" i="6"/>
  <c r="FK46" i="6" s="1"/>
  <c r="FH46" i="6"/>
  <c r="FG46" i="6"/>
  <c r="FF46" i="6"/>
  <c r="EZ46" i="6"/>
  <c r="FA46" i="6" s="1"/>
  <c r="EX46" i="6"/>
  <c r="EW46" i="6"/>
  <c r="EV46" i="6"/>
  <c r="EP46" i="6"/>
  <c r="EQ46" i="6" s="1"/>
  <c r="EN46" i="6"/>
  <c r="EM46" i="6"/>
  <c r="EL46" i="6"/>
  <c r="EF46" i="6"/>
  <c r="EG46" i="6" s="1"/>
  <c r="ED46" i="6"/>
  <c r="EC46" i="6"/>
  <c r="EB46" i="6"/>
  <c r="DV46" i="6"/>
  <c r="DW46" i="6" s="1"/>
  <c r="DT46" i="6"/>
  <c r="DS46" i="6"/>
  <c r="DR46" i="6"/>
  <c r="DL46" i="6"/>
  <c r="DM46" i="6" s="1"/>
  <c r="DJ46" i="6"/>
  <c r="DI46" i="6"/>
  <c r="DH46" i="6"/>
  <c r="DB46" i="6"/>
  <c r="DC46" i="6" s="1"/>
  <c r="CZ46" i="6"/>
  <c r="CY46" i="6"/>
  <c r="CX46" i="6"/>
  <c r="CR46" i="6"/>
  <c r="CS46" i="6" s="1"/>
  <c r="CP46" i="6"/>
  <c r="CO46" i="6"/>
  <c r="CN46" i="6"/>
  <c r="CH46" i="6"/>
  <c r="CI46" i="6" s="1"/>
  <c r="CF46" i="6"/>
  <c r="CE46" i="6"/>
  <c r="CD46" i="6"/>
  <c r="BX46" i="6"/>
  <c r="BY46" i="6" s="1"/>
  <c r="BV46" i="6"/>
  <c r="BU46" i="6"/>
  <c r="BT46" i="6"/>
  <c r="BN46" i="6"/>
  <c r="BO46" i="6" s="1"/>
  <c r="BL46" i="6"/>
  <c r="BK46" i="6"/>
  <c r="BJ46" i="6"/>
  <c r="BD46" i="6"/>
  <c r="BE46" i="6" s="1"/>
  <c r="BB46" i="6"/>
  <c r="BA46" i="6"/>
  <c r="AZ46" i="6"/>
  <c r="AT46" i="6"/>
  <c r="AU46" i="6" s="1"/>
  <c r="AR46" i="6"/>
  <c r="AQ46" i="6"/>
  <c r="AP46" i="6"/>
  <c r="FT45" i="6"/>
  <c r="FU45" i="6" s="1"/>
  <c r="FR45" i="6"/>
  <c r="FQ45" i="6"/>
  <c r="FP45" i="6"/>
  <c r="FJ45" i="6"/>
  <c r="FK45" i="6" s="1"/>
  <c r="FH45" i="6"/>
  <c r="FG45" i="6"/>
  <c r="FF45" i="6"/>
  <c r="EZ45" i="6"/>
  <c r="FA45" i="6" s="1"/>
  <c r="EX45" i="6"/>
  <c r="EW45" i="6"/>
  <c r="EV45" i="6"/>
  <c r="EP45" i="6"/>
  <c r="EQ45" i="6" s="1"/>
  <c r="EN45" i="6"/>
  <c r="EM45" i="6"/>
  <c r="EL45" i="6"/>
  <c r="EF45" i="6"/>
  <c r="EG45" i="6" s="1"/>
  <c r="ED45" i="6"/>
  <c r="EC45" i="6"/>
  <c r="EB45" i="6"/>
  <c r="DV45" i="6"/>
  <c r="DW45" i="6" s="1"/>
  <c r="DT45" i="6"/>
  <c r="DS45" i="6"/>
  <c r="DR45" i="6"/>
  <c r="DL45" i="6"/>
  <c r="DM45" i="6" s="1"/>
  <c r="DJ45" i="6"/>
  <c r="DI45" i="6"/>
  <c r="DH45" i="6"/>
  <c r="DB45" i="6"/>
  <c r="DC45" i="6" s="1"/>
  <c r="CZ45" i="6"/>
  <c r="CY45" i="6"/>
  <c r="CX45" i="6"/>
  <c r="CR45" i="6"/>
  <c r="CS45" i="6" s="1"/>
  <c r="CP45" i="6"/>
  <c r="CO45" i="6"/>
  <c r="CN45" i="6"/>
  <c r="CH45" i="6"/>
  <c r="CI45" i="6" s="1"/>
  <c r="CF45" i="6"/>
  <c r="CE45" i="6"/>
  <c r="CD45" i="6"/>
  <c r="BX45" i="6"/>
  <c r="BY45" i="6" s="1"/>
  <c r="BV45" i="6"/>
  <c r="BU45" i="6"/>
  <c r="BT45" i="6"/>
  <c r="BN45" i="6"/>
  <c r="BO45" i="6" s="1"/>
  <c r="BL45" i="6"/>
  <c r="BK45" i="6"/>
  <c r="BJ45" i="6"/>
  <c r="BD45" i="6"/>
  <c r="BE45" i="6" s="1"/>
  <c r="BB45" i="6"/>
  <c r="BA45" i="6"/>
  <c r="AZ45" i="6"/>
  <c r="AT45" i="6"/>
  <c r="AU45" i="6" s="1"/>
  <c r="AR45" i="6"/>
  <c r="AQ45" i="6"/>
  <c r="AP45" i="6"/>
  <c r="FT44" i="6"/>
  <c r="FU44" i="6" s="1"/>
  <c r="FR44" i="6"/>
  <c r="FQ44" i="6"/>
  <c r="FP44" i="6"/>
  <c r="FJ44" i="6"/>
  <c r="FK44" i="6" s="1"/>
  <c r="FH44" i="6"/>
  <c r="FG44" i="6"/>
  <c r="FF44" i="6"/>
  <c r="EZ44" i="6"/>
  <c r="FA44" i="6" s="1"/>
  <c r="EX44" i="6"/>
  <c r="EW44" i="6"/>
  <c r="EV44" i="6"/>
  <c r="EP44" i="6"/>
  <c r="EQ44" i="6" s="1"/>
  <c r="EN44" i="6"/>
  <c r="EM44" i="6"/>
  <c r="EL44" i="6"/>
  <c r="EF44" i="6"/>
  <c r="EG44" i="6" s="1"/>
  <c r="ED44" i="6"/>
  <c r="EC44" i="6"/>
  <c r="EB44" i="6"/>
  <c r="DV44" i="6"/>
  <c r="DW44" i="6" s="1"/>
  <c r="DT44" i="6"/>
  <c r="DS44" i="6"/>
  <c r="DR44" i="6"/>
  <c r="DL44" i="6"/>
  <c r="DM44" i="6" s="1"/>
  <c r="DJ44" i="6"/>
  <c r="DI44" i="6"/>
  <c r="DH44" i="6"/>
  <c r="DB44" i="6"/>
  <c r="DC44" i="6" s="1"/>
  <c r="CZ44" i="6"/>
  <c r="CY44" i="6"/>
  <c r="CX44" i="6"/>
  <c r="CR44" i="6"/>
  <c r="CS44" i="6" s="1"/>
  <c r="CP44" i="6"/>
  <c r="CO44" i="6"/>
  <c r="CN44" i="6"/>
  <c r="CH44" i="6"/>
  <c r="CI44" i="6" s="1"/>
  <c r="CF44" i="6"/>
  <c r="CE44" i="6"/>
  <c r="CD44" i="6"/>
  <c r="BX44" i="6"/>
  <c r="BY44" i="6" s="1"/>
  <c r="BV44" i="6"/>
  <c r="BU44" i="6"/>
  <c r="BT44" i="6"/>
  <c r="BN44" i="6"/>
  <c r="BO44" i="6" s="1"/>
  <c r="BL44" i="6"/>
  <c r="BK44" i="6"/>
  <c r="BJ44" i="6"/>
  <c r="BD44" i="6"/>
  <c r="BE44" i="6" s="1"/>
  <c r="BB44" i="6"/>
  <c r="BA44" i="6"/>
  <c r="AZ44" i="6"/>
  <c r="AT44" i="6"/>
  <c r="AU44" i="6" s="1"/>
  <c r="AR44" i="6"/>
  <c r="AQ44" i="6"/>
  <c r="AP44" i="6"/>
  <c r="FT43" i="6"/>
  <c r="FU43" i="6" s="1"/>
  <c r="FR43" i="6"/>
  <c r="FQ43" i="6"/>
  <c r="FP43" i="6"/>
  <c r="FJ43" i="6"/>
  <c r="FK43" i="6" s="1"/>
  <c r="FH43" i="6"/>
  <c r="FG43" i="6"/>
  <c r="FF43" i="6"/>
  <c r="EZ43" i="6"/>
  <c r="FA43" i="6" s="1"/>
  <c r="EX43" i="6"/>
  <c r="EW43" i="6"/>
  <c r="EV43" i="6"/>
  <c r="EP43" i="6"/>
  <c r="EQ43" i="6" s="1"/>
  <c r="EN43" i="6"/>
  <c r="EM43" i="6"/>
  <c r="EL43" i="6"/>
  <c r="EF43" i="6"/>
  <c r="EG43" i="6" s="1"/>
  <c r="ED43" i="6"/>
  <c r="EC43" i="6"/>
  <c r="EB43" i="6"/>
  <c r="DV43" i="6"/>
  <c r="DW43" i="6" s="1"/>
  <c r="DT43" i="6"/>
  <c r="DS43" i="6"/>
  <c r="DR43" i="6"/>
  <c r="DL43" i="6"/>
  <c r="DM43" i="6" s="1"/>
  <c r="DJ43" i="6"/>
  <c r="DI43" i="6"/>
  <c r="DH43" i="6"/>
  <c r="DB43" i="6"/>
  <c r="DC43" i="6" s="1"/>
  <c r="CZ43" i="6"/>
  <c r="CY43" i="6"/>
  <c r="CX43" i="6"/>
  <c r="CR43" i="6"/>
  <c r="CS43" i="6" s="1"/>
  <c r="CP43" i="6"/>
  <c r="CO43" i="6"/>
  <c r="CN43" i="6"/>
  <c r="CH43" i="6"/>
  <c r="CI43" i="6" s="1"/>
  <c r="CF43" i="6"/>
  <c r="CE43" i="6"/>
  <c r="CD43" i="6"/>
  <c r="BX43" i="6"/>
  <c r="BY43" i="6" s="1"/>
  <c r="BV43" i="6"/>
  <c r="BU43" i="6"/>
  <c r="BT43" i="6"/>
  <c r="BN43" i="6"/>
  <c r="BO43" i="6" s="1"/>
  <c r="BL43" i="6"/>
  <c r="BK43" i="6"/>
  <c r="BJ43" i="6"/>
  <c r="BD43" i="6"/>
  <c r="BE43" i="6" s="1"/>
  <c r="BB43" i="6"/>
  <c r="BA43" i="6"/>
  <c r="AZ43" i="6"/>
  <c r="AT43" i="6"/>
  <c r="AU43" i="6" s="1"/>
  <c r="AR43" i="6"/>
  <c r="AQ43" i="6"/>
  <c r="AP43" i="6"/>
  <c r="FT42" i="6"/>
  <c r="FU42" i="6" s="1"/>
  <c r="FR42" i="6"/>
  <c r="FQ42" i="6"/>
  <c r="FP42" i="6"/>
  <c r="FJ42" i="6"/>
  <c r="FK42" i="6" s="1"/>
  <c r="FH42" i="6"/>
  <c r="FG42" i="6"/>
  <c r="FF42" i="6"/>
  <c r="EZ42" i="6"/>
  <c r="FA42" i="6" s="1"/>
  <c r="EX42" i="6"/>
  <c r="EW42" i="6"/>
  <c r="EV42" i="6"/>
  <c r="EP42" i="6"/>
  <c r="EQ42" i="6" s="1"/>
  <c r="EN42" i="6"/>
  <c r="EM42" i="6"/>
  <c r="EL42" i="6"/>
  <c r="EF42" i="6"/>
  <c r="EG42" i="6" s="1"/>
  <c r="ED42" i="6"/>
  <c r="EC42" i="6"/>
  <c r="EB42" i="6"/>
  <c r="DV42" i="6"/>
  <c r="DW42" i="6" s="1"/>
  <c r="DT42" i="6"/>
  <c r="DS42" i="6"/>
  <c r="DR42" i="6"/>
  <c r="DL42" i="6"/>
  <c r="DM42" i="6" s="1"/>
  <c r="DJ42" i="6"/>
  <c r="DI42" i="6"/>
  <c r="DH42" i="6"/>
  <c r="DB42" i="6"/>
  <c r="DC42" i="6" s="1"/>
  <c r="CZ42" i="6"/>
  <c r="CY42" i="6"/>
  <c r="CX42" i="6"/>
  <c r="CR42" i="6"/>
  <c r="CS42" i="6" s="1"/>
  <c r="CP42" i="6"/>
  <c r="CO42" i="6"/>
  <c r="CN42" i="6"/>
  <c r="CH42" i="6"/>
  <c r="CI42" i="6" s="1"/>
  <c r="CF42" i="6"/>
  <c r="CE42" i="6"/>
  <c r="CD42" i="6"/>
  <c r="BX42" i="6"/>
  <c r="BY42" i="6" s="1"/>
  <c r="BV42" i="6"/>
  <c r="BU42" i="6"/>
  <c r="BT42" i="6"/>
  <c r="BN42" i="6"/>
  <c r="BO42" i="6" s="1"/>
  <c r="BL42" i="6"/>
  <c r="BK42" i="6"/>
  <c r="BJ42" i="6"/>
  <c r="BD42" i="6"/>
  <c r="BE42" i="6" s="1"/>
  <c r="BB42" i="6"/>
  <c r="BA42" i="6"/>
  <c r="AZ42" i="6"/>
  <c r="AT42" i="6"/>
  <c r="AU42" i="6" s="1"/>
  <c r="AR42" i="6"/>
  <c r="AQ42" i="6"/>
  <c r="AP42" i="6"/>
  <c r="FT41" i="6"/>
  <c r="FU41" i="6" s="1"/>
  <c r="FR41" i="6"/>
  <c r="FQ41" i="6"/>
  <c r="FP41" i="6"/>
  <c r="FJ41" i="6"/>
  <c r="FK41" i="6" s="1"/>
  <c r="FH41" i="6"/>
  <c r="FG41" i="6"/>
  <c r="FF41" i="6"/>
  <c r="EZ41" i="6"/>
  <c r="FA41" i="6" s="1"/>
  <c r="EX41" i="6"/>
  <c r="EW41" i="6"/>
  <c r="EV41" i="6"/>
  <c r="EP41" i="6"/>
  <c r="EQ41" i="6" s="1"/>
  <c r="EN41" i="6"/>
  <c r="EM41" i="6"/>
  <c r="EL41" i="6"/>
  <c r="EF41" i="6"/>
  <c r="EG41" i="6" s="1"/>
  <c r="ED41" i="6"/>
  <c r="EC41" i="6"/>
  <c r="EB41" i="6"/>
  <c r="DV41" i="6"/>
  <c r="DW41" i="6" s="1"/>
  <c r="DT41" i="6"/>
  <c r="DS41" i="6"/>
  <c r="DR41" i="6"/>
  <c r="DL41" i="6"/>
  <c r="DM41" i="6" s="1"/>
  <c r="DJ41" i="6"/>
  <c r="DI41" i="6"/>
  <c r="DH41" i="6"/>
  <c r="DB41" i="6"/>
  <c r="DC41" i="6" s="1"/>
  <c r="CZ41" i="6"/>
  <c r="CY41" i="6"/>
  <c r="CX41" i="6"/>
  <c r="CR41" i="6"/>
  <c r="CS41" i="6" s="1"/>
  <c r="CP41" i="6"/>
  <c r="CO41" i="6"/>
  <c r="CN41" i="6"/>
  <c r="CH41" i="6"/>
  <c r="CI41" i="6" s="1"/>
  <c r="CF41" i="6"/>
  <c r="CE41" i="6"/>
  <c r="CD41" i="6"/>
  <c r="BX41" i="6"/>
  <c r="BY41" i="6" s="1"/>
  <c r="BV41" i="6"/>
  <c r="BU41" i="6"/>
  <c r="BT41" i="6"/>
  <c r="BN41" i="6"/>
  <c r="BO41" i="6" s="1"/>
  <c r="BL41" i="6"/>
  <c r="BK41" i="6"/>
  <c r="BJ41" i="6"/>
  <c r="BD41" i="6"/>
  <c r="BE41" i="6" s="1"/>
  <c r="BB41" i="6"/>
  <c r="BA41" i="6"/>
  <c r="AZ41" i="6"/>
  <c r="AT41" i="6"/>
  <c r="AU41" i="6" s="1"/>
  <c r="AR41" i="6"/>
  <c r="AQ41" i="6"/>
  <c r="AP41" i="6"/>
  <c r="FT40" i="6"/>
  <c r="FU40" i="6" s="1"/>
  <c r="FR40" i="6"/>
  <c r="FQ40" i="6"/>
  <c r="FP40" i="6"/>
  <c r="FJ40" i="6"/>
  <c r="FK40" i="6" s="1"/>
  <c r="FH40" i="6"/>
  <c r="FG40" i="6"/>
  <c r="FF40" i="6"/>
  <c r="EZ40" i="6"/>
  <c r="FA40" i="6" s="1"/>
  <c r="EX40" i="6"/>
  <c r="EW40" i="6"/>
  <c r="EV40" i="6"/>
  <c r="EP40" i="6"/>
  <c r="EQ40" i="6" s="1"/>
  <c r="EN40" i="6"/>
  <c r="EM40" i="6"/>
  <c r="EL40" i="6"/>
  <c r="EF40" i="6"/>
  <c r="EG40" i="6" s="1"/>
  <c r="ED40" i="6"/>
  <c r="EC40" i="6"/>
  <c r="EB40" i="6"/>
  <c r="DV40" i="6"/>
  <c r="DW40" i="6" s="1"/>
  <c r="DT40" i="6"/>
  <c r="DS40" i="6"/>
  <c r="DR40" i="6"/>
  <c r="DL40" i="6"/>
  <c r="DM40" i="6" s="1"/>
  <c r="DJ40" i="6"/>
  <c r="DI40" i="6"/>
  <c r="DH40" i="6"/>
  <c r="DB40" i="6"/>
  <c r="DC40" i="6" s="1"/>
  <c r="CZ40" i="6"/>
  <c r="CY40" i="6"/>
  <c r="CX40" i="6"/>
  <c r="CR40" i="6"/>
  <c r="CS40" i="6" s="1"/>
  <c r="CP40" i="6"/>
  <c r="CO40" i="6"/>
  <c r="CN40" i="6"/>
  <c r="CH40" i="6"/>
  <c r="CI40" i="6" s="1"/>
  <c r="CF40" i="6"/>
  <c r="CE40" i="6"/>
  <c r="CD40" i="6"/>
  <c r="BX40" i="6"/>
  <c r="BY40" i="6" s="1"/>
  <c r="BV40" i="6"/>
  <c r="BU40" i="6"/>
  <c r="BT40" i="6"/>
  <c r="BN40" i="6"/>
  <c r="BO40" i="6" s="1"/>
  <c r="BL40" i="6"/>
  <c r="BK40" i="6"/>
  <c r="BJ40" i="6"/>
  <c r="BD40" i="6"/>
  <c r="BE40" i="6" s="1"/>
  <c r="BB40" i="6"/>
  <c r="BA40" i="6"/>
  <c r="AZ40" i="6"/>
  <c r="AT40" i="6"/>
  <c r="AU40" i="6" s="1"/>
  <c r="AR40" i="6"/>
  <c r="AQ40" i="6"/>
  <c r="AP40" i="6"/>
  <c r="FQ30" i="6"/>
  <c r="FG30" i="6"/>
  <c r="FH30" i="6" s="1"/>
  <c r="EW30" i="6"/>
  <c r="EX30" i="6" s="1"/>
  <c r="EM30" i="6"/>
  <c r="EN30" i="6" s="1"/>
  <c r="EC30" i="6"/>
  <c r="DS30" i="6"/>
  <c r="DT30" i="6" s="1"/>
  <c r="DI30" i="6"/>
  <c r="DJ30" i="6" s="1"/>
  <c r="CY30" i="6"/>
  <c r="CZ30" i="6" s="1"/>
  <c r="CO30" i="6"/>
  <c r="CE30" i="6"/>
  <c r="CF30" i="6" s="1"/>
  <c r="BU30" i="6"/>
  <c r="BK30" i="6"/>
  <c r="BL30" i="6" s="1"/>
  <c r="BA30" i="6"/>
  <c r="AQ30" i="6"/>
  <c r="AR30" i="6" s="1"/>
  <c r="AG30" i="6"/>
  <c r="X30" i="6"/>
  <c r="N30" i="6"/>
  <c r="D30" i="6"/>
  <c r="FQ29" i="6"/>
  <c r="FR29" i="6" s="1"/>
  <c r="FG29" i="6"/>
  <c r="FI29" i="6" s="1"/>
  <c r="FJ29" i="6" s="1"/>
  <c r="EW29" i="6"/>
  <c r="EM29" i="6"/>
  <c r="EN29" i="6" s="1"/>
  <c r="EC29" i="6"/>
  <c r="ED29" i="6" s="1"/>
  <c r="DS29" i="6"/>
  <c r="DT29" i="6" s="1"/>
  <c r="DI29" i="6"/>
  <c r="CY29" i="6"/>
  <c r="DA29" i="6" s="1"/>
  <c r="DB29" i="6" s="1"/>
  <c r="CO29" i="6"/>
  <c r="CP29" i="6" s="1"/>
  <c r="CE29" i="6"/>
  <c r="CF29" i="6" s="1"/>
  <c r="BU29" i="6"/>
  <c r="BK29" i="6"/>
  <c r="BL29" i="6" s="1"/>
  <c r="BA29" i="6"/>
  <c r="BC29" i="6" s="1"/>
  <c r="BD29" i="6" s="1"/>
  <c r="AQ29" i="6"/>
  <c r="AR29" i="6" s="1"/>
  <c r="AG29" i="6"/>
  <c r="X29" i="6"/>
  <c r="N29" i="6"/>
  <c r="D29" i="6"/>
  <c r="FQ28" i="6"/>
  <c r="FG28" i="6"/>
  <c r="FH28" i="6" s="1"/>
  <c r="EW28" i="6"/>
  <c r="EX28" i="6" s="1"/>
  <c r="EM28" i="6"/>
  <c r="EN28" i="6" s="1"/>
  <c r="EC28" i="6"/>
  <c r="DS28" i="6"/>
  <c r="DI28" i="6"/>
  <c r="CY28" i="6"/>
  <c r="CZ28" i="6" s="1"/>
  <c r="CO28" i="6"/>
  <c r="CE28" i="6"/>
  <c r="CF28" i="6" s="1"/>
  <c r="BU28" i="6"/>
  <c r="BW28" i="6" s="1"/>
  <c r="BX28" i="6" s="1"/>
  <c r="BK28" i="6"/>
  <c r="BL28" i="6" s="1"/>
  <c r="BA28" i="6"/>
  <c r="AQ28" i="6"/>
  <c r="AR28" i="6" s="1"/>
  <c r="AG28" i="6"/>
  <c r="X28" i="6"/>
  <c r="N28" i="6"/>
  <c r="D28" i="6"/>
  <c r="FQ27" i="6"/>
  <c r="FG27" i="6"/>
  <c r="FH27" i="6" s="1"/>
  <c r="EW27" i="6"/>
  <c r="EM27" i="6"/>
  <c r="EC27" i="6"/>
  <c r="ED27" i="6" s="1"/>
  <c r="DS27" i="6"/>
  <c r="DT27" i="6" s="1"/>
  <c r="DI27" i="6"/>
  <c r="CY27" i="6"/>
  <c r="CZ27" i="6" s="1"/>
  <c r="CO27" i="6"/>
  <c r="CE27" i="6"/>
  <c r="CF27" i="6" s="1"/>
  <c r="BU27" i="6"/>
  <c r="BW27" i="6" s="1"/>
  <c r="BX27" i="6" s="1"/>
  <c r="BK27" i="6"/>
  <c r="BM27" i="6" s="1"/>
  <c r="BN27" i="6" s="1"/>
  <c r="BA27" i="6"/>
  <c r="BC27" i="6" s="1"/>
  <c r="BD27" i="6" s="1"/>
  <c r="AQ27" i="6"/>
  <c r="AG27" i="6"/>
  <c r="X27" i="6"/>
  <c r="N27" i="6"/>
  <c r="D27" i="6"/>
  <c r="FQ26" i="6"/>
  <c r="FS26" i="6" s="1"/>
  <c r="FT26" i="6" s="1"/>
  <c r="FG26" i="6"/>
  <c r="FI26" i="6" s="1"/>
  <c r="FJ26" i="6" s="1"/>
  <c r="EW26" i="6"/>
  <c r="EX26" i="6" s="1"/>
  <c r="EM26" i="6"/>
  <c r="EO26" i="6" s="1"/>
  <c r="EP26" i="6" s="1"/>
  <c r="EC26" i="6"/>
  <c r="EE26" i="6" s="1"/>
  <c r="EF26" i="6" s="1"/>
  <c r="DS26" i="6"/>
  <c r="DU26" i="6" s="1"/>
  <c r="DV26" i="6" s="1"/>
  <c r="DI26" i="6"/>
  <c r="DJ26" i="6" s="1"/>
  <c r="CY26" i="6"/>
  <c r="CZ26" i="6" s="1"/>
  <c r="CO26" i="6"/>
  <c r="CE26" i="6"/>
  <c r="CG26" i="6" s="1"/>
  <c r="CH26" i="6" s="1"/>
  <c r="BU26" i="6"/>
  <c r="BV26" i="6" s="1"/>
  <c r="BK26" i="6"/>
  <c r="BM26" i="6" s="1"/>
  <c r="BN26" i="6" s="1"/>
  <c r="BA26" i="6"/>
  <c r="BC26" i="6" s="1"/>
  <c r="BD26" i="6" s="1"/>
  <c r="AQ26" i="6"/>
  <c r="AG26" i="6"/>
  <c r="X26" i="6"/>
  <c r="N26" i="6"/>
  <c r="D26" i="6"/>
  <c r="FQ25" i="6"/>
  <c r="FS25" i="6" s="1"/>
  <c r="FT25" i="6" s="1"/>
  <c r="FG25" i="6"/>
  <c r="FI25" i="6" s="1"/>
  <c r="FJ25" i="6" s="1"/>
  <c r="EW25" i="6"/>
  <c r="EY25" i="6" s="1"/>
  <c r="EZ25" i="6" s="1"/>
  <c r="EM25" i="6"/>
  <c r="EN25" i="6" s="1"/>
  <c r="EC25" i="6"/>
  <c r="ED25" i="6" s="1"/>
  <c r="DS25" i="6"/>
  <c r="DT25" i="6" s="1"/>
  <c r="DI25" i="6"/>
  <c r="CY25" i="6"/>
  <c r="CO25" i="6"/>
  <c r="CQ25" i="6" s="1"/>
  <c r="CR25" i="6" s="1"/>
  <c r="CE25" i="6"/>
  <c r="CG25" i="6" s="1"/>
  <c r="CH25" i="6" s="1"/>
  <c r="BU25" i="6"/>
  <c r="BW25" i="6" s="1"/>
  <c r="BX25" i="6" s="1"/>
  <c r="BK25" i="6"/>
  <c r="BA25" i="6"/>
  <c r="BC25" i="6" s="1"/>
  <c r="BD25" i="6" s="1"/>
  <c r="AQ25" i="6"/>
  <c r="AS25" i="6" s="1"/>
  <c r="AT25" i="6" s="1"/>
  <c r="AG25" i="6"/>
  <c r="X25" i="6"/>
  <c r="N25" i="6"/>
  <c r="D25" i="6"/>
  <c r="FQ24" i="6"/>
  <c r="FS24" i="6" s="1"/>
  <c r="FT24" i="6" s="1"/>
  <c r="FG24" i="6"/>
  <c r="FH24" i="6" s="1"/>
  <c r="EW24" i="6"/>
  <c r="EX24" i="6" s="1"/>
  <c r="EM24" i="6"/>
  <c r="EO24" i="6" s="1"/>
  <c r="EP24" i="6" s="1"/>
  <c r="EC24" i="6"/>
  <c r="DS24" i="6"/>
  <c r="DU24" i="6" s="1"/>
  <c r="DV24" i="6" s="1"/>
  <c r="DI24" i="6"/>
  <c r="DK24" i="6" s="1"/>
  <c r="DL24" i="6" s="1"/>
  <c r="CY24" i="6"/>
  <c r="DA24" i="6" s="1"/>
  <c r="DB24" i="6" s="1"/>
  <c r="CO24" i="6"/>
  <c r="CQ24" i="6" s="1"/>
  <c r="CR24" i="6" s="1"/>
  <c r="CE24" i="6"/>
  <c r="BU24" i="6"/>
  <c r="BW24" i="6" s="1"/>
  <c r="BX24" i="6" s="1"/>
  <c r="BK24" i="6"/>
  <c r="BA24" i="6"/>
  <c r="BC24" i="6" s="1"/>
  <c r="BD24" i="6" s="1"/>
  <c r="AQ24" i="6"/>
  <c r="AS24" i="6" s="1"/>
  <c r="AT24" i="6" s="1"/>
  <c r="AG24" i="6"/>
  <c r="X24" i="6"/>
  <c r="N24" i="6"/>
  <c r="D24" i="6"/>
  <c r="FQ23" i="6"/>
  <c r="FS23" i="6" s="1"/>
  <c r="FT23" i="6" s="1"/>
  <c r="FG23" i="6"/>
  <c r="FH23" i="6" s="1"/>
  <c r="EW23" i="6"/>
  <c r="EY23" i="6" s="1"/>
  <c r="EZ23" i="6" s="1"/>
  <c r="EM23" i="6"/>
  <c r="EO23" i="6" s="1"/>
  <c r="EP23" i="6" s="1"/>
  <c r="EC23" i="6"/>
  <c r="EE23" i="6" s="1"/>
  <c r="EF23" i="6" s="1"/>
  <c r="DS23" i="6"/>
  <c r="DU23" i="6" s="1"/>
  <c r="DV23" i="6" s="1"/>
  <c r="DI23" i="6"/>
  <c r="DK23" i="6" s="1"/>
  <c r="DL23" i="6" s="1"/>
  <c r="CY23" i="6"/>
  <c r="DA23" i="6" s="1"/>
  <c r="DB23" i="6" s="1"/>
  <c r="CO23" i="6"/>
  <c r="CE23" i="6"/>
  <c r="BU23" i="6"/>
  <c r="BW23" i="6" s="1"/>
  <c r="BX23" i="6" s="1"/>
  <c r="BK23" i="6"/>
  <c r="BM23" i="6" s="1"/>
  <c r="BN23" i="6" s="1"/>
  <c r="BA23" i="6"/>
  <c r="BC23" i="6" s="1"/>
  <c r="BD23" i="6" s="1"/>
  <c r="AQ23" i="6"/>
  <c r="AS23" i="6" s="1"/>
  <c r="AT23" i="6" s="1"/>
  <c r="AG23" i="6"/>
  <c r="X23" i="6"/>
  <c r="N23" i="6"/>
  <c r="D23" i="6"/>
  <c r="FQ22" i="6"/>
  <c r="FG22" i="6"/>
  <c r="FI22" i="6" s="1"/>
  <c r="FJ22" i="6" s="1"/>
  <c r="EW22" i="6"/>
  <c r="EY22" i="6" s="1"/>
  <c r="EZ22" i="6" s="1"/>
  <c r="EM22" i="6"/>
  <c r="EO22" i="6" s="1"/>
  <c r="EP22" i="6" s="1"/>
  <c r="EC22" i="6"/>
  <c r="EE22" i="6" s="1"/>
  <c r="EF22" i="6" s="1"/>
  <c r="DS22" i="6"/>
  <c r="DI22" i="6"/>
  <c r="CY22" i="6"/>
  <c r="CZ22" i="6" s="1"/>
  <c r="CO22" i="6"/>
  <c r="CQ22" i="6" s="1"/>
  <c r="CR22" i="6" s="1"/>
  <c r="CE22" i="6"/>
  <c r="CF22" i="6" s="1"/>
  <c r="BU22" i="6"/>
  <c r="BV22" i="6" s="1"/>
  <c r="BK22" i="6"/>
  <c r="BA22" i="6"/>
  <c r="BC22" i="6" s="1"/>
  <c r="BD22" i="6" s="1"/>
  <c r="AQ22" i="6"/>
  <c r="AR22" i="6" s="1"/>
  <c r="AG22" i="6"/>
  <c r="X22" i="6"/>
  <c r="N22" i="6"/>
  <c r="D22" i="6"/>
  <c r="FQ21" i="6"/>
  <c r="FS21" i="6" s="1"/>
  <c r="FT21" i="6" s="1"/>
  <c r="FG21" i="6"/>
  <c r="FI21" i="6" s="1"/>
  <c r="FJ21" i="6" s="1"/>
  <c r="EW21" i="6"/>
  <c r="EY21" i="6" s="1"/>
  <c r="EZ21" i="6" s="1"/>
  <c r="EM21" i="6"/>
  <c r="EC21" i="6"/>
  <c r="DS21" i="6"/>
  <c r="DU21" i="6" s="1"/>
  <c r="DV21" i="6" s="1"/>
  <c r="DI21" i="6"/>
  <c r="DK21" i="6" s="1"/>
  <c r="DL21" i="6" s="1"/>
  <c r="CY21" i="6"/>
  <c r="DA21" i="6" s="1"/>
  <c r="DB21" i="6" s="1"/>
  <c r="CO21" i="6"/>
  <c r="CQ21" i="6" s="1"/>
  <c r="CR21" i="6" s="1"/>
  <c r="CE21" i="6"/>
  <c r="BU21" i="6"/>
  <c r="BW21" i="6" s="1"/>
  <c r="BX21" i="6" s="1"/>
  <c r="BK21" i="6"/>
  <c r="BL21" i="6" s="1"/>
  <c r="BA21" i="6"/>
  <c r="AQ21" i="6"/>
  <c r="AR21" i="6" s="1"/>
  <c r="AG21" i="6"/>
  <c r="X21" i="6"/>
  <c r="N21" i="6"/>
  <c r="D21" i="6"/>
  <c r="FQ20" i="6"/>
  <c r="FS20" i="6" s="1"/>
  <c r="FT20" i="6" s="1"/>
  <c r="FG20" i="6"/>
  <c r="EW20" i="6"/>
  <c r="EY20" i="6" s="1"/>
  <c r="EZ20" i="6" s="1"/>
  <c r="EM20" i="6"/>
  <c r="EC20" i="6"/>
  <c r="EE20" i="6" s="1"/>
  <c r="EF20" i="6" s="1"/>
  <c r="DS20" i="6"/>
  <c r="DI20" i="6"/>
  <c r="DK20" i="6" s="1"/>
  <c r="DL20" i="6" s="1"/>
  <c r="CY20" i="6"/>
  <c r="DA20" i="6" s="1"/>
  <c r="DB20" i="6" s="1"/>
  <c r="CO20" i="6"/>
  <c r="CQ20" i="6" s="1"/>
  <c r="CR20" i="6" s="1"/>
  <c r="CE20" i="6"/>
  <c r="CF20" i="6" s="1"/>
  <c r="BU20" i="6"/>
  <c r="BW20" i="6" s="1"/>
  <c r="BX20" i="6" s="1"/>
  <c r="BK20" i="6"/>
  <c r="BL20" i="6" s="1"/>
  <c r="BA20" i="6"/>
  <c r="BC20" i="6" s="1"/>
  <c r="BD20" i="6" s="1"/>
  <c r="AQ20" i="6"/>
  <c r="AS20" i="6" s="1"/>
  <c r="AT20" i="6" s="1"/>
  <c r="AG20" i="6"/>
  <c r="X20" i="6"/>
  <c r="N20" i="6"/>
  <c r="D20" i="6"/>
  <c r="FQ19" i="6"/>
  <c r="FG19" i="6"/>
  <c r="EW19" i="6"/>
  <c r="EM19" i="6"/>
  <c r="EN19" i="6" s="1"/>
  <c r="EC19" i="6"/>
  <c r="ED19" i="6" s="1"/>
  <c r="DS19" i="6"/>
  <c r="DT19" i="6" s="1"/>
  <c r="DI19" i="6"/>
  <c r="DK19" i="6" s="1"/>
  <c r="DL19" i="6" s="1"/>
  <c r="CY19" i="6"/>
  <c r="CO19" i="6"/>
  <c r="CQ19" i="6" s="1"/>
  <c r="CR19" i="6" s="1"/>
  <c r="CE19" i="6"/>
  <c r="BU19" i="6"/>
  <c r="BW19" i="6" s="1"/>
  <c r="BX19" i="6" s="1"/>
  <c r="BK19" i="6"/>
  <c r="BL19" i="6" s="1"/>
  <c r="BA19" i="6"/>
  <c r="BB19" i="6" s="1"/>
  <c r="AQ19" i="6"/>
  <c r="AR19" i="6" s="1"/>
  <c r="AG19" i="6"/>
  <c r="X19" i="6"/>
  <c r="N19" i="6"/>
  <c r="D19" i="6"/>
  <c r="FQ18" i="6"/>
  <c r="FS18" i="6" s="1"/>
  <c r="FT18" i="6" s="1"/>
  <c r="FG18" i="6"/>
  <c r="FH18" i="6" s="1"/>
  <c r="EW18" i="6"/>
  <c r="EY18" i="6" s="1"/>
  <c r="EZ18" i="6" s="1"/>
  <c r="EM18" i="6"/>
  <c r="EN18" i="6" s="1"/>
  <c r="EC18" i="6"/>
  <c r="DS18" i="6"/>
  <c r="DI18" i="6"/>
  <c r="CY18" i="6"/>
  <c r="CZ18" i="6" s="1"/>
  <c r="CO18" i="6"/>
  <c r="CQ18" i="6" s="1"/>
  <c r="CR18" i="6" s="1"/>
  <c r="CE18" i="6"/>
  <c r="CF18" i="6" s="1"/>
  <c r="BU18" i="6"/>
  <c r="BV18" i="6" s="1"/>
  <c r="BK18" i="6"/>
  <c r="BL18" i="6" s="1"/>
  <c r="BA18" i="6"/>
  <c r="BC18" i="6" s="1"/>
  <c r="BD18" i="6" s="1"/>
  <c r="AQ18" i="6"/>
  <c r="AS18" i="6" s="1"/>
  <c r="AT18" i="6" s="1"/>
  <c r="AG18" i="6"/>
  <c r="X18" i="6"/>
  <c r="N18" i="6"/>
  <c r="D18" i="6"/>
  <c r="FQ17" i="6"/>
  <c r="FR17" i="6" s="1"/>
  <c r="FG17" i="6"/>
  <c r="FH17" i="6" s="1"/>
  <c r="EW17" i="6"/>
  <c r="EY17" i="6" s="1"/>
  <c r="EZ17" i="6" s="1"/>
  <c r="EM17" i="6"/>
  <c r="EO17" i="6" s="1"/>
  <c r="EP17" i="6" s="1"/>
  <c r="EC17" i="6"/>
  <c r="EE17" i="6" s="1"/>
  <c r="EF17" i="6" s="1"/>
  <c r="DS17" i="6"/>
  <c r="DI17" i="6"/>
  <c r="DK17" i="6" s="1"/>
  <c r="DL17" i="6" s="1"/>
  <c r="CY17" i="6"/>
  <c r="CZ17" i="6" s="1"/>
  <c r="CO17" i="6"/>
  <c r="CP17" i="6" s="1"/>
  <c r="CE17" i="6"/>
  <c r="CF17" i="6" s="1"/>
  <c r="BU17" i="6"/>
  <c r="BW17" i="6" s="1"/>
  <c r="BX17" i="6" s="1"/>
  <c r="BK17" i="6"/>
  <c r="BA17" i="6"/>
  <c r="BB17" i="6" s="1"/>
  <c r="AQ17" i="6"/>
  <c r="AS17" i="6" s="1"/>
  <c r="AT17" i="6" s="1"/>
  <c r="AG17" i="6"/>
  <c r="X17" i="6"/>
  <c r="N17" i="6"/>
  <c r="D17" i="6"/>
  <c r="FQ16" i="6"/>
  <c r="FR16" i="6" s="1"/>
  <c r="FG16" i="6"/>
  <c r="EW16" i="6"/>
  <c r="EM16" i="6"/>
  <c r="EC16" i="6"/>
  <c r="EE16" i="6" s="1"/>
  <c r="EF16" i="6" s="1"/>
  <c r="DS16" i="6"/>
  <c r="DI16" i="6"/>
  <c r="DJ16" i="6" s="1"/>
  <c r="CY16" i="6"/>
  <c r="CO16" i="6"/>
  <c r="CP16" i="6" s="1"/>
  <c r="CE16" i="6"/>
  <c r="CG16" i="6" s="1"/>
  <c r="CH16" i="6" s="1"/>
  <c r="BU16" i="6"/>
  <c r="BK16" i="6"/>
  <c r="BA16" i="6"/>
  <c r="BC16" i="6" s="1"/>
  <c r="BD16" i="6" s="1"/>
  <c r="AQ16" i="6"/>
  <c r="AR16" i="6" s="1"/>
  <c r="AG16" i="6"/>
  <c r="X16" i="6"/>
  <c r="N16" i="6"/>
  <c r="D16" i="6"/>
  <c r="FQ15" i="6"/>
  <c r="FS15" i="6" s="1"/>
  <c r="FT15" i="6" s="1"/>
  <c r="FG15" i="6"/>
  <c r="EW15" i="6"/>
  <c r="EY15" i="6" s="1"/>
  <c r="EZ15" i="6" s="1"/>
  <c r="EM15" i="6"/>
  <c r="EO15" i="6" s="1"/>
  <c r="EP15" i="6" s="1"/>
  <c r="EC15" i="6"/>
  <c r="ED15" i="6" s="1"/>
  <c r="DS15" i="6"/>
  <c r="DT15" i="6" s="1"/>
  <c r="DI15" i="6"/>
  <c r="DJ15" i="6" s="1"/>
  <c r="CY15" i="6"/>
  <c r="CO15" i="6"/>
  <c r="CQ15" i="6" s="1"/>
  <c r="CR15" i="6" s="1"/>
  <c r="CE15" i="6"/>
  <c r="CG15" i="6" s="1"/>
  <c r="CH15" i="6" s="1"/>
  <c r="BU15" i="6"/>
  <c r="BW15" i="6" s="1"/>
  <c r="BX15" i="6" s="1"/>
  <c r="BK15" i="6"/>
  <c r="BL15" i="6" s="1"/>
  <c r="BA15" i="6"/>
  <c r="BB15" i="6" s="1"/>
  <c r="AQ15" i="6"/>
  <c r="AR15" i="6" s="1"/>
  <c r="AG15" i="6"/>
  <c r="X15" i="6"/>
  <c r="N15" i="6"/>
  <c r="D15" i="6"/>
  <c r="FQ14" i="6"/>
  <c r="FS14" i="6" s="1"/>
  <c r="FT14" i="6" s="1"/>
  <c r="FG14" i="6"/>
  <c r="FH14" i="6" s="1"/>
  <c r="EW14" i="6"/>
  <c r="EX14" i="6" s="1"/>
  <c r="EM14" i="6"/>
  <c r="EO14" i="6" s="1"/>
  <c r="EP14" i="6" s="1"/>
  <c r="EC14" i="6"/>
  <c r="EE14" i="6" s="1"/>
  <c r="EF14" i="6" s="1"/>
  <c r="DS14" i="6"/>
  <c r="DU14" i="6" s="1"/>
  <c r="DV14" i="6" s="1"/>
  <c r="DI14" i="6"/>
  <c r="CY14" i="6"/>
  <c r="CO14" i="6"/>
  <c r="CQ14" i="6" s="1"/>
  <c r="CR14" i="6" s="1"/>
  <c r="CE14" i="6"/>
  <c r="CF14" i="6" s="1"/>
  <c r="BU14" i="6"/>
  <c r="BV14" i="6" s="1"/>
  <c r="BK14" i="6"/>
  <c r="BL14" i="6" s="1"/>
  <c r="BA14" i="6"/>
  <c r="BC14" i="6" s="1"/>
  <c r="BD14" i="6" s="1"/>
  <c r="AQ14" i="6"/>
  <c r="AR14" i="6" s="1"/>
  <c r="AG14" i="6"/>
  <c r="X14" i="6"/>
  <c r="N14" i="6"/>
  <c r="D14" i="6"/>
  <c r="FQ13" i="6"/>
  <c r="FG13" i="6"/>
  <c r="FH13" i="6" s="1"/>
  <c r="EW13" i="6"/>
  <c r="EY13" i="6" s="1"/>
  <c r="EZ13" i="6" s="1"/>
  <c r="EM13" i="6"/>
  <c r="EC13" i="6"/>
  <c r="EE13" i="6" s="1"/>
  <c r="EF13" i="6" s="1"/>
  <c r="DS13" i="6"/>
  <c r="DU13" i="6" s="1"/>
  <c r="DV13" i="6" s="1"/>
  <c r="DI13" i="6"/>
  <c r="DK13" i="6" s="1"/>
  <c r="DL13" i="6" s="1"/>
  <c r="CY13" i="6"/>
  <c r="CZ13" i="6" s="1"/>
  <c r="CO13" i="6"/>
  <c r="CE13" i="6"/>
  <c r="CF13" i="6" s="1"/>
  <c r="BU13" i="6"/>
  <c r="BW13" i="6" s="1"/>
  <c r="BX13" i="6" s="1"/>
  <c r="BK13" i="6"/>
  <c r="BA13" i="6"/>
  <c r="AQ13" i="6"/>
  <c r="AG13" i="6"/>
  <c r="X13" i="6"/>
  <c r="N13" i="6"/>
  <c r="D13" i="6"/>
  <c r="B3" i="6"/>
  <c r="BD35" i="6" s="1"/>
  <c r="C77" i="6" s="1"/>
  <c r="B1" i="6"/>
  <c r="A244" i="4"/>
  <c r="A243" i="4"/>
  <c r="A242" i="4"/>
  <c r="A241" i="4"/>
  <c r="A240" i="4"/>
  <c r="A239" i="4"/>
  <c r="A238" i="4"/>
  <c r="A237" i="4"/>
  <c r="A236" i="4"/>
  <c r="A235" i="4"/>
  <c r="A234" i="4"/>
  <c r="A233" i="4"/>
  <c r="A232" i="4"/>
  <c r="A231" i="4"/>
  <c r="A230" i="4"/>
  <c r="A229" i="4"/>
  <c r="A228" i="4"/>
  <c r="A227" i="4"/>
  <c r="A226" i="4"/>
  <c r="A225" i="4"/>
  <c r="A224" i="4"/>
  <c r="A223" i="4"/>
  <c r="A222" i="4"/>
  <c r="A221" i="4"/>
  <c r="A220" i="4"/>
  <c r="A219" i="4"/>
  <c r="A218" i="4"/>
  <c r="A217" i="4"/>
  <c r="A216" i="4"/>
  <c r="A215" i="4"/>
  <c r="A214" i="4"/>
  <c r="A213" i="4"/>
  <c r="A212" i="4"/>
  <c r="A211" i="4"/>
  <c r="A210" i="4"/>
  <c r="A209" i="4"/>
  <c r="A208" i="4"/>
  <c r="A207" i="4"/>
  <c r="A206" i="4"/>
  <c r="A205" i="4"/>
  <c r="A204" i="4"/>
  <c r="A203" i="4"/>
  <c r="A202" i="4"/>
  <c r="A201" i="4"/>
  <c r="A200" i="4"/>
  <c r="A199" i="4"/>
  <c r="A198" i="4"/>
  <c r="A197" i="4"/>
  <c r="A196" i="4"/>
  <c r="A195" i="4"/>
  <c r="A194" i="4"/>
  <c r="A193" i="4"/>
  <c r="A192" i="4"/>
  <c r="A191" i="4"/>
  <c r="A190" i="4"/>
  <c r="A189" i="4"/>
  <c r="A188" i="4"/>
  <c r="A187" i="4"/>
  <c r="A186" i="4"/>
  <c r="A185" i="4"/>
  <c r="A184" i="4"/>
  <c r="A183" i="4"/>
  <c r="A182" i="4"/>
  <c r="A181" i="4"/>
  <c r="A180" i="4"/>
  <c r="A179" i="4"/>
  <c r="A178" i="4"/>
  <c r="A177" i="4"/>
  <c r="A176" i="4"/>
  <c r="A175" i="4"/>
  <c r="A174" i="4"/>
  <c r="A173" i="4"/>
  <c r="A172" i="4"/>
  <c r="A171" i="4"/>
  <c r="A170" i="4"/>
  <c r="A169" i="4"/>
  <c r="A168" i="4"/>
  <c r="A167" i="4"/>
  <c r="A166" i="4"/>
  <c r="A165" i="4"/>
  <c r="A164" i="4"/>
  <c r="A163" i="4"/>
  <c r="A162" i="4"/>
  <c r="A161" i="4"/>
  <c r="A160" i="4"/>
  <c r="A159" i="4"/>
  <c r="A158" i="4"/>
  <c r="A157" i="4"/>
  <c r="A156" i="4"/>
  <c r="A155" i="4"/>
  <c r="A154" i="4"/>
  <c r="A153" i="4"/>
  <c r="A152" i="4"/>
  <c r="A151" i="4"/>
  <c r="A150" i="4"/>
  <c r="A149" i="4"/>
  <c r="A148" i="4"/>
  <c r="A147" i="4"/>
  <c r="A146" i="4"/>
  <c r="A145" i="4"/>
  <c r="A144" i="4"/>
  <c r="A143" i="4"/>
  <c r="A142" i="4"/>
  <c r="A141" i="4"/>
  <c r="A140" i="4"/>
  <c r="A139" i="4"/>
  <c r="A138" i="4"/>
  <c r="A137" i="4"/>
  <c r="A136" i="4"/>
  <c r="A135" i="4"/>
  <c r="A134" i="4"/>
  <c r="A133" i="4"/>
  <c r="A132" i="4"/>
  <c r="A131" i="4"/>
  <c r="A130" i="4"/>
  <c r="A129" i="4"/>
  <c r="A128" i="4"/>
  <c r="A127" i="4"/>
  <c r="A126" i="4"/>
  <c r="A125" i="4"/>
  <c r="A124" i="4"/>
  <c r="A123" i="4"/>
  <c r="A122" i="4"/>
  <c r="A121" i="4"/>
  <c r="A120" i="4"/>
  <c r="A119" i="4"/>
  <c r="A118" i="4"/>
  <c r="A117" i="4"/>
  <c r="A116" i="4"/>
  <c r="A115" i="4"/>
  <c r="A114" i="4"/>
  <c r="A113" i="4"/>
  <c r="A112" i="4"/>
  <c r="A111" i="4"/>
  <c r="A110" i="4"/>
  <c r="A109" i="4"/>
  <c r="A108" i="4"/>
  <c r="A107" i="4"/>
  <c r="A106" i="4"/>
  <c r="A105" i="4"/>
  <c r="A104" i="4"/>
  <c r="A103" i="4"/>
  <c r="A102" i="4"/>
  <c r="A101" i="4"/>
  <c r="A100" i="4"/>
  <c r="A99" i="4"/>
  <c r="A98" i="4"/>
  <c r="A97" i="4"/>
  <c r="A96" i="4"/>
  <c r="A95" i="4"/>
  <c r="A94" i="4"/>
  <c r="A93" i="4"/>
  <c r="A92" i="4"/>
  <c r="A91" i="4"/>
  <c r="A90" i="4"/>
  <c r="A89" i="4"/>
  <c r="A88" i="4"/>
  <c r="A87" i="4"/>
  <c r="A86" i="4"/>
  <c r="A85" i="4"/>
  <c r="A84" i="4"/>
  <c r="A83" i="4"/>
  <c r="A82" i="4"/>
  <c r="A81" i="4"/>
  <c r="A80" i="4"/>
  <c r="A79" i="4"/>
  <c r="A78" i="4"/>
  <c r="A77" i="4"/>
  <c r="A76" i="4"/>
  <c r="A75" i="4"/>
  <c r="A74" i="4"/>
  <c r="A73" i="4"/>
  <c r="A72" i="4"/>
  <c r="A71" i="4"/>
  <c r="A70" i="4"/>
  <c r="A69" i="4"/>
  <c r="A68" i="4"/>
  <c r="A67" i="4"/>
  <c r="A66" i="4"/>
  <c r="A65" i="4"/>
  <c r="A64" i="4"/>
  <c r="A63" i="4"/>
  <c r="A62" i="4"/>
  <c r="A61" i="4"/>
  <c r="A60" i="4"/>
  <c r="A59" i="4"/>
  <c r="A58" i="4"/>
  <c r="A57" i="4"/>
  <c r="A56" i="4"/>
  <c r="A55" i="4"/>
  <c r="A54" i="4"/>
  <c r="A53" i="4"/>
  <c r="A52" i="4"/>
  <c r="A51" i="4"/>
  <c r="A50" i="4"/>
  <c r="A49" i="4"/>
  <c r="A48" i="4"/>
  <c r="A47" i="4"/>
  <c r="A46" i="4"/>
  <c r="A45" i="4"/>
  <c r="A44" i="4"/>
  <c r="A43" i="4"/>
  <c r="A42" i="4"/>
  <c r="A41" i="4"/>
  <c r="A40" i="4"/>
  <c r="A39" i="4"/>
  <c r="A38" i="4"/>
  <c r="A37" i="4"/>
  <c r="A36" i="4"/>
  <c r="A35" i="4"/>
  <c r="A34" i="4"/>
  <c r="A33" i="4"/>
  <c r="A32" i="4"/>
  <c r="A31" i="4"/>
  <c r="A30" i="4"/>
  <c r="A29" i="4"/>
  <c r="A28" i="4"/>
  <c r="A27" i="4"/>
  <c r="A26" i="4"/>
  <c r="A25" i="4"/>
  <c r="A24" i="4"/>
  <c r="A23" i="4"/>
  <c r="A22" i="4"/>
  <c r="A21" i="4"/>
  <c r="D20" i="4"/>
  <c r="A20" i="4"/>
  <c r="D19" i="4"/>
  <c r="A19" i="4"/>
  <c r="D18" i="4"/>
  <c r="A18" i="4"/>
  <c r="A17" i="4"/>
  <c r="D16" i="4"/>
  <c r="A16" i="4"/>
  <c r="A15" i="4"/>
  <c r="E36" i="126" s="1"/>
  <c r="G36" i="126" s="1"/>
  <c r="A14" i="4"/>
  <c r="A13" i="4"/>
  <c r="A12" i="4"/>
  <c r="D11" i="4"/>
  <c r="A11" i="4"/>
  <c r="A10" i="4"/>
  <c r="D9" i="4"/>
  <c r="A9" i="4"/>
  <c r="A8" i="4"/>
  <c r="A7" i="4"/>
  <c r="A6" i="4"/>
  <c r="E37" i="126" s="1"/>
  <c r="G37" i="126" s="1"/>
  <c r="A5" i="4"/>
  <c r="B1" i="4"/>
  <c r="M41" i="3"/>
  <c r="O41" i="3" s="1"/>
  <c r="L41" i="3"/>
  <c r="K41" i="3"/>
  <c r="I41" i="3"/>
  <c r="H41" i="3"/>
  <c r="G41" i="3"/>
  <c r="F41" i="3"/>
  <c r="M40" i="3"/>
  <c r="O40" i="3" s="1"/>
  <c r="L40" i="3"/>
  <c r="K40" i="3"/>
  <c r="I40" i="3"/>
  <c r="H40" i="3"/>
  <c r="G40" i="3"/>
  <c r="F40" i="3"/>
  <c r="K39" i="3"/>
  <c r="I39" i="3"/>
  <c r="H39" i="3"/>
  <c r="G39" i="3"/>
  <c r="F39" i="3"/>
  <c r="K38" i="3"/>
  <c r="I38" i="3"/>
  <c r="H38" i="3"/>
  <c r="G38" i="3"/>
  <c r="F38" i="3"/>
  <c r="I37" i="3"/>
  <c r="H37" i="3"/>
  <c r="G37" i="3"/>
  <c r="I36" i="3"/>
  <c r="H36" i="3"/>
  <c r="G36" i="3"/>
  <c r="I35" i="3"/>
  <c r="H35" i="3"/>
  <c r="G35" i="3"/>
  <c r="I34" i="3"/>
  <c r="H34" i="3"/>
  <c r="G34" i="3"/>
  <c r="I33" i="3"/>
  <c r="H33" i="3"/>
  <c r="G33" i="3"/>
  <c r="I32" i="3"/>
  <c r="H32" i="3"/>
  <c r="G32" i="3"/>
  <c r="I31" i="3"/>
  <c r="H31" i="3"/>
  <c r="G31" i="3"/>
  <c r="I30" i="3"/>
  <c r="H30" i="3"/>
  <c r="G30" i="3"/>
  <c r="I28" i="3"/>
  <c r="H28" i="3"/>
  <c r="G28" i="3"/>
  <c r="I27" i="3"/>
  <c r="H27" i="3"/>
  <c r="G27" i="3"/>
  <c r="I26" i="3"/>
  <c r="H26" i="3"/>
  <c r="G26" i="3"/>
  <c r="I25" i="3"/>
  <c r="H25" i="3"/>
  <c r="G25" i="3"/>
  <c r="I24" i="3"/>
  <c r="H24" i="3"/>
  <c r="G24" i="3"/>
  <c r="I23" i="3"/>
  <c r="H23" i="3"/>
  <c r="G23" i="3"/>
  <c r="I22" i="3"/>
  <c r="H22" i="3"/>
  <c r="G22" i="3"/>
  <c r="I21" i="3"/>
  <c r="H21" i="3"/>
  <c r="G21" i="3"/>
  <c r="I20" i="3"/>
  <c r="H20" i="3"/>
  <c r="G20" i="3"/>
  <c r="I19" i="3"/>
  <c r="H19" i="3"/>
  <c r="G19" i="3"/>
  <c r="I17" i="3"/>
  <c r="H17" i="3"/>
  <c r="G17" i="3"/>
  <c r="I16" i="3"/>
  <c r="H16" i="3"/>
  <c r="G16" i="3"/>
  <c r="I15" i="3"/>
  <c r="H15" i="3"/>
  <c r="G15" i="3"/>
  <c r="I13" i="3"/>
  <c r="H13" i="3"/>
  <c r="G13" i="3"/>
  <c r="I12" i="3"/>
  <c r="H12" i="3"/>
  <c r="G12" i="3"/>
  <c r="I11" i="3"/>
  <c r="H11" i="3"/>
  <c r="G11" i="3"/>
  <c r="I10" i="3"/>
  <c r="H10" i="3"/>
  <c r="G10" i="3"/>
  <c r="I9" i="3"/>
  <c r="H9" i="3"/>
  <c r="G9" i="3"/>
  <c r="I8" i="3"/>
  <c r="H8" i="3"/>
  <c r="G8" i="3"/>
  <c r="I7" i="3"/>
  <c r="H7" i="3"/>
  <c r="G7" i="3"/>
  <c r="I6" i="3"/>
  <c r="H6" i="3"/>
  <c r="G6" i="3"/>
  <c r="I5" i="3"/>
  <c r="H5" i="3"/>
  <c r="G5" i="3"/>
  <c r="B1" i="3"/>
  <c r="K83" i="5"/>
  <c r="K84" i="5" s="1"/>
  <c r="E83" i="5"/>
  <c r="E81" i="5"/>
  <c r="D75" i="5"/>
  <c r="F37" i="3" s="1"/>
  <c r="E54" i="5"/>
  <c r="E53" i="5"/>
  <c r="E52" i="5"/>
  <c r="E51" i="5"/>
  <c r="E50" i="5"/>
  <c r="J41" i="5"/>
  <c r="K41" i="5" s="1"/>
  <c r="D41" i="5"/>
  <c r="E41" i="5" s="1"/>
  <c r="J40" i="5"/>
  <c r="K40" i="5" s="1"/>
  <c r="D40" i="5"/>
  <c r="E40" i="5" s="1"/>
  <c r="J39" i="5"/>
  <c r="K39" i="5" s="1"/>
  <c r="E39" i="5"/>
  <c r="M27" i="5"/>
  <c r="N27" i="5" s="1"/>
  <c r="F27" i="5"/>
  <c r="G27" i="5" s="1"/>
  <c r="M26" i="5"/>
  <c r="N26" i="5" s="1"/>
  <c r="F26" i="5"/>
  <c r="G26" i="5" s="1"/>
  <c r="M25" i="5"/>
  <c r="N25" i="5" s="1"/>
  <c r="F25" i="5"/>
  <c r="G25" i="5" s="1"/>
  <c r="M24" i="5"/>
  <c r="N24" i="5" s="1"/>
  <c r="F24" i="5"/>
  <c r="G24" i="5" s="1"/>
  <c r="M23" i="5"/>
  <c r="N23" i="5" s="1"/>
  <c r="F23" i="5"/>
  <c r="G23" i="5" s="1"/>
  <c r="M22" i="5"/>
  <c r="N22" i="5" s="1"/>
  <c r="F22" i="5"/>
  <c r="G22" i="5" s="1"/>
  <c r="M21" i="5"/>
  <c r="N21" i="5" s="1"/>
  <c r="F21" i="5"/>
  <c r="G21" i="5" s="1"/>
  <c r="M20" i="5"/>
  <c r="N20" i="5" s="1"/>
  <c r="F20" i="5"/>
  <c r="G20" i="5" s="1"/>
  <c r="M19" i="5"/>
  <c r="N19" i="5" s="1"/>
  <c r="F19" i="5"/>
  <c r="G19" i="5" s="1"/>
  <c r="M18" i="5"/>
  <c r="N18" i="5" s="1"/>
  <c r="F18" i="5"/>
  <c r="G18" i="5" s="1"/>
  <c r="M17" i="5"/>
  <c r="N17" i="5" s="1"/>
  <c r="F17" i="5"/>
  <c r="G17" i="5" s="1"/>
  <c r="M16" i="5"/>
  <c r="N16" i="5" s="1"/>
  <c r="F16" i="5"/>
  <c r="G16" i="5" s="1"/>
  <c r="M15" i="5"/>
  <c r="N15" i="5" s="1"/>
  <c r="F15" i="5"/>
  <c r="G15" i="5" s="1"/>
  <c r="M14" i="5"/>
  <c r="N14" i="5" s="1"/>
  <c r="F14" i="5"/>
  <c r="G14" i="5" s="1"/>
  <c r="M13" i="5"/>
  <c r="N13" i="5" s="1"/>
  <c r="F13" i="5"/>
  <c r="G13" i="5" s="1"/>
  <c r="M12" i="5"/>
  <c r="N12" i="5" s="1"/>
  <c r="F12" i="5"/>
  <c r="G12" i="5" s="1"/>
  <c r="M11" i="5"/>
  <c r="N11" i="5" s="1"/>
  <c r="F11" i="5"/>
  <c r="G11" i="5" s="1"/>
  <c r="M10" i="5"/>
  <c r="N10" i="5" s="1"/>
  <c r="F10" i="5"/>
  <c r="G10" i="5" s="1"/>
  <c r="M9" i="5"/>
  <c r="N9" i="5" s="1"/>
  <c r="F9" i="5"/>
  <c r="G9" i="5" s="1"/>
  <c r="M8" i="5"/>
  <c r="N8" i="5" s="1"/>
  <c r="F8" i="5"/>
  <c r="G8" i="5" s="1"/>
  <c r="B3" i="5"/>
  <c r="B1" i="5"/>
  <c r="I87" i="2"/>
  <c r="J87" i="2"/>
  <c r="A87" i="2"/>
  <c r="I86" i="2"/>
  <c r="J86" i="2"/>
  <c r="A86" i="2"/>
  <c r="I85" i="2"/>
  <c r="J85" i="2"/>
  <c r="A85" i="2"/>
  <c r="I84" i="2"/>
  <c r="J84" i="2"/>
  <c r="A84" i="2"/>
  <c r="I83" i="2"/>
  <c r="J83" i="2"/>
  <c r="A83" i="2"/>
  <c r="I82" i="2"/>
  <c r="J82" i="2"/>
  <c r="A82" i="2"/>
  <c r="I81" i="2"/>
  <c r="J81" i="2"/>
  <c r="A81" i="2"/>
  <c r="I80" i="2"/>
  <c r="J80" i="2"/>
  <c r="A80" i="2"/>
  <c r="I79" i="2"/>
  <c r="J79" i="2"/>
  <c r="A79" i="2"/>
  <c r="I78" i="2"/>
  <c r="J78" i="2"/>
  <c r="A78" i="2"/>
  <c r="I77" i="2"/>
  <c r="J77" i="2"/>
  <c r="A77" i="2"/>
  <c r="I76" i="2"/>
  <c r="J76" i="2"/>
  <c r="A76" i="2"/>
  <c r="I75" i="2"/>
  <c r="J75" i="2"/>
  <c r="A75" i="2"/>
  <c r="I74" i="2"/>
  <c r="J74" i="2"/>
  <c r="A74" i="2"/>
  <c r="I73" i="2"/>
  <c r="J73" i="2"/>
  <c r="A73" i="2"/>
  <c r="I72" i="2"/>
  <c r="J72" i="2"/>
  <c r="A72" i="2"/>
  <c r="I71" i="2"/>
  <c r="J71" i="2"/>
  <c r="A71" i="2"/>
  <c r="I70" i="2"/>
  <c r="J70" i="2"/>
  <c r="A70" i="2"/>
  <c r="I69" i="2"/>
  <c r="J69" i="2"/>
  <c r="A69" i="2"/>
  <c r="I68" i="2"/>
  <c r="J68" i="2"/>
  <c r="A68" i="2"/>
  <c r="I67" i="2"/>
  <c r="J67" i="2"/>
  <c r="A67" i="2"/>
  <c r="I66" i="2"/>
  <c r="J66" i="2"/>
  <c r="A66" i="2"/>
  <c r="I65" i="2"/>
  <c r="J65" i="2"/>
  <c r="A65" i="2"/>
  <c r="I64" i="2"/>
  <c r="J64" i="2"/>
  <c r="A64" i="2"/>
  <c r="I63" i="2"/>
  <c r="J63" i="2"/>
  <c r="A63" i="2"/>
  <c r="I62" i="2"/>
  <c r="J62" i="2"/>
  <c r="A62" i="2"/>
  <c r="I61" i="2"/>
  <c r="J61" i="2"/>
  <c r="A61" i="2"/>
  <c r="I60" i="2"/>
  <c r="J60" i="2"/>
  <c r="A60" i="2"/>
  <c r="I59" i="2"/>
  <c r="J59" i="2"/>
  <c r="A59" i="2"/>
  <c r="I58" i="2"/>
  <c r="J58" i="2"/>
  <c r="A58" i="2"/>
  <c r="I57" i="2"/>
  <c r="J57" i="2"/>
  <c r="A57" i="2"/>
  <c r="I56" i="2"/>
  <c r="J56" i="2"/>
  <c r="A56" i="2"/>
  <c r="I55" i="2"/>
  <c r="J55" i="2"/>
  <c r="A55" i="2"/>
  <c r="I54" i="2"/>
  <c r="J54" i="2"/>
  <c r="A54" i="2"/>
  <c r="I53" i="2"/>
  <c r="J53" i="2"/>
  <c r="A53" i="2"/>
  <c r="I52" i="2"/>
  <c r="J52" i="2"/>
  <c r="A52" i="2"/>
  <c r="I51" i="2"/>
  <c r="J51" i="2"/>
  <c r="A51" i="2"/>
  <c r="I50" i="2"/>
  <c r="J50" i="2"/>
  <c r="A50" i="2"/>
  <c r="I49" i="2"/>
  <c r="J49" i="2"/>
  <c r="A49" i="2"/>
  <c r="I48" i="2"/>
  <c r="J48" i="2"/>
  <c r="A48" i="2"/>
  <c r="I47" i="2"/>
  <c r="J47" i="2"/>
  <c r="A47" i="2"/>
  <c r="I46" i="2"/>
  <c r="J46" i="2"/>
  <c r="A46" i="2"/>
  <c r="I45" i="2"/>
  <c r="J45" i="2"/>
  <c r="A45" i="2"/>
  <c r="I44" i="2"/>
  <c r="J44" i="2"/>
  <c r="A44" i="2"/>
  <c r="I43" i="2"/>
  <c r="J43" i="2"/>
  <c r="A43" i="2"/>
  <c r="I42" i="2"/>
  <c r="J42" i="2"/>
  <c r="A42" i="2"/>
  <c r="I41" i="2"/>
  <c r="J41" i="2"/>
  <c r="A41" i="2"/>
  <c r="I40" i="2"/>
  <c r="J40" i="2"/>
  <c r="A40" i="2"/>
  <c r="I39" i="2"/>
  <c r="J39" i="2"/>
  <c r="A39" i="2"/>
  <c r="I38" i="2"/>
  <c r="J38" i="2"/>
  <c r="A38" i="2"/>
  <c r="I37" i="2"/>
  <c r="J37" i="2"/>
  <c r="A37" i="2"/>
  <c r="I36" i="2"/>
  <c r="J36" i="2" s="1"/>
  <c r="A36" i="2"/>
  <c r="I35" i="2"/>
  <c r="J35" i="2" s="1"/>
  <c r="A35" i="2"/>
  <c r="I34" i="2"/>
  <c r="J34" i="2" s="1"/>
  <c r="A34" i="2"/>
  <c r="I33" i="2"/>
  <c r="J33" i="2" s="1"/>
  <c r="A33" i="2"/>
  <c r="I32" i="2"/>
  <c r="J32" i="2" s="1"/>
  <c r="A32" i="2"/>
  <c r="I31" i="2"/>
  <c r="J31" i="2" s="1"/>
  <c r="A31" i="2"/>
  <c r="I30" i="2"/>
  <c r="A30" i="2"/>
  <c r="I29" i="2"/>
  <c r="J29" i="2" s="1"/>
  <c r="A29" i="2"/>
  <c r="I28" i="2"/>
  <c r="A28" i="2"/>
  <c r="I27" i="2"/>
  <c r="J27" i="2" s="1"/>
  <c r="A27" i="2"/>
  <c r="I26" i="2"/>
  <c r="J26" i="2" s="1"/>
  <c r="A26" i="2"/>
  <c r="I25" i="2"/>
  <c r="A25" i="2"/>
  <c r="I24" i="2"/>
  <c r="J24" i="2" s="1"/>
  <c r="A24" i="2"/>
  <c r="I23" i="2"/>
  <c r="J23" i="2" s="1"/>
  <c r="A23" i="2"/>
  <c r="I22" i="2"/>
  <c r="J22" i="2" s="1"/>
  <c r="A22" i="2"/>
  <c r="I21" i="2"/>
  <c r="J21" i="2" s="1"/>
  <c r="A21" i="2"/>
  <c r="I20" i="2"/>
  <c r="J20" i="2" s="1"/>
  <c r="A20" i="2"/>
  <c r="I19" i="2"/>
  <c r="J19" i="2" s="1"/>
  <c r="A19" i="2"/>
  <c r="I18" i="2"/>
  <c r="J18" i="2" s="1"/>
  <c r="A18" i="2"/>
  <c r="I17" i="2"/>
  <c r="A17" i="2"/>
  <c r="I16" i="2"/>
  <c r="J16" i="2" s="1"/>
  <c r="A16" i="2"/>
  <c r="I15" i="2"/>
  <c r="A15" i="2"/>
  <c r="I14" i="2"/>
  <c r="J14" i="2" s="1"/>
  <c r="A14" i="2"/>
  <c r="I13" i="2"/>
  <c r="A13" i="2"/>
  <c r="I12" i="2"/>
  <c r="A12" i="2"/>
  <c r="I11" i="2"/>
  <c r="A11" i="2"/>
  <c r="I10" i="2"/>
  <c r="A10" i="2"/>
  <c r="I9" i="2"/>
  <c r="A9" i="2"/>
  <c r="I8" i="2"/>
  <c r="J8" i="2" s="1"/>
  <c r="A8" i="2"/>
  <c r="I7" i="2"/>
  <c r="D7" i="2"/>
  <c r="F7" i="2" s="1"/>
  <c r="A7" i="2"/>
  <c r="I6" i="2"/>
  <c r="A6" i="2"/>
  <c r="I5" i="2"/>
  <c r="D5" i="2"/>
  <c r="F5" i="2" s="1"/>
  <c r="A5" i="2"/>
  <c r="C1" i="2"/>
  <c r="H222" i="7"/>
  <c r="M221" i="7"/>
  <c r="AJ215" i="7"/>
  <c r="AL215" i="7" s="1"/>
  <c r="AG215" i="7" s="1"/>
  <c r="AF215" i="7"/>
  <c r="AE215" i="7"/>
  <c r="AD215" i="7"/>
  <c r="AC215" i="7"/>
  <c r="AB215" i="7"/>
  <c r="L215" i="7"/>
  <c r="H215" i="7"/>
  <c r="G215" i="7"/>
  <c r="AJ214" i="7"/>
  <c r="AL214" i="7" s="1"/>
  <c r="AK214" i="7" s="1"/>
  <c r="AF214" i="7"/>
  <c r="AE214" i="7"/>
  <c r="AD214" i="7"/>
  <c r="AC214" i="7"/>
  <c r="AB214" i="7"/>
  <c r="L214" i="7"/>
  <c r="H214" i="7"/>
  <c r="G214" i="7"/>
  <c r="AJ213" i="7"/>
  <c r="AL213" i="7" s="1"/>
  <c r="AF213" i="7"/>
  <c r="AE213" i="7"/>
  <c r="AD213" i="7"/>
  <c r="AC213" i="7"/>
  <c r="AB213" i="7"/>
  <c r="L213" i="7"/>
  <c r="H213" i="7"/>
  <c r="G213" i="7"/>
  <c r="AJ212" i="7"/>
  <c r="AL212" i="7" s="1"/>
  <c r="AF212" i="7"/>
  <c r="AE212" i="7"/>
  <c r="AD212" i="7"/>
  <c r="AC212" i="7"/>
  <c r="AB212" i="7"/>
  <c r="L212" i="7"/>
  <c r="H212" i="7"/>
  <c r="G212" i="7"/>
  <c r="AJ211" i="7"/>
  <c r="AL211" i="7" s="1"/>
  <c r="AG211" i="7" s="1"/>
  <c r="AF211" i="7"/>
  <c r="AE211" i="7"/>
  <c r="AD211" i="7"/>
  <c r="AC211" i="7"/>
  <c r="AB211" i="7"/>
  <c r="L211" i="7"/>
  <c r="H211" i="7"/>
  <c r="G211" i="7"/>
  <c r="AJ210" i="7"/>
  <c r="AL210" i="7" s="1"/>
  <c r="AF210" i="7"/>
  <c r="AE210" i="7"/>
  <c r="AD210" i="7"/>
  <c r="AC210" i="7"/>
  <c r="AB210" i="7"/>
  <c r="L210" i="7"/>
  <c r="H210" i="7"/>
  <c r="G210" i="7"/>
  <c r="AJ209" i="7"/>
  <c r="AL209" i="7" s="1"/>
  <c r="AF209" i="7"/>
  <c r="AE209" i="7"/>
  <c r="AD209" i="7"/>
  <c r="AC209" i="7"/>
  <c r="AB209" i="7"/>
  <c r="L209" i="7"/>
  <c r="H209" i="7"/>
  <c r="G209" i="7"/>
  <c r="AJ208" i="7"/>
  <c r="AL208" i="7" s="1"/>
  <c r="AF208" i="7"/>
  <c r="AE208" i="7"/>
  <c r="AD208" i="7"/>
  <c r="AC208" i="7"/>
  <c r="AB208" i="7"/>
  <c r="L208" i="7"/>
  <c r="H208" i="7"/>
  <c r="G208" i="7"/>
  <c r="AJ207" i="7"/>
  <c r="AL207" i="7" s="1"/>
  <c r="AF207" i="7"/>
  <c r="AE207" i="7"/>
  <c r="AD207" i="7"/>
  <c r="AC207" i="7"/>
  <c r="AB207" i="7"/>
  <c r="L207" i="7"/>
  <c r="H207" i="7"/>
  <c r="G207" i="7"/>
  <c r="AJ206" i="7"/>
  <c r="AL206" i="7" s="1"/>
  <c r="AF206" i="7"/>
  <c r="AE206" i="7"/>
  <c r="AD206" i="7"/>
  <c r="AC206" i="7"/>
  <c r="AB206" i="7"/>
  <c r="L206" i="7"/>
  <c r="H206" i="7"/>
  <c r="G206" i="7"/>
  <c r="AJ205" i="7"/>
  <c r="AL205" i="7" s="1"/>
  <c r="AK205" i="7" s="1"/>
  <c r="AF205" i="7"/>
  <c r="AE205" i="7"/>
  <c r="AD205" i="7"/>
  <c r="AC205" i="7"/>
  <c r="AB205" i="7"/>
  <c r="L205" i="7"/>
  <c r="H205" i="7"/>
  <c r="G205" i="7"/>
  <c r="AJ204" i="7"/>
  <c r="AL204" i="7" s="1"/>
  <c r="AF204" i="7"/>
  <c r="AE204" i="7"/>
  <c r="AD204" i="7"/>
  <c r="AC204" i="7"/>
  <c r="AB204" i="7"/>
  <c r="L204" i="7"/>
  <c r="H204" i="7"/>
  <c r="G204" i="7"/>
  <c r="AJ203" i="7"/>
  <c r="AL203" i="7" s="1"/>
  <c r="AG203" i="7" s="1"/>
  <c r="AF203" i="7"/>
  <c r="AE203" i="7"/>
  <c r="AD203" i="7"/>
  <c r="AC203" i="7"/>
  <c r="AB203" i="7"/>
  <c r="L203" i="7"/>
  <c r="H203" i="7"/>
  <c r="G203" i="7"/>
  <c r="AJ202" i="7"/>
  <c r="AL202" i="7" s="1"/>
  <c r="AF202" i="7"/>
  <c r="AE202" i="7"/>
  <c r="AD202" i="7"/>
  <c r="AC202" i="7"/>
  <c r="AB202" i="7"/>
  <c r="L202" i="7"/>
  <c r="H202" i="7"/>
  <c r="G202" i="7"/>
  <c r="AJ201" i="7"/>
  <c r="AL201" i="7" s="1"/>
  <c r="AF201" i="7"/>
  <c r="AE201" i="7"/>
  <c r="AD201" i="7"/>
  <c r="AC201" i="7"/>
  <c r="AB201" i="7"/>
  <c r="L201" i="7"/>
  <c r="H201" i="7"/>
  <c r="G201" i="7"/>
  <c r="AJ200" i="7"/>
  <c r="AL200" i="7" s="1"/>
  <c r="AG200" i="7" s="1"/>
  <c r="AF200" i="7"/>
  <c r="AE200" i="7"/>
  <c r="AD200" i="7"/>
  <c r="AC200" i="7"/>
  <c r="AB200" i="7"/>
  <c r="L200" i="7"/>
  <c r="H200" i="7"/>
  <c r="G200" i="7"/>
  <c r="AJ199" i="7"/>
  <c r="AL199" i="7" s="1"/>
  <c r="AK199" i="7" s="1"/>
  <c r="AF199" i="7"/>
  <c r="AE199" i="7"/>
  <c r="AD199" i="7"/>
  <c r="AC199" i="7"/>
  <c r="AB199" i="7"/>
  <c r="L199" i="7"/>
  <c r="H199" i="7"/>
  <c r="G199" i="7"/>
  <c r="AJ198" i="7"/>
  <c r="AL198" i="7" s="1"/>
  <c r="AK198" i="7" s="1"/>
  <c r="AF198" i="7"/>
  <c r="AE198" i="7"/>
  <c r="AD198" i="7"/>
  <c r="AC198" i="7"/>
  <c r="AB198" i="7"/>
  <c r="L198" i="7"/>
  <c r="H198" i="7"/>
  <c r="G198" i="7"/>
  <c r="AJ197" i="7"/>
  <c r="AL197" i="7" s="1"/>
  <c r="AF197" i="7"/>
  <c r="AE197" i="7"/>
  <c r="AD197" i="7"/>
  <c r="AC197" i="7"/>
  <c r="AB197" i="7"/>
  <c r="L197" i="7"/>
  <c r="H197" i="7"/>
  <c r="G197" i="7"/>
  <c r="AJ196" i="7"/>
  <c r="AL196" i="7" s="1"/>
  <c r="AF196" i="7"/>
  <c r="AE196" i="7"/>
  <c r="AD196" i="7"/>
  <c r="AC196" i="7"/>
  <c r="AB196" i="7"/>
  <c r="L196" i="7"/>
  <c r="H196" i="7"/>
  <c r="G196" i="7"/>
  <c r="AJ195" i="7"/>
  <c r="AL195" i="7" s="1"/>
  <c r="AF195" i="7"/>
  <c r="AE195" i="7"/>
  <c r="AD195" i="7"/>
  <c r="AC195" i="7"/>
  <c r="AB195" i="7"/>
  <c r="L195" i="7"/>
  <c r="H195" i="7"/>
  <c r="G195" i="7"/>
  <c r="AJ194" i="7"/>
  <c r="AL194" i="7" s="1"/>
  <c r="AK194" i="7" s="1"/>
  <c r="AF194" i="7"/>
  <c r="AE194" i="7"/>
  <c r="AD194" i="7"/>
  <c r="AC194" i="7"/>
  <c r="AB194" i="7"/>
  <c r="L194" i="7"/>
  <c r="H194" i="7"/>
  <c r="G194" i="7"/>
  <c r="AJ193" i="7"/>
  <c r="AL193" i="7" s="1"/>
  <c r="AF193" i="7"/>
  <c r="AE193" i="7"/>
  <c r="AD193" i="7"/>
  <c r="AC193" i="7"/>
  <c r="AB193" i="7"/>
  <c r="L193" i="7"/>
  <c r="H193" i="7"/>
  <c r="G193" i="7"/>
  <c r="AJ192" i="7"/>
  <c r="AL192" i="7" s="1"/>
  <c r="AG192" i="7" s="1"/>
  <c r="AF192" i="7"/>
  <c r="AE192" i="7"/>
  <c r="AD192" i="7"/>
  <c r="AC192" i="7"/>
  <c r="AB192" i="7"/>
  <c r="L192" i="7"/>
  <c r="H192" i="7"/>
  <c r="G192" i="7"/>
  <c r="AJ191" i="7"/>
  <c r="AL191" i="7" s="1"/>
  <c r="AF191" i="7"/>
  <c r="AE191" i="7"/>
  <c r="AD191" i="7"/>
  <c r="AC191" i="7"/>
  <c r="AB191" i="7"/>
  <c r="L191" i="7"/>
  <c r="H191" i="7"/>
  <c r="G191" i="7"/>
  <c r="AJ190" i="7"/>
  <c r="AL190" i="7" s="1"/>
  <c r="AK190" i="7" s="1"/>
  <c r="AF190" i="7"/>
  <c r="AE190" i="7"/>
  <c r="AD190" i="7"/>
  <c r="AC190" i="7"/>
  <c r="AB190" i="7"/>
  <c r="L190" i="7"/>
  <c r="H190" i="7"/>
  <c r="G190" i="7"/>
  <c r="AJ189" i="7"/>
  <c r="AL189" i="7" s="1"/>
  <c r="AF189" i="7"/>
  <c r="AE189" i="7"/>
  <c r="AD189" i="7"/>
  <c r="AC189" i="7"/>
  <c r="AB189" i="7"/>
  <c r="L189" i="7"/>
  <c r="H189" i="7"/>
  <c r="G189" i="7"/>
  <c r="AJ188" i="7"/>
  <c r="AL188" i="7" s="1"/>
  <c r="AF188" i="7"/>
  <c r="AE188" i="7"/>
  <c r="AD188" i="7"/>
  <c r="AC188" i="7"/>
  <c r="AB188" i="7"/>
  <c r="L188" i="7"/>
  <c r="H188" i="7"/>
  <c r="G188" i="7"/>
  <c r="AJ187" i="7"/>
  <c r="AL187" i="7" s="1"/>
  <c r="AF187" i="7"/>
  <c r="AE187" i="7"/>
  <c r="AD187" i="7"/>
  <c r="AC187" i="7"/>
  <c r="AB187" i="7"/>
  <c r="L187" i="7"/>
  <c r="H187" i="7"/>
  <c r="G187" i="7"/>
  <c r="AJ186" i="7"/>
  <c r="AL186" i="7" s="1"/>
  <c r="AF186" i="7"/>
  <c r="AE186" i="7"/>
  <c r="AD186" i="7"/>
  <c r="AC186" i="7"/>
  <c r="AB186" i="7"/>
  <c r="L186" i="7"/>
  <c r="H186" i="7"/>
  <c r="G186" i="7"/>
  <c r="AJ185" i="7"/>
  <c r="AL185" i="7" s="1"/>
  <c r="AF185" i="7"/>
  <c r="AE185" i="7"/>
  <c r="AD185" i="7"/>
  <c r="AC185" i="7"/>
  <c r="AB185" i="7"/>
  <c r="L185" i="7"/>
  <c r="H185" i="7"/>
  <c r="G185" i="7"/>
  <c r="AJ184" i="7"/>
  <c r="AL184" i="7" s="1"/>
  <c r="AF184" i="7"/>
  <c r="AE184" i="7"/>
  <c r="AD184" i="7"/>
  <c r="AC184" i="7"/>
  <c r="AB184" i="7"/>
  <c r="L184" i="7"/>
  <c r="H184" i="7"/>
  <c r="G184" i="7"/>
  <c r="AJ183" i="7"/>
  <c r="AL183" i="7" s="1"/>
  <c r="AF183" i="7"/>
  <c r="AE183" i="7"/>
  <c r="AD183" i="7"/>
  <c r="AC183" i="7"/>
  <c r="AB183" i="7"/>
  <c r="L183" i="7"/>
  <c r="H183" i="7"/>
  <c r="G183" i="7"/>
  <c r="AJ182" i="7"/>
  <c r="AL182" i="7" s="1"/>
  <c r="AF182" i="7"/>
  <c r="AE182" i="7"/>
  <c r="AD182" i="7"/>
  <c r="AC182" i="7"/>
  <c r="AB182" i="7"/>
  <c r="L182" i="7"/>
  <c r="H182" i="7"/>
  <c r="G182" i="7"/>
  <c r="AJ181" i="7"/>
  <c r="AL181" i="7" s="1"/>
  <c r="AG181" i="7" s="1"/>
  <c r="AF181" i="7"/>
  <c r="AE181" i="7"/>
  <c r="AD181" i="7"/>
  <c r="AC181" i="7"/>
  <c r="AB181" i="7"/>
  <c r="L181" i="7"/>
  <c r="H181" i="7"/>
  <c r="G181" i="7"/>
  <c r="AJ180" i="7"/>
  <c r="AL180" i="7" s="1"/>
  <c r="AF180" i="7"/>
  <c r="AE180" i="7"/>
  <c r="AD180" i="7"/>
  <c r="AC180" i="7"/>
  <c r="AB180" i="7"/>
  <c r="L180" i="7"/>
  <c r="H180" i="7"/>
  <c r="G180" i="7"/>
  <c r="AJ179" i="7"/>
  <c r="AL179" i="7" s="1"/>
  <c r="AF179" i="7"/>
  <c r="AE179" i="7"/>
  <c r="AD179" i="7"/>
  <c r="AC179" i="7"/>
  <c r="AB179" i="7"/>
  <c r="L179" i="7"/>
  <c r="H179" i="7"/>
  <c r="G179" i="7"/>
  <c r="AJ178" i="7"/>
  <c r="AL178" i="7" s="1"/>
  <c r="AK178" i="7" s="1"/>
  <c r="AF178" i="7"/>
  <c r="AE178" i="7"/>
  <c r="AD178" i="7"/>
  <c r="AC178" i="7"/>
  <c r="AB178" i="7"/>
  <c r="L178" i="7"/>
  <c r="H178" i="7"/>
  <c r="G178" i="7"/>
  <c r="AJ177" i="7"/>
  <c r="AL177" i="7" s="1"/>
  <c r="AF177" i="7"/>
  <c r="AE177" i="7"/>
  <c r="AD177" i="7"/>
  <c r="AC177" i="7"/>
  <c r="AB177" i="7"/>
  <c r="L177" i="7"/>
  <c r="H177" i="7"/>
  <c r="G177" i="7"/>
  <c r="AJ176" i="7"/>
  <c r="AL176" i="7" s="1"/>
  <c r="AG176" i="7" s="1"/>
  <c r="AF176" i="7"/>
  <c r="AE176" i="7"/>
  <c r="AD176" i="7"/>
  <c r="AC176" i="7"/>
  <c r="AB176" i="7"/>
  <c r="L176" i="7"/>
  <c r="H176" i="7"/>
  <c r="G176" i="7"/>
  <c r="AJ175" i="7"/>
  <c r="AL175" i="7" s="1"/>
  <c r="AF175" i="7"/>
  <c r="AE175" i="7"/>
  <c r="AD175" i="7"/>
  <c r="AC175" i="7"/>
  <c r="AB175" i="7"/>
  <c r="L175" i="7"/>
  <c r="H175" i="7"/>
  <c r="G175" i="7"/>
  <c r="AJ174" i="7"/>
  <c r="AL174" i="7" s="1"/>
  <c r="AF174" i="7"/>
  <c r="AE174" i="7"/>
  <c r="AD174" i="7"/>
  <c r="AC174" i="7"/>
  <c r="AB174" i="7"/>
  <c r="L174" i="7"/>
  <c r="H174" i="7"/>
  <c r="G174" i="7"/>
  <c r="AJ173" i="7"/>
  <c r="AL173" i="7" s="1"/>
  <c r="AF173" i="7"/>
  <c r="AE173" i="7"/>
  <c r="AD173" i="7"/>
  <c r="AC173" i="7"/>
  <c r="AB173" i="7"/>
  <c r="L173" i="7"/>
  <c r="H173" i="7"/>
  <c r="G173" i="7"/>
  <c r="AJ172" i="7"/>
  <c r="AL172" i="7" s="1"/>
  <c r="AK172" i="7" s="1"/>
  <c r="AF172" i="7"/>
  <c r="AE172" i="7"/>
  <c r="AD172" i="7"/>
  <c r="AC172" i="7"/>
  <c r="AB172" i="7"/>
  <c r="L172" i="7"/>
  <c r="H172" i="7"/>
  <c r="G172" i="7"/>
  <c r="AJ171" i="7"/>
  <c r="AL171" i="7" s="1"/>
  <c r="AG171" i="7" s="1"/>
  <c r="AF171" i="7"/>
  <c r="AE171" i="7"/>
  <c r="AD171" i="7"/>
  <c r="AC171" i="7"/>
  <c r="AB171" i="7"/>
  <c r="L171" i="7"/>
  <c r="H171" i="7"/>
  <c r="G171" i="7"/>
  <c r="AJ170" i="7"/>
  <c r="AL170" i="7" s="1"/>
  <c r="AF170" i="7"/>
  <c r="AE170" i="7"/>
  <c r="AD170" i="7"/>
  <c r="AC170" i="7"/>
  <c r="AB170" i="7"/>
  <c r="L170" i="7"/>
  <c r="H170" i="7"/>
  <c r="G170" i="7"/>
  <c r="AJ169" i="7"/>
  <c r="AL169" i="7" s="1"/>
  <c r="AF169" i="7"/>
  <c r="AE169" i="7"/>
  <c r="AD169" i="7"/>
  <c r="AC169" i="7"/>
  <c r="AB169" i="7"/>
  <c r="L169" i="7"/>
  <c r="H169" i="7"/>
  <c r="G169" i="7"/>
  <c r="AJ168" i="7"/>
  <c r="AL168" i="7" s="1"/>
  <c r="AF168" i="7"/>
  <c r="AE168" i="7"/>
  <c r="AD168" i="7"/>
  <c r="AC168" i="7"/>
  <c r="AB168" i="7"/>
  <c r="L168" i="7"/>
  <c r="H168" i="7"/>
  <c r="G168" i="7"/>
  <c r="AJ167" i="7"/>
  <c r="AL167" i="7" s="1"/>
  <c r="AK167" i="7" s="1"/>
  <c r="AF167" i="7"/>
  <c r="AE167" i="7"/>
  <c r="AD167" i="7"/>
  <c r="AC167" i="7"/>
  <c r="AB167" i="7"/>
  <c r="L167" i="7"/>
  <c r="H167" i="7"/>
  <c r="G167" i="7"/>
  <c r="AJ166" i="7"/>
  <c r="AL166" i="7" s="1"/>
  <c r="AF166" i="7"/>
  <c r="AE166" i="7"/>
  <c r="AD166" i="7"/>
  <c r="AC166" i="7"/>
  <c r="AB166" i="7"/>
  <c r="L166" i="7"/>
  <c r="H166" i="7"/>
  <c r="G166" i="7"/>
  <c r="AJ165" i="7"/>
  <c r="AL165" i="7" s="1"/>
  <c r="AF165" i="7"/>
  <c r="AE165" i="7"/>
  <c r="AD165" i="7"/>
  <c r="AC165" i="7"/>
  <c r="AB165" i="7"/>
  <c r="L165" i="7"/>
  <c r="H165" i="7"/>
  <c r="G165" i="7"/>
  <c r="AJ164" i="7"/>
  <c r="AL164" i="7" s="1"/>
  <c r="AF164" i="7"/>
  <c r="AE164" i="7"/>
  <c r="AD164" i="7"/>
  <c r="AC164" i="7"/>
  <c r="AB164" i="7"/>
  <c r="L164" i="7"/>
  <c r="H164" i="7"/>
  <c r="G164" i="7"/>
  <c r="AJ163" i="7"/>
  <c r="AL163" i="7" s="1"/>
  <c r="AK163" i="7" s="1"/>
  <c r="AF163" i="7"/>
  <c r="AE163" i="7"/>
  <c r="AD163" i="7"/>
  <c r="AC163" i="7"/>
  <c r="AB163" i="7"/>
  <c r="L163" i="7"/>
  <c r="H163" i="7"/>
  <c r="G163" i="7"/>
  <c r="AJ162" i="7"/>
  <c r="AL162" i="7" s="1"/>
  <c r="AK162" i="7" s="1"/>
  <c r="AF162" i="7"/>
  <c r="AE162" i="7"/>
  <c r="AD162" i="7"/>
  <c r="AC162" i="7"/>
  <c r="AB162" i="7"/>
  <c r="L162" i="7"/>
  <c r="H162" i="7"/>
  <c r="G162" i="7"/>
  <c r="AJ161" i="7"/>
  <c r="AL161" i="7" s="1"/>
  <c r="AF161" i="7"/>
  <c r="AE161" i="7"/>
  <c r="AD161" i="7"/>
  <c r="AC161" i="7"/>
  <c r="AB161" i="7"/>
  <c r="L161" i="7"/>
  <c r="H161" i="7"/>
  <c r="G161" i="7"/>
  <c r="AJ160" i="7"/>
  <c r="AL160" i="7" s="1"/>
  <c r="AK160" i="7" s="1"/>
  <c r="AF160" i="7"/>
  <c r="AE160" i="7"/>
  <c r="AD160" i="7"/>
  <c r="AC160" i="7"/>
  <c r="AB160" i="7"/>
  <c r="L160" i="7"/>
  <c r="H160" i="7"/>
  <c r="G160" i="7"/>
  <c r="AJ159" i="7"/>
  <c r="AL159" i="7" s="1"/>
  <c r="AG159" i="7" s="1"/>
  <c r="AF159" i="7"/>
  <c r="AE159" i="7"/>
  <c r="AD159" i="7"/>
  <c r="AC159" i="7"/>
  <c r="AB159" i="7"/>
  <c r="L159" i="7"/>
  <c r="H159" i="7"/>
  <c r="G159" i="7"/>
  <c r="AJ158" i="7"/>
  <c r="AL158" i="7" s="1"/>
  <c r="AK158" i="7" s="1"/>
  <c r="AF158" i="7"/>
  <c r="AE158" i="7"/>
  <c r="AD158" i="7"/>
  <c r="AC158" i="7"/>
  <c r="AB158" i="7"/>
  <c r="L158" i="7"/>
  <c r="H158" i="7"/>
  <c r="G158" i="7"/>
  <c r="AJ157" i="7"/>
  <c r="AL157" i="7" s="1"/>
  <c r="AF157" i="7"/>
  <c r="AE157" i="7"/>
  <c r="AD157" i="7"/>
  <c r="AC157" i="7"/>
  <c r="AB157" i="7"/>
  <c r="L157" i="7"/>
  <c r="H157" i="7"/>
  <c r="G157" i="7"/>
  <c r="AJ156" i="7"/>
  <c r="AL156" i="7" s="1"/>
  <c r="AF156" i="7"/>
  <c r="AE156" i="7"/>
  <c r="AD156" i="7"/>
  <c r="AC156" i="7"/>
  <c r="AB156" i="7"/>
  <c r="L156" i="7"/>
  <c r="H156" i="7"/>
  <c r="G156" i="7"/>
  <c r="AJ155" i="7"/>
  <c r="AL155" i="7" s="1"/>
  <c r="AG155" i="7" s="1"/>
  <c r="AF155" i="7"/>
  <c r="AE155" i="7"/>
  <c r="AD155" i="7"/>
  <c r="AC155" i="7"/>
  <c r="AB155" i="7"/>
  <c r="L155" i="7"/>
  <c r="H155" i="7"/>
  <c r="G155" i="7"/>
  <c r="AJ154" i="7"/>
  <c r="AL154" i="7" s="1"/>
  <c r="AK154" i="7" s="1"/>
  <c r="AF154" i="7"/>
  <c r="AE154" i="7"/>
  <c r="AD154" i="7"/>
  <c r="AC154" i="7"/>
  <c r="AB154" i="7"/>
  <c r="L154" i="7"/>
  <c r="H154" i="7"/>
  <c r="G154" i="7"/>
  <c r="AJ153" i="7"/>
  <c r="AL153" i="7" s="1"/>
  <c r="AF153" i="7"/>
  <c r="AE153" i="7"/>
  <c r="AD153" i="7"/>
  <c r="AC153" i="7"/>
  <c r="AB153" i="7"/>
  <c r="L153" i="7"/>
  <c r="H153" i="7"/>
  <c r="G153" i="7"/>
  <c r="AJ152" i="7"/>
  <c r="AL152" i="7" s="1"/>
  <c r="AK152" i="7" s="1"/>
  <c r="AF152" i="7"/>
  <c r="AE152" i="7"/>
  <c r="AD152" i="7"/>
  <c r="AC152" i="7"/>
  <c r="AB152" i="7"/>
  <c r="L152" i="7"/>
  <c r="H152" i="7"/>
  <c r="G152" i="7"/>
  <c r="AJ151" i="7"/>
  <c r="AL151" i="7" s="1"/>
  <c r="AF151" i="7"/>
  <c r="AE151" i="7"/>
  <c r="AD151" i="7"/>
  <c r="AC151" i="7"/>
  <c r="AB151" i="7"/>
  <c r="L151" i="7"/>
  <c r="H151" i="7"/>
  <c r="G151" i="7"/>
  <c r="AJ150" i="7"/>
  <c r="AL150" i="7" s="1"/>
  <c r="AF150" i="7"/>
  <c r="AE150" i="7"/>
  <c r="AD150" i="7"/>
  <c r="AC150" i="7"/>
  <c r="AB150" i="7"/>
  <c r="L150" i="7"/>
  <c r="H150" i="7"/>
  <c r="G150" i="7"/>
  <c r="AJ149" i="7"/>
  <c r="AL149" i="7" s="1"/>
  <c r="AF149" i="7"/>
  <c r="AE149" i="7"/>
  <c r="AD149" i="7"/>
  <c r="AC149" i="7"/>
  <c r="AB149" i="7"/>
  <c r="L149" i="7"/>
  <c r="H149" i="7"/>
  <c r="G149" i="7"/>
  <c r="AJ148" i="7"/>
  <c r="AL148" i="7" s="1"/>
  <c r="AF148" i="7"/>
  <c r="AE148" i="7"/>
  <c r="AD148" i="7"/>
  <c r="AC148" i="7"/>
  <c r="AB148" i="7"/>
  <c r="L148" i="7"/>
  <c r="H148" i="7"/>
  <c r="G148" i="7"/>
  <c r="AJ147" i="7"/>
  <c r="AL147" i="7" s="1"/>
  <c r="AK147" i="7" s="1"/>
  <c r="AF147" i="7"/>
  <c r="AE147" i="7"/>
  <c r="AD147" i="7"/>
  <c r="AC147" i="7"/>
  <c r="AB147" i="7"/>
  <c r="L147" i="7"/>
  <c r="H147" i="7"/>
  <c r="G147" i="7"/>
  <c r="AJ146" i="7"/>
  <c r="AL146" i="7" s="1"/>
  <c r="AF146" i="7"/>
  <c r="AE146" i="7"/>
  <c r="AD146" i="7"/>
  <c r="AC146" i="7"/>
  <c r="AB146" i="7"/>
  <c r="L146" i="7"/>
  <c r="H146" i="7"/>
  <c r="G146" i="7"/>
  <c r="AJ145" i="7"/>
  <c r="AL145" i="7" s="1"/>
  <c r="AF145" i="7"/>
  <c r="AE145" i="7"/>
  <c r="AD145" i="7"/>
  <c r="AC145" i="7"/>
  <c r="AB145" i="7"/>
  <c r="L145" i="7"/>
  <c r="H145" i="7"/>
  <c r="G145" i="7"/>
  <c r="AJ144" i="7"/>
  <c r="AL144" i="7" s="1"/>
  <c r="AF144" i="7"/>
  <c r="AE144" i="7"/>
  <c r="AD144" i="7"/>
  <c r="AC144" i="7"/>
  <c r="AB144" i="7"/>
  <c r="L144" i="7"/>
  <c r="H144" i="7"/>
  <c r="G144" i="7"/>
  <c r="AJ143" i="7"/>
  <c r="AL143" i="7" s="1"/>
  <c r="AF143" i="7"/>
  <c r="AE143" i="7"/>
  <c r="AD143" i="7"/>
  <c r="AC143" i="7"/>
  <c r="AB143" i="7"/>
  <c r="L143" i="7"/>
  <c r="H143" i="7"/>
  <c r="G143" i="7"/>
  <c r="AJ142" i="7"/>
  <c r="AL142" i="7" s="1"/>
  <c r="AF142" i="7"/>
  <c r="AE142" i="7"/>
  <c r="AD142" i="7"/>
  <c r="AC142" i="7"/>
  <c r="AB142" i="7"/>
  <c r="L142" i="7"/>
  <c r="H142" i="7"/>
  <c r="G142" i="7"/>
  <c r="AJ141" i="7"/>
  <c r="AL141" i="7" s="1"/>
  <c r="AF141" i="7"/>
  <c r="AE141" i="7"/>
  <c r="AD141" i="7"/>
  <c r="AC141" i="7"/>
  <c r="AB141" i="7"/>
  <c r="L141" i="7"/>
  <c r="H141" i="7"/>
  <c r="G141" i="7"/>
  <c r="AJ140" i="7"/>
  <c r="AL140" i="7" s="1"/>
  <c r="AF140" i="7"/>
  <c r="AE140" i="7"/>
  <c r="AD140" i="7"/>
  <c r="AC140" i="7"/>
  <c r="AB140" i="7"/>
  <c r="L140" i="7"/>
  <c r="H140" i="7"/>
  <c r="G140" i="7"/>
  <c r="AJ139" i="7"/>
  <c r="AL139" i="7" s="1"/>
  <c r="AF139" i="7"/>
  <c r="AE139" i="7"/>
  <c r="AD139" i="7"/>
  <c r="AC139" i="7"/>
  <c r="AB139" i="7"/>
  <c r="L139" i="7"/>
  <c r="H139" i="7"/>
  <c r="G139" i="7"/>
  <c r="AJ138" i="7"/>
  <c r="AL138" i="7" s="1"/>
  <c r="AK138" i="7" s="1"/>
  <c r="AF138" i="7"/>
  <c r="AE138" i="7"/>
  <c r="AD138" i="7"/>
  <c r="AC138" i="7"/>
  <c r="AB138" i="7"/>
  <c r="L138" i="7"/>
  <c r="H138" i="7"/>
  <c r="G138" i="7"/>
  <c r="AJ137" i="7"/>
  <c r="AL137" i="7" s="1"/>
  <c r="AF137" i="7"/>
  <c r="AE137" i="7"/>
  <c r="AD137" i="7"/>
  <c r="AC137" i="7"/>
  <c r="AB137" i="7"/>
  <c r="L137" i="7"/>
  <c r="H137" i="7"/>
  <c r="G137" i="7"/>
  <c r="AJ136" i="7"/>
  <c r="AL136" i="7" s="1"/>
  <c r="AG136" i="7" s="1"/>
  <c r="AF136" i="7"/>
  <c r="AE136" i="7"/>
  <c r="AD136" i="7"/>
  <c r="AC136" i="7"/>
  <c r="AB136" i="7"/>
  <c r="L136" i="7"/>
  <c r="H136" i="7"/>
  <c r="G136" i="7"/>
  <c r="AJ135" i="7"/>
  <c r="AL135" i="7" s="1"/>
  <c r="AG135" i="7" s="1"/>
  <c r="AF135" i="7"/>
  <c r="AE135" i="7"/>
  <c r="AD135" i="7"/>
  <c r="AC135" i="7"/>
  <c r="AB135" i="7"/>
  <c r="L135" i="7"/>
  <c r="H135" i="7"/>
  <c r="G135" i="7"/>
  <c r="AJ134" i="7"/>
  <c r="AL134" i="7" s="1"/>
  <c r="AK134" i="7" s="1"/>
  <c r="AF134" i="7"/>
  <c r="AE134" i="7"/>
  <c r="AD134" i="7"/>
  <c r="AC134" i="7"/>
  <c r="AB134" i="7"/>
  <c r="L134" i="7"/>
  <c r="H134" i="7"/>
  <c r="G134" i="7"/>
  <c r="AJ133" i="7"/>
  <c r="AL133" i="7" s="1"/>
  <c r="AF133" i="7"/>
  <c r="AE133" i="7"/>
  <c r="AD133" i="7"/>
  <c r="AC133" i="7"/>
  <c r="AB133" i="7"/>
  <c r="L133" i="7"/>
  <c r="H133" i="7"/>
  <c r="G133" i="7"/>
  <c r="AJ132" i="7"/>
  <c r="AL132" i="7" s="1"/>
  <c r="AK132" i="7" s="1"/>
  <c r="AF132" i="7"/>
  <c r="AE132" i="7"/>
  <c r="AD132" i="7"/>
  <c r="AC132" i="7"/>
  <c r="AB132" i="7"/>
  <c r="L132" i="7"/>
  <c r="H132" i="7"/>
  <c r="G132" i="7"/>
  <c r="AJ131" i="7"/>
  <c r="AL131" i="7" s="1"/>
  <c r="AK131" i="7" s="1"/>
  <c r="AF131" i="7"/>
  <c r="AE131" i="7"/>
  <c r="AD131" i="7"/>
  <c r="AC131" i="7"/>
  <c r="AB131" i="7"/>
  <c r="L131" i="7"/>
  <c r="H131" i="7"/>
  <c r="G131" i="7"/>
  <c r="AJ130" i="7"/>
  <c r="AL130" i="7" s="1"/>
  <c r="AK130" i="7" s="1"/>
  <c r="AF130" i="7"/>
  <c r="AE130" i="7"/>
  <c r="AD130" i="7"/>
  <c r="AC130" i="7"/>
  <c r="AB130" i="7"/>
  <c r="L130" i="7"/>
  <c r="H130" i="7"/>
  <c r="G130" i="7"/>
  <c r="AJ129" i="7"/>
  <c r="AL129" i="7" s="1"/>
  <c r="AF129" i="7"/>
  <c r="AE129" i="7"/>
  <c r="AD129" i="7"/>
  <c r="AC129" i="7"/>
  <c r="AB129" i="7"/>
  <c r="L129" i="7"/>
  <c r="H129" i="7"/>
  <c r="G129" i="7"/>
  <c r="AJ128" i="7"/>
  <c r="AL128" i="7" s="1"/>
  <c r="AF128" i="7"/>
  <c r="AE128" i="7"/>
  <c r="AD128" i="7"/>
  <c r="AC128" i="7"/>
  <c r="AB128" i="7"/>
  <c r="L128" i="7"/>
  <c r="H128" i="7"/>
  <c r="G128" i="7"/>
  <c r="AJ127" i="7"/>
  <c r="AL127" i="7" s="1"/>
  <c r="AF127" i="7"/>
  <c r="AE127" i="7"/>
  <c r="AD127" i="7"/>
  <c r="AC127" i="7"/>
  <c r="AB127" i="7"/>
  <c r="L127" i="7"/>
  <c r="H127" i="7"/>
  <c r="G127" i="7"/>
  <c r="AJ126" i="7"/>
  <c r="AL126" i="7" s="1"/>
  <c r="AF126" i="7"/>
  <c r="AE126" i="7"/>
  <c r="AD126" i="7"/>
  <c r="AC126" i="7"/>
  <c r="AB126" i="7"/>
  <c r="L126" i="7"/>
  <c r="H126" i="7"/>
  <c r="G126" i="7"/>
  <c r="AJ125" i="7"/>
  <c r="AL125" i="7" s="1"/>
  <c r="AK125" i="7" s="1"/>
  <c r="AF125" i="7"/>
  <c r="AE125" i="7"/>
  <c r="AD125" i="7"/>
  <c r="AC125" i="7"/>
  <c r="AB125" i="7"/>
  <c r="L125" i="7"/>
  <c r="H125" i="7"/>
  <c r="G125" i="7"/>
  <c r="AJ124" i="7"/>
  <c r="AL124" i="7" s="1"/>
  <c r="AF124" i="7"/>
  <c r="AE124" i="7"/>
  <c r="AD124" i="7"/>
  <c r="AC124" i="7"/>
  <c r="AB124" i="7"/>
  <c r="L124" i="7"/>
  <c r="H124" i="7"/>
  <c r="G124" i="7"/>
  <c r="AJ123" i="7"/>
  <c r="AL123" i="7" s="1"/>
  <c r="AF123" i="7"/>
  <c r="AE123" i="7"/>
  <c r="AD123" i="7"/>
  <c r="AC123" i="7"/>
  <c r="AB123" i="7"/>
  <c r="L123" i="7"/>
  <c r="H123" i="7"/>
  <c r="G123" i="7"/>
  <c r="AJ122" i="7"/>
  <c r="AL122" i="7" s="1"/>
  <c r="AG122" i="7" s="1"/>
  <c r="AF122" i="7"/>
  <c r="AE122" i="7"/>
  <c r="AD122" i="7"/>
  <c r="AC122" i="7"/>
  <c r="AB122" i="7"/>
  <c r="L122" i="7"/>
  <c r="H122" i="7"/>
  <c r="G122" i="7"/>
  <c r="AJ121" i="7"/>
  <c r="AL121" i="7" s="1"/>
  <c r="AF121" i="7"/>
  <c r="AE121" i="7"/>
  <c r="AD121" i="7"/>
  <c r="AC121" i="7"/>
  <c r="AB121" i="7"/>
  <c r="L121" i="7"/>
  <c r="H121" i="7"/>
  <c r="G121" i="7"/>
  <c r="AJ120" i="7"/>
  <c r="AL120" i="7" s="1"/>
  <c r="AF120" i="7"/>
  <c r="AE120" i="7"/>
  <c r="AD120" i="7"/>
  <c r="AC120" i="7"/>
  <c r="AB120" i="7"/>
  <c r="L120" i="7"/>
  <c r="H120" i="7"/>
  <c r="G120" i="7"/>
  <c r="AJ119" i="7"/>
  <c r="AL119" i="7" s="1"/>
  <c r="AF119" i="7"/>
  <c r="AE119" i="7"/>
  <c r="AD119" i="7"/>
  <c r="AC119" i="7"/>
  <c r="AB119" i="7"/>
  <c r="L119" i="7"/>
  <c r="H119" i="7"/>
  <c r="G119" i="7"/>
  <c r="AJ118" i="7"/>
  <c r="AL118" i="7" s="1"/>
  <c r="AF118" i="7"/>
  <c r="AE118" i="7"/>
  <c r="AD118" i="7"/>
  <c r="AC118" i="7"/>
  <c r="AB118" i="7"/>
  <c r="L118" i="7"/>
  <c r="H118" i="7"/>
  <c r="G118" i="7"/>
  <c r="AJ117" i="7"/>
  <c r="AL117" i="7" s="1"/>
  <c r="AF117" i="7"/>
  <c r="AE117" i="7"/>
  <c r="AD117" i="7"/>
  <c r="AC117" i="7"/>
  <c r="AB117" i="7"/>
  <c r="L117" i="7"/>
  <c r="H117" i="7"/>
  <c r="G117" i="7"/>
  <c r="AJ116" i="7"/>
  <c r="AL116" i="7" s="1"/>
  <c r="AF116" i="7"/>
  <c r="AE116" i="7"/>
  <c r="AD116" i="7"/>
  <c r="AC116" i="7"/>
  <c r="AB116" i="7"/>
  <c r="L116" i="7"/>
  <c r="H116" i="7"/>
  <c r="G116" i="7"/>
  <c r="AJ115" i="7"/>
  <c r="AL115" i="7" s="1"/>
  <c r="AG115" i="7" s="1"/>
  <c r="AF115" i="7"/>
  <c r="AE115" i="7"/>
  <c r="AD115" i="7"/>
  <c r="AC115" i="7"/>
  <c r="AB115" i="7"/>
  <c r="L115" i="7"/>
  <c r="H115" i="7"/>
  <c r="G115" i="7"/>
  <c r="AJ114" i="7"/>
  <c r="AL114" i="7" s="1"/>
  <c r="AF114" i="7"/>
  <c r="AE114" i="7"/>
  <c r="AD114" i="7"/>
  <c r="AC114" i="7"/>
  <c r="AB114" i="7"/>
  <c r="L114" i="7"/>
  <c r="H114" i="7"/>
  <c r="G114" i="7"/>
  <c r="AJ113" i="7"/>
  <c r="AL113" i="7" s="1"/>
  <c r="AF113" i="7"/>
  <c r="AE113" i="7"/>
  <c r="AD113" i="7"/>
  <c r="AC113" i="7"/>
  <c r="AB113" i="7"/>
  <c r="L113" i="7"/>
  <c r="H113" i="7"/>
  <c r="G113" i="7"/>
  <c r="AJ112" i="7"/>
  <c r="AL112" i="7" s="1"/>
  <c r="AK112" i="7" s="1"/>
  <c r="AF112" i="7"/>
  <c r="AE112" i="7"/>
  <c r="AD112" i="7"/>
  <c r="AC112" i="7"/>
  <c r="AB112" i="7"/>
  <c r="L112" i="7"/>
  <c r="H112" i="7"/>
  <c r="G112" i="7"/>
  <c r="AJ111" i="7"/>
  <c r="AL111" i="7" s="1"/>
  <c r="AF111" i="7"/>
  <c r="AE111" i="7"/>
  <c r="AD111" i="7"/>
  <c r="AC111" i="7"/>
  <c r="AB111" i="7"/>
  <c r="L111" i="7"/>
  <c r="H111" i="7"/>
  <c r="G111" i="7"/>
  <c r="AJ110" i="7"/>
  <c r="AL110" i="7" s="1"/>
  <c r="AF110" i="7"/>
  <c r="AE110" i="7"/>
  <c r="AD110" i="7"/>
  <c r="AC110" i="7"/>
  <c r="AB110" i="7"/>
  <c r="L110" i="7"/>
  <c r="H110" i="7"/>
  <c r="G110" i="7"/>
  <c r="AJ109" i="7"/>
  <c r="AL109" i="7" s="1"/>
  <c r="AF109" i="7"/>
  <c r="AE109" i="7"/>
  <c r="AD109" i="7"/>
  <c r="AC109" i="7"/>
  <c r="AB109" i="7"/>
  <c r="L109" i="7"/>
  <c r="H109" i="7"/>
  <c r="G109" i="7"/>
  <c r="AJ108" i="7"/>
  <c r="AL108" i="7" s="1"/>
  <c r="AG108" i="7" s="1"/>
  <c r="AF108" i="7"/>
  <c r="AE108" i="7"/>
  <c r="AD108" i="7"/>
  <c r="AC108" i="7"/>
  <c r="AB108" i="7"/>
  <c r="L108" i="7"/>
  <c r="H108" i="7"/>
  <c r="G108" i="7"/>
  <c r="AJ107" i="7"/>
  <c r="AL107" i="7" s="1"/>
  <c r="AF107" i="7"/>
  <c r="AE107" i="7"/>
  <c r="AD107" i="7"/>
  <c r="AC107" i="7"/>
  <c r="AB107" i="7"/>
  <c r="L107" i="7"/>
  <c r="H107" i="7"/>
  <c r="G107" i="7"/>
  <c r="AJ106" i="7"/>
  <c r="AL106" i="7" s="1"/>
  <c r="AG106" i="7" s="1"/>
  <c r="AF106" i="7"/>
  <c r="AE106" i="7"/>
  <c r="AD106" i="7"/>
  <c r="AC106" i="7"/>
  <c r="AB106" i="7"/>
  <c r="L106" i="7"/>
  <c r="H106" i="7"/>
  <c r="G106" i="7"/>
  <c r="AJ105" i="7"/>
  <c r="AL105" i="7" s="1"/>
  <c r="AK105" i="7" s="1"/>
  <c r="AF105" i="7"/>
  <c r="AE105" i="7"/>
  <c r="AD105" i="7"/>
  <c r="AC105" i="7"/>
  <c r="AB105" i="7"/>
  <c r="L105" i="7"/>
  <c r="H105" i="7"/>
  <c r="G105" i="7"/>
  <c r="AJ104" i="7"/>
  <c r="AL104" i="7" s="1"/>
  <c r="AG104" i="7" s="1"/>
  <c r="AF104" i="7"/>
  <c r="AE104" i="7"/>
  <c r="AD104" i="7"/>
  <c r="AC104" i="7"/>
  <c r="AB104" i="7"/>
  <c r="L104" i="7"/>
  <c r="H104" i="7"/>
  <c r="G104" i="7"/>
  <c r="AJ103" i="7"/>
  <c r="AL103" i="7" s="1"/>
  <c r="AF103" i="7"/>
  <c r="AE103" i="7"/>
  <c r="AD103" i="7"/>
  <c r="AC103" i="7"/>
  <c r="AB103" i="7"/>
  <c r="L103" i="7"/>
  <c r="H103" i="7"/>
  <c r="G103" i="7"/>
  <c r="AJ102" i="7"/>
  <c r="AL102" i="7" s="1"/>
  <c r="AK102" i="7" s="1"/>
  <c r="AF102" i="7"/>
  <c r="AE102" i="7"/>
  <c r="AD102" i="7"/>
  <c r="AC102" i="7"/>
  <c r="AB102" i="7"/>
  <c r="L102" i="7"/>
  <c r="H102" i="7"/>
  <c r="G102" i="7"/>
  <c r="AJ101" i="7"/>
  <c r="AL101" i="7" s="1"/>
  <c r="AF101" i="7"/>
  <c r="AE101" i="7"/>
  <c r="AD101" i="7"/>
  <c r="AC101" i="7"/>
  <c r="AB101" i="7"/>
  <c r="L101" i="7"/>
  <c r="H101" i="7"/>
  <c r="G101" i="7"/>
  <c r="AJ100" i="7"/>
  <c r="AL100" i="7" s="1"/>
  <c r="AF100" i="7"/>
  <c r="AE100" i="7"/>
  <c r="AD100" i="7"/>
  <c r="AC100" i="7"/>
  <c r="AB100" i="7"/>
  <c r="L100" i="7"/>
  <c r="H100" i="7"/>
  <c r="G100" i="7"/>
  <c r="AJ99" i="7"/>
  <c r="AL99" i="7" s="1"/>
  <c r="AG99" i="7" s="1"/>
  <c r="AF99" i="7"/>
  <c r="AE99" i="7"/>
  <c r="AD99" i="7"/>
  <c r="AC99" i="7"/>
  <c r="AB99" i="7"/>
  <c r="L99" i="7"/>
  <c r="H99" i="7"/>
  <c r="G99" i="7"/>
  <c r="AJ98" i="7"/>
  <c r="AL98" i="7" s="1"/>
  <c r="AK98" i="7" s="1"/>
  <c r="AF98" i="7"/>
  <c r="AE98" i="7"/>
  <c r="AD98" i="7"/>
  <c r="AC98" i="7"/>
  <c r="AB98" i="7"/>
  <c r="L98" i="7"/>
  <c r="H98" i="7"/>
  <c r="G98" i="7"/>
  <c r="AJ97" i="7"/>
  <c r="AL97" i="7" s="1"/>
  <c r="AF97" i="7"/>
  <c r="AE97" i="7"/>
  <c r="AD97" i="7"/>
  <c r="AC97" i="7"/>
  <c r="AB97" i="7"/>
  <c r="L97" i="7"/>
  <c r="H97" i="7"/>
  <c r="G97" i="7"/>
  <c r="AJ96" i="7"/>
  <c r="AL96" i="7" s="1"/>
  <c r="AF96" i="7"/>
  <c r="AE96" i="7"/>
  <c r="AD96" i="7"/>
  <c r="AC96" i="7"/>
  <c r="AB96" i="7"/>
  <c r="L96" i="7"/>
  <c r="H96" i="7"/>
  <c r="G96" i="7"/>
  <c r="AJ95" i="7"/>
  <c r="AL95" i="7" s="1"/>
  <c r="AF95" i="7"/>
  <c r="AE95" i="7"/>
  <c r="AD95" i="7"/>
  <c r="AC95" i="7"/>
  <c r="AB95" i="7"/>
  <c r="L95" i="7"/>
  <c r="H95" i="7"/>
  <c r="G95" i="7"/>
  <c r="AJ94" i="7"/>
  <c r="AL94" i="7" s="1"/>
  <c r="AK94" i="7" s="1"/>
  <c r="AF94" i="7"/>
  <c r="AE94" i="7"/>
  <c r="AD94" i="7"/>
  <c r="AC94" i="7"/>
  <c r="AB94" i="7"/>
  <c r="L94" i="7"/>
  <c r="H94" i="7"/>
  <c r="G94" i="7"/>
  <c r="AJ93" i="7"/>
  <c r="AL93" i="7" s="1"/>
  <c r="AF93" i="7"/>
  <c r="AE93" i="7"/>
  <c r="AD93" i="7"/>
  <c r="AC93" i="7"/>
  <c r="AB93" i="7"/>
  <c r="L93" i="7"/>
  <c r="H93" i="7"/>
  <c r="G93" i="7"/>
  <c r="AJ92" i="7"/>
  <c r="AL92" i="7" s="1"/>
  <c r="AG92" i="7" s="1"/>
  <c r="AF92" i="7"/>
  <c r="AE92" i="7"/>
  <c r="AD92" i="7"/>
  <c r="AC92" i="7"/>
  <c r="AB92" i="7"/>
  <c r="L92" i="7"/>
  <c r="H92" i="7"/>
  <c r="G92" i="7"/>
  <c r="AJ91" i="7"/>
  <c r="AL91" i="7" s="1"/>
  <c r="AG91" i="7" s="1"/>
  <c r="AF91" i="7"/>
  <c r="AE91" i="7"/>
  <c r="AD91" i="7"/>
  <c r="AC91" i="7"/>
  <c r="AB91" i="7"/>
  <c r="L91" i="7"/>
  <c r="H91" i="7"/>
  <c r="G91" i="7"/>
  <c r="AJ90" i="7"/>
  <c r="AL90" i="7" s="1"/>
  <c r="AF90" i="7"/>
  <c r="AE90" i="7"/>
  <c r="AD90" i="7"/>
  <c r="AC90" i="7"/>
  <c r="AB90" i="7"/>
  <c r="L90" i="7"/>
  <c r="H90" i="7"/>
  <c r="G90" i="7"/>
  <c r="AJ89" i="7"/>
  <c r="AL89" i="7" s="1"/>
  <c r="AF89" i="7"/>
  <c r="AE89" i="7"/>
  <c r="AD89" i="7"/>
  <c r="AC89" i="7"/>
  <c r="AB89" i="7"/>
  <c r="L89" i="7"/>
  <c r="H89" i="7"/>
  <c r="G89" i="7"/>
  <c r="AJ88" i="7"/>
  <c r="AL88" i="7" s="1"/>
  <c r="AG88" i="7" s="1"/>
  <c r="AF88" i="7"/>
  <c r="AE88" i="7"/>
  <c r="AD88" i="7"/>
  <c r="AC88" i="7"/>
  <c r="AB88" i="7"/>
  <c r="L88" i="7"/>
  <c r="H88" i="7"/>
  <c r="G88" i="7"/>
  <c r="AJ87" i="7"/>
  <c r="AL87" i="7" s="1"/>
  <c r="AF87" i="7"/>
  <c r="AE87" i="7"/>
  <c r="AD87" i="7"/>
  <c r="AC87" i="7"/>
  <c r="AB87" i="7"/>
  <c r="L87" i="7"/>
  <c r="H87" i="7"/>
  <c r="G87" i="7"/>
  <c r="AJ86" i="7"/>
  <c r="AL86" i="7" s="1"/>
  <c r="AK86" i="7" s="1"/>
  <c r="AF86" i="7"/>
  <c r="AE86" i="7"/>
  <c r="AD86" i="7"/>
  <c r="AC86" i="7"/>
  <c r="AB86" i="7"/>
  <c r="L86" i="7"/>
  <c r="H86" i="7"/>
  <c r="G86" i="7"/>
  <c r="AJ85" i="7"/>
  <c r="AL85" i="7" s="1"/>
  <c r="AF85" i="7"/>
  <c r="AE85" i="7"/>
  <c r="AD85" i="7"/>
  <c r="AC85" i="7"/>
  <c r="AB85" i="7"/>
  <c r="L85" i="7"/>
  <c r="H85" i="7"/>
  <c r="G85" i="7"/>
  <c r="AI84" i="7"/>
  <c r="AB84" i="7" s="1"/>
  <c r="L84" i="7"/>
  <c r="G84" i="7"/>
  <c r="AI83" i="7"/>
  <c r="L83" i="7"/>
  <c r="G83" i="7"/>
  <c r="AI82" i="7"/>
  <c r="AJ82" i="7" s="1"/>
  <c r="AL82" i="7" s="1"/>
  <c r="L82" i="7"/>
  <c r="G82" i="7"/>
  <c r="AI81" i="7"/>
  <c r="AJ81" i="7" s="1"/>
  <c r="AL81" i="7" s="1"/>
  <c r="L81" i="7"/>
  <c r="G81" i="7"/>
  <c r="AI80" i="7"/>
  <c r="AF80" i="7" s="1"/>
  <c r="L80" i="7"/>
  <c r="G80" i="7"/>
  <c r="AI79" i="7"/>
  <c r="AC79" i="7" s="1"/>
  <c r="L79" i="7"/>
  <c r="G79" i="7"/>
  <c r="AI78" i="7"/>
  <c r="AE78" i="7" s="1"/>
  <c r="L78" i="7"/>
  <c r="G78" i="7"/>
  <c r="AI77" i="7"/>
  <c r="L77" i="7"/>
  <c r="G77" i="7"/>
  <c r="AI76" i="7"/>
  <c r="L76" i="7"/>
  <c r="G76" i="7"/>
  <c r="AI75" i="7"/>
  <c r="AJ75" i="7" s="1"/>
  <c r="AL75" i="7" s="1"/>
  <c r="AG75" i="7" s="1"/>
  <c r="L75" i="7"/>
  <c r="G75" i="7"/>
  <c r="AI74" i="7"/>
  <c r="L74" i="7"/>
  <c r="AI73" i="7"/>
  <c r="L73" i="7"/>
  <c r="AI72" i="7"/>
  <c r="L72" i="7"/>
  <c r="AI71" i="7"/>
  <c r="AJ71" i="7" s="1"/>
  <c r="AL71" i="7" s="1"/>
  <c r="L71" i="7"/>
  <c r="L70" i="7"/>
  <c r="AI69" i="7"/>
  <c r="AJ69" i="7" s="1"/>
  <c r="AL69" i="7" s="1"/>
  <c r="L69" i="7"/>
  <c r="L68" i="7"/>
  <c r="L67" i="7"/>
  <c r="AI66" i="7"/>
  <c r="L66" i="7"/>
  <c r="AI65" i="7"/>
  <c r="AJ65" i="7" s="1"/>
  <c r="AL65" i="7" s="1"/>
  <c r="L65" i="7"/>
  <c r="AI64" i="7"/>
  <c r="AJ64" i="7" s="1"/>
  <c r="AL64" i="7" s="1"/>
  <c r="AK64" i="7" s="1"/>
  <c r="L64" i="7"/>
  <c r="AI63" i="7"/>
  <c r="L63" i="7"/>
  <c r="AI62" i="7"/>
  <c r="L62" i="7"/>
  <c r="AI61" i="7"/>
  <c r="AJ61" i="7" s="1"/>
  <c r="AL61" i="7" s="1"/>
  <c r="L61" i="7"/>
  <c r="AI60" i="7"/>
  <c r="AJ60" i="7" s="1"/>
  <c r="AL60" i="7" s="1"/>
  <c r="AK60" i="7" s="1"/>
  <c r="L60" i="7"/>
  <c r="AI59" i="7"/>
  <c r="L59" i="7"/>
  <c r="L58" i="7"/>
  <c r="L57" i="7"/>
  <c r="L56" i="7"/>
  <c r="L55" i="7"/>
  <c r="L54" i="7"/>
  <c r="L53" i="7"/>
  <c r="L52" i="7"/>
  <c r="AI51" i="7"/>
  <c r="L51" i="7"/>
  <c r="AI50" i="7"/>
  <c r="L50" i="7"/>
  <c r="AI49" i="7"/>
  <c r="L49" i="7"/>
  <c r="AI48" i="7"/>
  <c r="AJ48" i="7" s="1"/>
  <c r="AL48" i="7" s="1"/>
  <c r="L48" i="7"/>
  <c r="AI47" i="7"/>
  <c r="L47" i="7"/>
  <c r="AI46" i="7"/>
  <c r="AJ46" i="7" s="1"/>
  <c r="AL46" i="7" s="1"/>
  <c r="L46" i="7"/>
  <c r="AI45" i="7"/>
  <c r="AJ45" i="7" s="1"/>
  <c r="AL45" i="7" s="1"/>
  <c r="L45" i="7"/>
  <c r="AI44" i="7"/>
  <c r="AJ44" i="7" s="1"/>
  <c r="AL44" i="7" s="1"/>
  <c r="L44" i="7"/>
  <c r="AI43" i="7"/>
  <c r="AJ43" i="7" s="1"/>
  <c r="AL43" i="7" s="1"/>
  <c r="L43" i="7"/>
  <c r="AI42" i="7"/>
  <c r="L42" i="7"/>
  <c r="L41" i="7"/>
  <c r="AI40" i="7"/>
  <c r="L40" i="7"/>
  <c r="AI39" i="7"/>
  <c r="AJ39" i="7" s="1"/>
  <c r="AL39" i="7" s="1"/>
  <c r="L39" i="7"/>
  <c r="AI38" i="7"/>
  <c r="AJ38" i="7" s="1"/>
  <c r="AL38" i="7" s="1"/>
  <c r="L38" i="7"/>
  <c r="AI37" i="7"/>
  <c r="AJ37" i="7" s="1"/>
  <c r="AL37" i="7" s="1"/>
  <c r="L37" i="7"/>
  <c r="AI36" i="7"/>
  <c r="AJ36" i="7" s="1"/>
  <c r="AL36" i="7" s="1"/>
  <c r="L36" i="7"/>
  <c r="AI35" i="7"/>
  <c r="AJ35" i="7" s="1"/>
  <c r="AL35" i="7" s="1"/>
  <c r="L35" i="7"/>
  <c r="AI34" i="7"/>
  <c r="L34" i="7"/>
  <c r="AI33" i="7"/>
  <c r="L33" i="7"/>
  <c r="AI32" i="7"/>
  <c r="AJ32" i="7" s="1"/>
  <c r="AL32" i="7" s="1"/>
  <c r="L32" i="7"/>
  <c r="L31" i="7"/>
  <c r="AI30" i="7"/>
  <c r="AJ30" i="7" s="1"/>
  <c r="AL30" i="7" s="1"/>
  <c r="L30" i="7"/>
  <c r="AI29" i="7"/>
  <c r="AJ29" i="7" s="1"/>
  <c r="AL29" i="7" s="1"/>
  <c r="L29" i="7"/>
  <c r="AI28" i="7"/>
  <c r="AJ28" i="7" s="1"/>
  <c r="AL28" i="7" s="1"/>
  <c r="L28" i="7"/>
  <c r="AI27" i="7"/>
  <c r="AJ27" i="7" s="1"/>
  <c r="AL27" i="7" s="1"/>
  <c r="AK27" i="7" s="1"/>
  <c r="L27" i="7"/>
  <c r="AI26" i="7"/>
  <c r="AJ26" i="7" s="1"/>
  <c r="AL26" i="7" s="1"/>
  <c r="L26" i="7"/>
  <c r="AI25" i="7"/>
  <c r="L25" i="7"/>
  <c r="AI24" i="7"/>
  <c r="L24" i="7"/>
  <c r="AI23" i="7"/>
  <c r="AJ23" i="7" s="1"/>
  <c r="AL23" i="7" s="1"/>
  <c r="O23" i="7"/>
  <c r="T23" i="7" s="1"/>
  <c r="L23" i="7"/>
  <c r="AI22" i="7"/>
  <c r="AJ22" i="7" s="1"/>
  <c r="AL22" i="7" s="1"/>
  <c r="L22" i="7"/>
  <c r="AI21" i="7"/>
  <c r="AJ21" i="7" s="1"/>
  <c r="AL21" i="7" s="1"/>
  <c r="AG21" i="7" s="1"/>
  <c r="L21" i="7"/>
  <c r="AI20" i="7"/>
  <c r="L20" i="7"/>
  <c r="AI19" i="7"/>
  <c r="AJ19" i="7" s="1"/>
  <c r="AL19" i="7" s="1"/>
  <c r="L19" i="7"/>
  <c r="AI18" i="7"/>
  <c r="AJ18" i="7" s="1"/>
  <c r="AL18" i="7" s="1"/>
  <c r="L18" i="7"/>
  <c r="AI17" i="7"/>
  <c r="AJ17" i="7" s="1"/>
  <c r="AL17" i="7" s="1"/>
  <c r="AK17" i="7" s="1"/>
  <c r="L17" i="7"/>
  <c r="L16" i="7"/>
  <c r="L15" i="7"/>
  <c r="AI14" i="7"/>
  <c r="AJ14" i="7" s="1"/>
  <c r="AL14" i="7" s="1"/>
  <c r="L14" i="7"/>
  <c r="L13" i="7"/>
  <c r="AI12" i="7"/>
  <c r="AJ12" i="7" s="1"/>
  <c r="AL12" i="7" s="1"/>
  <c r="AG12" i="7" s="1"/>
  <c r="L12" i="7"/>
  <c r="L11" i="7"/>
  <c r="AI10" i="7"/>
  <c r="L10" i="7"/>
  <c r="AI9" i="7"/>
  <c r="L9" i="7"/>
  <c r="AI8" i="7"/>
  <c r="AJ8" i="7" s="1"/>
  <c r="AL8" i="7" s="1"/>
  <c r="AG8" i="7" s="1"/>
  <c r="L8" i="7"/>
  <c r="L7" i="7"/>
  <c r="AI6" i="7"/>
  <c r="AJ6" i="7" s="1"/>
  <c r="AL6" i="7" s="1"/>
  <c r="L6" i="7"/>
  <c r="B3" i="7"/>
  <c r="B1" i="7"/>
  <c r="E7" i="1"/>
  <c r="B2" i="158" s="1"/>
  <c r="L3" i="63"/>
  <c r="G3" i="63"/>
  <c r="C3" i="63"/>
  <c r="L1" i="63"/>
  <c r="C1" i="63"/>
  <c r="B46" i="155"/>
  <c r="L39" i="3" l="1"/>
  <c r="M39" i="3" s="1"/>
  <c r="O39" i="3" s="1"/>
  <c r="L38" i="3"/>
  <c r="M38" i="3" s="1"/>
  <c r="O38" i="3" s="1"/>
  <c r="W58" i="6"/>
  <c r="N58" i="6"/>
  <c r="O58" i="6"/>
  <c r="C58" i="6"/>
  <c r="D58" i="6"/>
  <c r="E58" i="6"/>
  <c r="X58" i="6"/>
  <c r="Y58" i="6"/>
  <c r="M58" i="6" a="1"/>
  <c r="M58" i="6" s="1"/>
  <c r="Q58" i="6" s="1"/>
  <c r="R58" i="6" s="1"/>
  <c r="F14" i="3"/>
  <c r="F29" i="3"/>
  <c r="L29" i="3" s="1"/>
  <c r="M29" i="3" s="1"/>
  <c r="O29" i="3" s="1"/>
  <c r="F18" i="3"/>
  <c r="L18" i="3" s="1"/>
  <c r="M18" i="3" s="1"/>
  <c r="O18" i="3" s="1"/>
  <c r="K37" i="3"/>
  <c r="L37" i="3" s="1"/>
  <c r="M37" i="3" s="1"/>
  <c r="O37" i="3" s="1"/>
  <c r="C31" i="140"/>
  <c r="E31" i="140"/>
  <c r="G31" i="140" s="1"/>
  <c r="G39" i="140" s="1"/>
  <c r="O71" i="7" s="1"/>
  <c r="T71" i="7" s="1"/>
  <c r="C42" i="140"/>
  <c r="L23" i="131"/>
  <c r="M23" i="131" s="1"/>
  <c r="M28" i="131" s="1"/>
  <c r="C23" i="131"/>
  <c r="C42" i="126"/>
  <c r="J6" i="2"/>
  <c r="E23" i="131" s="1"/>
  <c r="G23" i="131" s="1"/>
  <c r="G28" i="131" s="1"/>
  <c r="E33" i="90"/>
  <c r="G33" i="90" s="1"/>
  <c r="E32" i="115"/>
  <c r="G32" i="115" s="1"/>
  <c r="C34" i="91"/>
  <c r="E34" i="92"/>
  <c r="G34" i="92" s="1"/>
  <c r="E33" i="91"/>
  <c r="G33" i="91" s="1"/>
  <c r="C33" i="91"/>
  <c r="C34" i="92"/>
  <c r="E33" i="92"/>
  <c r="G33" i="92" s="1"/>
  <c r="E32" i="91"/>
  <c r="G32" i="91" s="1"/>
  <c r="C31" i="92"/>
  <c r="C33" i="92"/>
  <c r="C32" i="91"/>
  <c r="E32" i="92"/>
  <c r="G32" i="92" s="1"/>
  <c r="E31" i="91"/>
  <c r="G31" i="91" s="1"/>
  <c r="C32" i="92"/>
  <c r="C31" i="91"/>
  <c r="E31" i="92"/>
  <c r="G31" i="92" s="1"/>
  <c r="E34" i="91"/>
  <c r="G34" i="91" s="1"/>
  <c r="E32" i="110"/>
  <c r="G32" i="110" s="1"/>
  <c r="C37" i="126"/>
  <c r="E34" i="90"/>
  <c r="G34" i="90" s="1"/>
  <c r="C33" i="90"/>
  <c r="C42" i="135"/>
  <c r="C42" i="81"/>
  <c r="E42" i="81"/>
  <c r="G42" i="81" s="1"/>
  <c r="C35" i="126"/>
  <c r="L42" i="135"/>
  <c r="M42" i="135" s="1"/>
  <c r="M47" i="135" s="1"/>
  <c r="E35" i="126"/>
  <c r="G35" i="126" s="1"/>
  <c r="L42" i="99"/>
  <c r="M42" i="99" s="1"/>
  <c r="M47" i="99" s="1"/>
  <c r="L42" i="133"/>
  <c r="M42" i="133" s="1"/>
  <c r="M47" i="133" s="1"/>
  <c r="C42" i="91"/>
  <c r="C42" i="92"/>
  <c r="E42" i="126"/>
  <c r="C36" i="126"/>
  <c r="C34" i="126"/>
  <c r="C34" i="90"/>
  <c r="L42" i="81"/>
  <c r="M42" i="81" s="1"/>
  <c r="M47" i="81" s="1"/>
  <c r="L42" i="126"/>
  <c r="N42" i="136"/>
  <c r="N47" i="136" s="1"/>
  <c r="C42" i="86"/>
  <c r="C42" i="99"/>
  <c r="C42" i="120"/>
  <c r="L42" i="132"/>
  <c r="M42" i="132" s="1"/>
  <c r="M47" i="132" s="1"/>
  <c r="E42" i="99"/>
  <c r="G42" i="99" s="1"/>
  <c r="G47" i="99" s="1"/>
  <c r="E42" i="86"/>
  <c r="G42" i="86" s="1"/>
  <c r="G47" i="86" s="1"/>
  <c r="C42" i="97"/>
  <c r="C42" i="110"/>
  <c r="E34" i="126"/>
  <c r="G34" i="126" s="1"/>
  <c r="C42" i="127"/>
  <c r="C42" i="130"/>
  <c r="C42" i="134"/>
  <c r="E42" i="98"/>
  <c r="G42" i="98" s="1"/>
  <c r="G47" i="98" s="1"/>
  <c r="E42" i="88"/>
  <c r="G42" i="88" s="1"/>
  <c r="G47" i="88" s="1"/>
  <c r="L42" i="119"/>
  <c r="M42" i="119" s="1"/>
  <c r="M47" i="119" s="1"/>
  <c r="L42" i="86"/>
  <c r="M42" i="86" s="1"/>
  <c r="M47" i="86" s="1"/>
  <c r="L42" i="105"/>
  <c r="M42" i="105" s="1"/>
  <c r="M47" i="105" s="1"/>
  <c r="L42" i="116"/>
  <c r="M42" i="116" s="1"/>
  <c r="M47" i="116" s="1"/>
  <c r="E42" i="85"/>
  <c r="G42" i="85" s="1"/>
  <c r="G47" i="85" s="1"/>
  <c r="E42" i="80"/>
  <c r="G42" i="80" s="1"/>
  <c r="G47" i="80" s="1"/>
  <c r="C42" i="89"/>
  <c r="L42" i="93"/>
  <c r="M42" i="93" s="1"/>
  <c r="M47" i="93" s="1"/>
  <c r="L42" i="98"/>
  <c r="M42" i="98" s="1"/>
  <c r="L42" i="102"/>
  <c r="M42" i="102" s="1"/>
  <c r="M47" i="102" s="1"/>
  <c r="C23" i="130"/>
  <c r="C42" i="133"/>
  <c r="L42" i="85"/>
  <c r="M42" i="85" s="1"/>
  <c r="L42" i="88"/>
  <c r="M42" i="88" s="1"/>
  <c r="M47" i="88" s="1"/>
  <c r="C42" i="95"/>
  <c r="C42" i="103"/>
  <c r="E23" i="130"/>
  <c r="G23" i="130" s="1"/>
  <c r="C42" i="102"/>
  <c r="E42" i="119"/>
  <c r="G42" i="119" s="1"/>
  <c r="L42" i="127"/>
  <c r="C42" i="85"/>
  <c r="L42" i="130"/>
  <c r="M42" i="130" s="1"/>
  <c r="M47" i="130" s="1"/>
  <c r="C42" i="80"/>
  <c r="L42" i="80"/>
  <c r="M42" i="80" s="1"/>
  <c r="M47" i="80" s="1"/>
  <c r="C42" i="87"/>
  <c r="C42" i="100"/>
  <c r="E42" i="103"/>
  <c r="G42" i="103" s="1"/>
  <c r="G47" i="103" s="1"/>
  <c r="C42" i="131"/>
  <c r="F26" i="123"/>
  <c r="E42" i="134"/>
  <c r="G42" i="134" s="1"/>
  <c r="G47" i="134" s="1"/>
  <c r="C42" i="98"/>
  <c r="L42" i="120"/>
  <c r="M42" i="120" s="1"/>
  <c r="M47" i="120" s="1"/>
  <c r="L42" i="134"/>
  <c r="M42" i="134" s="1"/>
  <c r="M47" i="134" s="1"/>
  <c r="E42" i="87"/>
  <c r="G42" i="87" s="1"/>
  <c r="G47" i="87" s="1"/>
  <c r="N47" i="87" s="1"/>
  <c r="L23" i="130"/>
  <c r="M23" i="130" s="1"/>
  <c r="M28" i="130" s="1"/>
  <c r="C42" i="93"/>
  <c r="L42" i="97"/>
  <c r="C42" i="88"/>
  <c r="E33" i="126"/>
  <c r="G33" i="126" s="1"/>
  <c r="L42" i="89"/>
  <c r="M42" i="89" s="1"/>
  <c r="M47" i="89" s="1"/>
  <c r="L42" i="95"/>
  <c r="M42" i="95" s="1"/>
  <c r="M47" i="95" s="1"/>
  <c r="C32" i="115"/>
  <c r="L42" i="115"/>
  <c r="M42" i="115" s="1"/>
  <c r="M47" i="115" s="1"/>
  <c r="C42" i="119"/>
  <c r="C42" i="118"/>
  <c r="C42" i="94"/>
  <c r="C42" i="132"/>
  <c r="C23" i="132"/>
  <c r="L42" i="103"/>
  <c r="M42" i="103" s="1"/>
  <c r="M47" i="103" s="1"/>
  <c r="L42" i="110"/>
  <c r="M42" i="110" s="1"/>
  <c r="M47" i="110" s="1"/>
  <c r="C32" i="104"/>
  <c r="E31" i="94"/>
  <c r="G31" i="94" s="1"/>
  <c r="C31" i="94"/>
  <c r="C32" i="94"/>
  <c r="E32" i="94"/>
  <c r="G32" i="94" s="1"/>
  <c r="L42" i="94"/>
  <c r="M42" i="94" s="1"/>
  <c r="M47" i="94" s="1"/>
  <c r="L42" i="100"/>
  <c r="M42" i="100" s="1"/>
  <c r="M47" i="100" s="1"/>
  <c r="L42" i="131"/>
  <c r="M42" i="131" s="1"/>
  <c r="M47" i="131" s="1"/>
  <c r="C42" i="105"/>
  <c r="C32" i="110"/>
  <c r="C42" i="115"/>
  <c r="C42" i="116"/>
  <c r="C32" i="118"/>
  <c r="E32" i="117"/>
  <c r="G32" i="117" s="1"/>
  <c r="E32" i="118"/>
  <c r="G32" i="118" s="1"/>
  <c r="L23" i="142"/>
  <c r="M23" i="142" s="1"/>
  <c r="C34" i="116"/>
  <c r="C33" i="87"/>
  <c r="C33" i="88"/>
  <c r="E34" i="116"/>
  <c r="G34" i="116" s="1"/>
  <c r="E33" i="87"/>
  <c r="G33" i="87" s="1"/>
  <c r="E33" i="88"/>
  <c r="G33" i="88" s="1"/>
  <c r="C33" i="118"/>
  <c r="C42" i="117"/>
  <c r="E33" i="118"/>
  <c r="G33" i="118" s="1"/>
  <c r="L42" i="118"/>
  <c r="M42" i="118" s="1"/>
  <c r="M47" i="118" s="1"/>
  <c r="C32" i="127"/>
  <c r="L42" i="140"/>
  <c r="M42" i="140" s="1"/>
  <c r="M47" i="140" s="1"/>
  <c r="C35" i="116"/>
  <c r="E32" i="127"/>
  <c r="G32" i="127" s="1"/>
  <c r="C33" i="86"/>
  <c r="E35" i="116"/>
  <c r="G35" i="116" s="1"/>
  <c r="E33" i="86"/>
  <c r="G33" i="86" s="1"/>
  <c r="E32" i="119"/>
  <c r="G32" i="119" s="1"/>
  <c r="E33" i="132"/>
  <c r="G33" i="132" s="1"/>
  <c r="C33" i="132"/>
  <c r="E32" i="132"/>
  <c r="G32" i="132" s="1"/>
  <c r="C32" i="132"/>
  <c r="E31" i="132"/>
  <c r="G31" i="132" s="1"/>
  <c r="C31" i="132"/>
  <c r="C33" i="85"/>
  <c r="E32" i="104"/>
  <c r="G32" i="104" s="1"/>
  <c r="E33" i="85"/>
  <c r="G33" i="85" s="1"/>
  <c r="C42" i="138"/>
  <c r="C34" i="82"/>
  <c r="C33" i="104"/>
  <c r="E34" i="82"/>
  <c r="G34" i="82" s="1"/>
  <c r="E33" i="104"/>
  <c r="G33" i="104" s="1"/>
  <c r="L42" i="138"/>
  <c r="C33" i="126"/>
  <c r="E34" i="119"/>
  <c r="G34" i="119" s="1"/>
  <c r="C34" i="117"/>
  <c r="C32" i="119"/>
  <c r="F25" i="3"/>
  <c r="C33" i="116"/>
  <c r="E34" i="117"/>
  <c r="G34" i="117" s="1"/>
  <c r="E33" i="141"/>
  <c r="G33" i="141" s="1"/>
  <c r="E32" i="141"/>
  <c r="G32" i="141" s="1"/>
  <c r="C32" i="141"/>
  <c r="E31" i="141"/>
  <c r="G31" i="141" s="1"/>
  <c r="C31" i="141"/>
  <c r="C33" i="141"/>
  <c r="E33" i="142"/>
  <c r="G33" i="142" s="1"/>
  <c r="C31" i="143"/>
  <c r="C33" i="142"/>
  <c r="E33" i="143"/>
  <c r="G33" i="143" s="1"/>
  <c r="E32" i="142"/>
  <c r="G32" i="142" s="1"/>
  <c r="C33" i="143"/>
  <c r="C32" i="142"/>
  <c r="E32" i="143"/>
  <c r="G32" i="143" s="1"/>
  <c r="E31" i="142"/>
  <c r="G31" i="142" s="1"/>
  <c r="C32" i="143"/>
  <c r="C31" i="142"/>
  <c r="E31" i="143"/>
  <c r="G31" i="143" s="1"/>
  <c r="C33" i="96"/>
  <c r="E33" i="116"/>
  <c r="G33" i="116" s="1"/>
  <c r="L42" i="143"/>
  <c r="M42" i="143" s="1"/>
  <c r="M47" i="143" s="1"/>
  <c r="E33" i="96"/>
  <c r="G33" i="96" s="1"/>
  <c r="L42" i="141"/>
  <c r="M42" i="141" s="1"/>
  <c r="M47" i="141" s="1"/>
  <c r="F26" i="3"/>
  <c r="C33" i="119"/>
  <c r="E42" i="141"/>
  <c r="G42" i="141" s="1"/>
  <c r="C23" i="141"/>
  <c r="C26" i="142"/>
  <c r="C25" i="142"/>
  <c r="C26" i="143"/>
  <c r="E25" i="142"/>
  <c r="G25" i="142" s="1"/>
  <c r="E42" i="142"/>
  <c r="G42" i="142" s="1"/>
  <c r="G47" i="142" s="1"/>
  <c r="E25" i="143"/>
  <c r="G25" i="143" s="1"/>
  <c r="C42" i="142"/>
  <c r="E42" i="143"/>
  <c r="G42" i="143" s="1"/>
  <c r="C25" i="143"/>
  <c r="C24" i="141"/>
  <c r="C42" i="143"/>
  <c r="C24" i="142"/>
  <c r="C23" i="143"/>
  <c r="C24" i="143"/>
  <c r="C26" i="141"/>
  <c r="C25" i="141"/>
  <c r="C23" i="142"/>
  <c r="E25" i="141"/>
  <c r="G25" i="141" s="1"/>
  <c r="C42" i="141"/>
  <c r="E33" i="119"/>
  <c r="G33" i="119" s="1"/>
  <c r="L24" i="142"/>
  <c r="M24" i="142" s="1"/>
  <c r="L25" i="142"/>
  <c r="M25" i="142" s="1"/>
  <c r="L26" i="142"/>
  <c r="M26" i="142" s="1"/>
  <c r="C32" i="117"/>
  <c r="C34" i="119"/>
  <c r="E42" i="117"/>
  <c r="G42" i="117" s="1"/>
  <c r="L23" i="141"/>
  <c r="M23" i="141" s="1"/>
  <c r="L42" i="142"/>
  <c r="M42" i="142" s="1"/>
  <c r="M47" i="142" s="1"/>
  <c r="L23" i="143"/>
  <c r="M23" i="143" s="1"/>
  <c r="C33" i="117"/>
  <c r="L24" i="141"/>
  <c r="M24" i="141" s="1"/>
  <c r="L24" i="143"/>
  <c r="M24" i="143" s="1"/>
  <c r="C32" i="116"/>
  <c r="E33" i="117"/>
  <c r="G33" i="117" s="1"/>
  <c r="L42" i="117"/>
  <c r="M42" i="117" s="1"/>
  <c r="M47" i="117" s="1"/>
  <c r="L25" i="141"/>
  <c r="M25" i="141" s="1"/>
  <c r="L25" i="143"/>
  <c r="M25" i="143" s="1"/>
  <c r="E32" i="116"/>
  <c r="G32" i="116" s="1"/>
  <c r="L26" i="143"/>
  <c r="M26" i="143" s="1"/>
  <c r="L26" i="141"/>
  <c r="M26" i="141" s="1"/>
  <c r="W45" i="6"/>
  <c r="X49" i="6"/>
  <c r="AG49" i="6"/>
  <c r="Y45" i="6"/>
  <c r="F33" i="3"/>
  <c r="Y49" i="6"/>
  <c r="AF49" i="6"/>
  <c r="F36" i="3"/>
  <c r="AH49" i="6"/>
  <c r="F32" i="3"/>
  <c r="F28" i="3"/>
  <c r="X45" i="6"/>
  <c r="AI57" i="7"/>
  <c r="AJ57" i="7" s="1"/>
  <c r="AL57" i="7" s="1"/>
  <c r="AK57" i="7" s="1"/>
  <c r="W57" i="158"/>
  <c r="E56" i="158"/>
  <c r="C55" i="158"/>
  <c r="M53" i="158" a="1"/>
  <c r="M53" i="158" s="1"/>
  <c r="AF52" i="158"/>
  <c r="D51" i="158"/>
  <c r="Y50" i="158"/>
  <c r="N48" i="158"/>
  <c r="AF47" i="158"/>
  <c r="W45" i="158"/>
  <c r="M43" i="158" a="1"/>
  <c r="M43" i="158" s="1"/>
  <c r="AG42" i="158"/>
  <c r="D41" i="158"/>
  <c r="Y40" i="158"/>
  <c r="O57" i="158"/>
  <c r="D56" i="158"/>
  <c r="E53" i="158"/>
  <c r="Y52" i="158"/>
  <c r="C51" i="158"/>
  <c r="X50" i="158"/>
  <c r="M48" i="158" a="1"/>
  <c r="M48" i="158" s="1"/>
  <c r="Y47" i="158"/>
  <c r="O45" i="158"/>
  <c r="AF42" i="158"/>
  <c r="C41" i="158"/>
  <c r="X40" i="158"/>
  <c r="N57" i="158"/>
  <c r="C56" i="158"/>
  <c r="D53" i="158"/>
  <c r="X52" i="158"/>
  <c r="W50" i="158"/>
  <c r="AH49" i="158"/>
  <c r="E48" i="158"/>
  <c r="X47" i="158"/>
  <c r="N45" i="158"/>
  <c r="E43" i="158"/>
  <c r="Y42" i="158"/>
  <c r="W40" i="158"/>
  <c r="N40" i="158"/>
  <c r="M57" i="158" a="1"/>
  <c r="M57" i="158" s="1"/>
  <c r="C53" i="158"/>
  <c r="W52" i="158"/>
  <c r="O50" i="158"/>
  <c r="AG49" i="158"/>
  <c r="D48" i="158"/>
  <c r="W47" i="158"/>
  <c r="M45" i="158" a="1"/>
  <c r="M45" i="158" s="1"/>
  <c r="AH44" i="158"/>
  <c r="D43" i="158"/>
  <c r="X42" i="158"/>
  <c r="O40" i="158"/>
  <c r="E57" i="158"/>
  <c r="O52" i="158"/>
  <c r="N50" i="158"/>
  <c r="AF49" i="158"/>
  <c r="C48" i="158"/>
  <c r="O47" i="158"/>
  <c r="AH46" i="158"/>
  <c r="AG44" i="158"/>
  <c r="C43" i="158"/>
  <c r="W42" i="158"/>
  <c r="D57" i="158"/>
  <c r="N52" i="158"/>
  <c r="M50" i="158" a="1"/>
  <c r="M50" i="158" s="1"/>
  <c r="Y49" i="158"/>
  <c r="N47" i="158"/>
  <c r="AG46" i="158"/>
  <c r="E45" i="158"/>
  <c r="AF44" i="158"/>
  <c r="O42" i="158"/>
  <c r="M40" i="158" a="1"/>
  <c r="M40" i="158" s="1"/>
  <c r="M42" i="158" a="1"/>
  <c r="M42" i="158" s="1"/>
  <c r="AG41" i="158"/>
  <c r="C57" i="158"/>
  <c r="M52" i="158" a="1"/>
  <c r="M52" i="158" s="1"/>
  <c r="AH51" i="158"/>
  <c r="E50" i="158"/>
  <c r="X49" i="158"/>
  <c r="M47" i="158" a="1"/>
  <c r="M47" i="158" s="1"/>
  <c r="AF46" i="158"/>
  <c r="D45" i="158"/>
  <c r="Y44" i="158"/>
  <c r="N42" i="158"/>
  <c r="AH41" i="158"/>
  <c r="E40" i="158"/>
  <c r="D40" i="158"/>
  <c r="AH56" i="158"/>
  <c r="E52" i="158"/>
  <c r="AG51" i="158"/>
  <c r="D50" i="158"/>
  <c r="W49" i="158"/>
  <c r="E47" i="158"/>
  <c r="Y46" i="158"/>
  <c r="C45" i="158"/>
  <c r="X44" i="158"/>
  <c r="AG56" i="158"/>
  <c r="AH53" i="158"/>
  <c r="D52" i="158"/>
  <c r="AF51" i="158"/>
  <c r="C50" i="158"/>
  <c r="O49" i="158"/>
  <c r="D47" i="158"/>
  <c r="X46" i="158"/>
  <c r="W44" i="158"/>
  <c r="AH43" i="158"/>
  <c r="E42" i="158"/>
  <c r="AF41" i="158"/>
  <c r="C40" i="158"/>
  <c r="AF56" i="158"/>
  <c r="AG53" i="158"/>
  <c r="C52" i="158"/>
  <c r="Y51" i="158"/>
  <c r="N49" i="158"/>
  <c r="AH48" i="158"/>
  <c r="C47" i="158"/>
  <c r="W46" i="158"/>
  <c r="O44" i="158"/>
  <c r="AG43" i="158"/>
  <c r="D42" i="158"/>
  <c r="Y41" i="158"/>
  <c r="Y56" i="158"/>
  <c r="AF53" i="158"/>
  <c r="X51" i="158"/>
  <c r="M49" i="158" a="1"/>
  <c r="M49" i="158" s="1"/>
  <c r="AG48" i="158"/>
  <c r="O46" i="158"/>
  <c r="N44" i="158"/>
  <c r="AF43" i="158"/>
  <c r="C42" i="158"/>
  <c r="X41" i="158"/>
  <c r="AH57" i="158"/>
  <c r="X56" i="158"/>
  <c r="E54" i="158"/>
  <c r="Y53" i="158"/>
  <c r="W51" i="158"/>
  <c r="AF48" i="158"/>
  <c r="N46" i="158"/>
  <c r="AH45" i="158"/>
  <c r="M44" i="158" a="1"/>
  <c r="M44" i="158" s="1"/>
  <c r="Y43" i="158"/>
  <c r="W41" i="158"/>
  <c r="AG57" i="158"/>
  <c r="W56" i="158"/>
  <c r="D54" i="158"/>
  <c r="X53" i="158"/>
  <c r="O51" i="158"/>
  <c r="E49" i="158"/>
  <c r="Y48" i="158"/>
  <c r="M46" i="158" a="1"/>
  <c r="M46" i="158" s="1"/>
  <c r="AG45" i="158"/>
  <c r="E44" i="158"/>
  <c r="X43" i="158"/>
  <c r="O41" i="158"/>
  <c r="AF57" i="158"/>
  <c r="O56" i="158"/>
  <c r="C54" i="158"/>
  <c r="W53" i="158"/>
  <c r="N51" i="158"/>
  <c r="AH50" i="158"/>
  <c r="D49" i="158"/>
  <c r="X48" i="158"/>
  <c r="E46" i="158"/>
  <c r="AF45" i="158"/>
  <c r="D44" i="158"/>
  <c r="W43" i="158"/>
  <c r="N41" i="158"/>
  <c r="AH40" i="158"/>
  <c r="AG40" i="158"/>
  <c r="Y57" i="158"/>
  <c r="N56" i="158"/>
  <c r="E55" i="158"/>
  <c r="O53" i="158"/>
  <c r="AH52" i="158"/>
  <c r="M51" i="158" a="1"/>
  <c r="M51" i="158" s="1"/>
  <c r="AG50" i="158"/>
  <c r="C49" i="158"/>
  <c r="W48" i="158"/>
  <c r="AH47" i="158"/>
  <c r="D46" i="158"/>
  <c r="Y45" i="158"/>
  <c r="C44" i="158"/>
  <c r="O43" i="158"/>
  <c r="M41" i="158" a="1"/>
  <c r="M41" i="158" s="1"/>
  <c r="X57" i="158"/>
  <c r="M56" i="158" a="1"/>
  <c r="M56" i="158" s="1"/>
  <c r="D55" i="158"/>
  <c r="N53" i="158"/>
  <c r="AG52" i="158"/>
  <c r="E51" i="158"/>
  <c r="AF50" i="158"/>
  <c r="O48" i="158"/>
  <c r="AG47" i="158"/>
  <c r="C46" i="158"/>
  <c r="X45" i="158"/>
  <c r="N43" i="158"/>
  <c r="AH42" i="158"/>
  <c r="E41" i="158"/>
  <c r="AF40" i="158"/>
  <c r="AF56" i="6"/>
  <c r="O56" i="6"/>
  <c r="N57" i="6"/>
  <c r="AF57" i="6"/>
  <c r="O57" i="6"/>
  <c r="X56" i="6"/>
  <c r="Y56" i="6"/>
  <c r="Y57" i="6"/>
  <c r="AG56" i="6"/>
  <c r="C57" i="6"/>
  <c r="W56" i="6"/>
  <c r="W57" i="6"/>
  <c r="M57" i="6" a="1"/>
  <c r="M57" i="6" s="1"/>
  <c r="N56" i="6"/>
  <c r="AG57" i="6"/>
  <c r="D57" i="6"/>
  <c r="M56" i="6" a="1"/>
  <c r="M56" i="6" s="1"/>
  <c r="AH56" i="6"/>
  <c r="E57" i="6"/>
  <c r="AH57" i="6"/>
  <c r="X57" i="6"/>
  <c r="AF45" i="6"/>
  <c r="F34" i="3"/>
  <c r="AG45" i="6"/>
  <c r="F30" i="3"/>
  <c r="AH45" i="6"/>
  <c r="W49" i="6"/>
  <c r="O53" i="6"/>
  <c r="Y46" i="6"/>
  <c r="N51" i="6"/>
  <c r="AF46" i="6"/>
  <c r="W51" i="6"/>
  <c r="M40" i="6" a="1"/>
  <c r="M40" i="6" s="1"/>
  <c r="AH42" i="6"/>
  <c r="X47" i="6"/>
  <c r="AH50" i="6"/>
  <c r="M52" i="6" a="1"/>
  <c r="M52" i="6" s="1"/>
  <c r="N40" i="6"/>
  <c r="C41" i="6"/>
  <c r="Y43" i="6"/>
  <c r="N44" i="6"/>
  <c r="C45" i="6"/>
  <c r="Y47" i="6"/>
  <c r="N48" i="6"/>
  <c r="C49" i="6"/>
  <c r="Y51" i="6"/>
  <c r="N52" i="6"/>
  <c r="C53" i="6"/>
  <c r="E51" i="6"/>
  <c r="C44" i="6"/>
  <c r="E44" i="6"/>
  <c r="X43" i="6"/>
  <c r="M44" i="6" a="1"/>
  <c r="M44" i="6" s="1"/>
  <c r="AH46" i="6"/>
  <c r="M48" i="6" a="1"/>
  <c r="M48" i="6" s="1"/>
  <c r="X51" i="6"/>
  <c r="O40" i="6"/>
  <c r="D41" i="6"/>
  <c r="AF43" i="6"/>
  <c r="O44" i="6"/>
  <c r="D45" i="6"/>
  <c r="AF47" i="6"/>
  <c r="O48" i="6"/>
  <c r="D49" i="6"/>
  <c r="AF51" i="6"/>
  <c r="O52" i="6"/>
  <c r="D53" i="6"/>
  <c r="W50" i="6"/>
  <c r="AH41" i="6"/>
  <c r="M43" i="6" a="1"/>
  <c r="M43" i="6" s="1"/>
  <c r="M47" i="6" a="1"/>
  <c r="M47" i="6" s="1"/>
  <c r="AH53" i="6"/>
  <c r="N43" i="6"/>
  <c r="O43" i="6"/>
  <c r="O51" i="6"/>
  <c r="AG42" i="6"/>
  <c r="W44" i="6"/>
  <c r="E49" i="6"/>
  <c r="X40" i="6"/>
  <c r="M41" i="6" a="1"/>
  <c r="M41" i="6" s="1"/>
  <c r="AH43" i="6"/>
  <c r="X44" i="6"/>
  <c r="M45" i="6" a="1"/>
  <c r="M45" i="6" s="1"/>
  <c r="AH47" i="6"/>
  <c r="X48" i="6"/>
  <c r="M49" i="6" a="1"/>
  <c r="M49" i="6" s="1"/>
  <c r="AH51" i="6"/>
  <c r="X52" i="6"/>
  <c r="M53" i="6" a="1"/>
  <c r="M53" i="6" s="1"/>
  <c r="AG41" i="6"/>
  <c r="E47" i="6"/>
  <c r="M51" i="6" a="1"/>
  <c r="M51" i="6" s="1"/>
  <c r="Y42" i="6"/>
  <c r="C48" i="6"/>
  <c r="Y50" i="6"/>
  <c r="D40" i="6"/>
  <c r="D44" i="6"/>
  <c r="D52" i="6"/>
  <c r="AG46" i="6"/>
  <c r="W40" i="6"/>
  <c r="AG47" i="6"/>
  <c r="AG51" i="6"/>
  <c r="N41" i="6"/>
  <c r="Y48" i="6"/>
  <c r="C50" i="6"/>
  <c r="AF40" i="6"/>
  <c r="O41" i="6"/>
  <c r="D42" i="6"/>
  <c r="AF44" i="6"/>
  <c r="O45" i="6"/>
  <c r="D46" i="6"/>
  <c r="AF48" i="6"/>
  <c r="O49" i="6"/>
  <c r="D50" i="6"/>
  <c r="AF52" i="6"/>
  <c r="C52" i="157"/>
  <c r="E50" i="157"/>
  <c r="W49" i="157"/>
  <c r="AG48" i="157"/>
  <c r="E46" i="157"/>
  <c r="C43" i="157"/>
  <c r="N42" i="157"/>
  <c r="E39" i="157"/>
  <c r="W38" i="157"/>
  <c r="AG37" i="157"/>
  <c r="Y54" i="6"/>
  <c r="N55" i="6"/>
  <c r="X44" i="157"/>
  <c r="O37" i="157"/>
  <c r="Y47" i="157"/>
  <c r="N41" i="157"/>
  <c r="C51" i="157"/>
  <c r="D41" i="157"/>
  <c r="D37" i="157"/>
  <c r="E55" i="6"/>
  <c r="C48" i="157"/>
  <c r="E44" i="157"/>
  <c r="C37" i="157"/>
  <c r="D44" i="157"/>
  <c r="M40" i="157" a="1"/>
  <c r="M40" i="157" s="1"/>
  <c r="AH38" i="157"/>
  <c r="D54" i="6"/>
  <c r="W39" i="157"/>
  <c r="O39" i="157"/>
  <c r="Y38" i="157"/>
  <c r="X49" i="157"/>
  <c r="O42" i="157"/>
  <c r="D52" i="157"/>
  <c r="D50" i="157"/>
  <c r="O49" i="157"/>
  <c r="AF48" i="157"/>
  <c r="D46" i="157"/>
  <c r="AH44" i="157"/>
  <c r="M42" i="157" a="1"/>
  <c r="M42" i="157" s="1"/>
  <c r="D39" i="157"/>
  <c r="O38" i="157"/>
  <c r="AF37" i="157"/>
  <c r="AF40" i="157"/>
  <c r="D38" i="157"/>
  <c r="AF36" i="157"/>
  <c r="AF54" i="6"/>
  <c r="D51" i="157"/>
  <c r="C49" i="157"/>
  <c r="W44" i="157"/>
  <c r="C38" i="157"/>
  <c r="O55" i="6"/>
  <c r="M48" i="157" a="1"/>
  <c r="M48" i="157" s="1"/>
  <c r="X47" i="157"/>
  <c r="AH39" i="157"/>
  <c r="X36" i="157"/>
  <c r="X43" i="157"/>
  <c r="AF39" i="157"/>
  <c r="AF50" i="157"/>
  <c r="N47" i="157"/>
  <c r="W43" i="157"/>
  <c r="Y50" i="157"/>
  <c r="M36" i="157" a="1"/>
  <c r="M36" i="157" s="1"/>
  <c r="W46" i="157"/>
  <c r="N43" i="157"/>
  <c r="E40" i="157"/>
  <c r="AG38" i="157"/>
  <c r="W54" i="6"/>
  <c r="AF49" i="157"/>
  <c r="W42" i="157"/>
  <c r="E52" i="157"/>
  <c r="O51" i="157"/>
  <c r="C50" i="157"/>
  <c r="N49" i="157"/>
  <c r="Y48" i="157"/>
  <c r="C46" i="157"/>
  <c r="AG44" i="157"/>
  <c r="E42" i="157"/>
  <c r="C39" i="157"/>
  <c r="N38" i="157"/>
  <c r="Y37" i="157"/>
  <c r="M55" i="6" a="1"/>
  <c r="M55" i="6" s="1"/>
  <c r="N37" i="157"/>
  <c r="D45" i="157"/>
  <c r="AF43" i="157"/>
  <c r="X40" i="157"/>
  <c r="AG54" i="6"/>
  <c r="O36" i="157"/>
  <c r="C41" i="157"/>
  <c r="C54" i="6"/>
  <c r="M47" i="157" a="1"/>
  <c r="M47" i="157" s="1"/>
  <c r="O43" i="157"/>
  <c r="X50" i="157"/>
  <c r="X42" i="157"/>
  <c r="C47" i="157"/>
  <c r="C40" i="157"/>
  <c r="C36" i="157"/>
  <c r="D43" i="157"/>
  <c r="C56" i="6"/>
  <c r="N51" i="157"/>
  <c r="M49" i="157" a="1"/>
  <c r="M49" i="157" s="1"/>
  <c r="X48" i="157"/>
  <c r="AH47" i="157"/>
  <c r="O45" i="157"/>
  <c r="AF44" i="157"/>
  <c r="D42" i="157"/>
  <c r="AH40" i="157"/>
  <c r="M38" i="157" a="1"/>
  <c r="M38" i="157" s="1"/>
  <c r="X37" i="157"/>
  <c r="AH36" i="157"/>
  <c r="E56" i="6"/>
  <c r="D49" i="157"/>
  <c r="AF47" i="157"/>
  <c r="M45" i="157" a="1"/>
  <c r="M45" i="157" s="1"/>
  <c r="O41" i="157"/>
  <c r="N48" i="157"/>
  <c r="AG43" i="157"/>
  <c r="Y40" i="157"/>
  <c r="Y36" i="157"/>
  <c r="AH46" i="157"/>
  <c r="M41" i="157" a="1"/>
  <c r="M41" i="157" s="1"/>
  <c r="M37" i="157" a="1"/>
  <c r="M37" i="157" s="1"/>
  <c r="C55" i="6"/>
  <c r="AH42" i="157"/>
  <c r="O40" i="157"/>
  <c r="Y46" i="157"/>
  <c r="AG42" i="157"/>
  <c r="AH49" i="157"/>
  <c r="X46" i="157"/>
  <c r="E47" i="157"/>
  <c r="D47" i="157"/>
  <c r="D40" i="157"/>
  <c r="D36" i="157"/>
  <c r="N46" i="157"/>
  <c r="X38" i="157"/>
  <c r="D56" i="6"/>
  <c r="M51" i="157" a="1"/>
  <c r="M51" i="157" s="1"/>
  <c r="E49" i="157"/>
  <c r="W48" i="157"/>
  <c r="AG47" i="157"/>
  <c r="N45" i="157"/>
  <c r="Y44" i="157"/>
  <c r="C42" i="157"/>
  <c r="AG40" i="157"/>
  <c r="E38" i="157"/>
  <c r="W37" i="157"/>
  <c r="AG36" i="157"/>
  <c r="E51" i="157"/>
  <c r="O48" i="157"/>
  <c r="AH43" i="157"/>
  <c r="E45" i="157"/>
  <c r="O44" i="157"/>
  <c r="AH54" i="6"/>
  <c r="Y39" i="157"/>
  <c r="N36" i="157"/>
  <c r="AF42" i="157"/>
  <c r="Y42" i="157"/>
  <c r="W50" i="157"/>
  <c r="M43" i="157" a="1"/>
  <c r="M43" i="157" s="1"/>
  <c r="Y49" i="157"/>
  <c r="E43" i="157"/>
  <c r="M46" i="157" a="1"/>
  <c r="M46" i="157" s="1"/>
  <c r="M39" i="157" a="1"/>
  <c r="M39" i="157" s="1"/>
  <c r="AH50" i="157"/>
  <c r="E48" i="157"/>
  <c r="W47" i="157"/>
  <c r="AG46" i="157"/>
  <c r="C45" i="157"/>
  <c r="N44" i="157"/>
  <c r="Y43" i="157"/>
  <c r="E41" i="157"/>
  <c r="W40" i="157"/>
  <c r="AG39" i="157"/>
  <c r="E37" i="157"/>
  <c r="W36" i="157"/>
  <c r="D55" i="6"/>
  <c r="AG50" i="157"/>
  <c r="D48" i="157"/>
  <c r="O47" i="157"/>
  <c r="AF46" i="157"/>
  <c r="M44" i="157" a="1"/>
  <c r="M44" i="157" s="1"/>
  <c r="N40" i="157"/>
  <c r="X39" i="157"/>
  <c r="AG49" i="157"/>
  <c r="C44" i="157"/>
  <c r="E36" i="157"/>
  <c r="E54" i="6"/>
  <c r="O46" i="157"/>
  <c r="AF38" i="157"/>
  <c r="N39" i="157"/>
  <c r="X54" i="6"/>
  <c r="AH48" i="157"/>
  <c r="AH37" i="157"/>
  <c r="W46" i="6"/>
  <c r="X42" i="6"/>
  <c r="X50" i="6"/>
  <c r="N47" i="6"/>
  <c r="E40" i="6"/>
  <c r="E52" i="6"/>
  <c r="E41" i="6"/>
  <c r="AG43" i="6"/>
  <c r="W48" i="6"/>
  <c r="C46" i="6"/>
  <c r="Y52" i="6"/>
  <c r="F27" i="3"/>
  <c r="F31" i="3"/>
  <c r="F35" i="3"/>
  <c r="AG40" i="6"/>
  <c r="W41" i="6"/>
  <c r="E42" i="6"/>
  <c r="AG44" i="6"/>
  <c r="E46" i="6"/>
  <c r="AG48" i="6"/>
  <c r="E50" i="6"/>
  <c r="AG52" i="6"/>
  <c r="W53" i="6"/>
  <c r="F44" i="79"/>
  <c r="W42" i="6"/>
  <c r="C40" i="6"/>
  <c r="C52" i="6"/>
  <c r="AF42" i="6"/>
  <c r="O47" i="6"/>
  <c r="AF50" i="6"/>
  <c r="E48" i="6"/>
  <c r="W52" i="6"/>
  <c r="N45" i="6"/>
  <c r="AH40" i="6"/>
  <c r="X41" i="6"/>
  <c r="M42" i="6" a="1"/>
  <c r="M42" i="6" s="1"/>
  <c r="AH44" i="6"/>
  <c r="M46" i="6" a="1"/>
  <c r="M46" i="6" s="1"/>
  <c r="AH48" i="6"/>
  <c r="M50" i="6" a="1"/>
  <c r="M50" i="6" s="1"/>
  <c r="AH52" i="6"/>
  <c r="X53" i="6"/>
  <c r="X46" i="6"/>
  <c r="E45" i="6"/>
  <c r="E53" i="6"/>
  <c r="C42" i="6"/>
  <c r="N53" i="6"/>
  <c r="Y41" i="6"/>
  <c r="N42" i="6"/>
  <c r="C43" i="6"/>
  <c r="N46" i="6"/>
  <c r="C47" i="6"/>
  <c r="N50" i="6"/>
  <c r="C51" i="6"/>
  <c r="Y53" i="6"/>
  <c r="E43" i="6"/>
  <c r="AG53" i="6"/>
  <c r="D48" i="6"/>
  <c r="W43" i="6"/>
  <c r="W47" i="6"/>
  <c r="AG50" i="6"/>
  <c r="Y40" i="6"/>
  <c r="Y44" i="6"/>
  <c r="N49" i="6"/>
  <c r="AF41" i="6"/>
  <c r="O42" i="6"/>
  <c r="D43" i="6"/>
  <c r="O46" i="6"/>
  <c r="D47" i="6"/>
  <c r="O50" i="6"/>
  <c r="D51" i="6"/>
  <c r="AF53" i="6"/>
  <c r="B2" i="7"/>
  <c r="B2" i="157"/>
  <c r="J30" i="2"/>
  <c r="J28" i="2"/>
  <c r="J25" i="2"/>
  <c r="AI67" i="7"/>
  <c r="AJ67" i="7" s="1"/>
  <c r="AL67" i="7" s="1"/>
  <c r="L25" i="122"/>
  <c r="L42" i="104"/>
  <c r="M42" i="104" s="1"/>
  <c r="M47" i="104" s="1"/>
  <c r="J11" i="2"/>
  <c r="E23" i="86" s="1"/>
  <c r="G23" i="86" s="1"/>
  <c r="L25" i="121"/>
  <c r="F54" i="77"/>
  <c r="F45" i="77"/>
  <c r="F52" i="80"/>
  <c r="AI41" i="7"/>
  <c r="AJ41" i="7" s="1"/>
  <c r="AL41" i="7" s="1"/>
  <c r="AI68" i="7"/>
  <c r="AJ68" i="7" s="1"/>
  <c r="AL68" i="7" s="1"/>
  <c r="AG68" i="7" s="1"/>
  <c r="C25" i="125"/>
  <c r="C26" i="121"/>
  <c r="AI54" i="7"/>
  <c r="AJ54" i="7" s="1"/>
  <c r="AL54" i="7" s="1"/>
  <c r="AK54" i="7" s="1"/>
  <c r="L42" i="83"/>
  <c r="M42" i="83" s="1"/>
  <c r="M47" i="83" s="1"/>
  <c r="F50" i="123"/>
  <c r="C25" i="123"/>
  <c r="L25" i="124"/>
  <c r="EY67" i="6"/>
  <c r="E87" i="6" s="1"/>
  <c r="E32" i="121"/>
  <c r="G32" i="121" s="1"/>
  <c r="C33" i="125"/>
  <c r="L42" i="123"/>
  <c r="E32" i="124"/>
  <c r="G32" i="124" s="1"/>
  <c r="AI58" i="7"/>
  <c r="AJ58" i="7" s="1"/>
  <c r="AL58" i="7" s="1"/>
  <c r="AG58" i="7" s="1"/>
  <c r="L25" i="123"/>
  <c r="C32" i="71"/>
  <c r="C33" i="124"/>
  <c r="E32" i="71"/>
  <c r="G32" i="71" s="1"/>
  <c r="E33" i="124"/>
  <c r="G33" i="124" s="1"/>
  <c r="AI13" i="7"/>
  <c r="AJ13" i="7" s="1"/>
  <c r="AL13" i="7" s="1"/>
  <c r="AG13" i="7" s="1"/>
  <c r="E32" i="72"/>
  <c r="G32" i="72" s="1"/>
  <c r="AE75" i="7"/>
  <c r="E25" i="121"/>
  <c r="E33" i="121"/>
  <c r="G33" i="121" s="1"/>
  <c r="E25" i="122"/>
  <c r="L24" i="123"/>
  <c r="C24" i="124"/>
  <c r="C34" i="74"/>
  <c r="L26" i="121"/>
  <c r="L24" i="124"/>
  <c r="C32" i="125"/>
  <c r="C42" i="82"/>
  <c r="L26" i="123"/>
  <c r="E32" i="125"/>
  <c r="G32" i="125" s="1"/>
  <c r="C42" i="125"/>
  <c r="E42" i="125"/>
  <c r="L42" i="125"/>
  <c r="C26" i="122"/>
  <c r="C25" i="122"/>
  <c r="C24" i="122"/>
  <c r="E33" i="71"/>
  <c r="G33" i="71" s="1"/>
  <c r="L42" i="72"/>
  <c r="M42" i="72" s="1"/>
  <c r="M47" i="72" s="1"/>
  <c r="C42" i="122"/>
  <c r="C32" i="124"/>
  <c r="E25" i="123"/>
  <c r="C42" i="124"/>
  <c r="L26" i="122"/>
  <c r="E42" i="124"/>
  <c r="L42" i="124"/>
  <c r="L42" i="70"/>
  <c r="L43" i="74"/>
  <c r="C25" i="124"/>
  <c r="E25" i="124"/>
  <c r="L43" i="70"/>
  <c r="C32" i="72"/>
  <c r="E42" i="82"/>
  <c r="L42" i="82"/>
  <c r="C26" i="124"/>
  <c r="L24" i="125"/>
  <c r="C33" i="71"/>
  <c r="C42" i="72"/>
  <c r="F50" i="77"/>
  <c r="E33" i="125"/>
  <c r="G33" i="125" s="1"/>
  <c r="F51" i="77"/>
  <c r="C32" i="121"/>
  <c r="L25" i="125"/>
  <c r="AI15" i="7"/>
  <c r="AJ15" i="7" s="1"/>
  <c r="AL15" i="7" s="1"/>
  <c r="E42" i="121"/>
  <c r="E42" i="84"/>
  <c r="G42" i="84" s="1"/>
  <c r="C24" i="121"/>
  <c r="C26" i="125"/>
  <c r="F53" i="125"/>
  <c r="E33" i="97"/>
  <c r="FS16" i="6"/>
  <c r="FT16" i="6" s="1"/>
  <c r="L42" i="121"/>
  <c r="L42" i="122"/>
  <c r="C32" i="123"/>
  <c r="C33" i="123"/>
  <c r="E43" i="70"/>
  <c r="C43" i="74"/>
  <c r="E33" i="123"/>
  <c r="G33" i="123" s="1"/>
  <c r="E43" i="74"/>
  <c r="C42" i="70"/>
  <c r="C26" i="123"/>
  <c r="F23" i="125"/>
  <c r="E34" i="74"/>
  <c r="G34" i="74" s="1"/>
  <c r="C24" i="125"/>
  <c r="C43" i="70"/>
  <c r="F42" i="77"/>
  <c r="AJ84" i="7"/>
  <c r="AL84" i="7" s="1"/>
  <c r="AG84" i="7" s="1"/>
  <c r="F24" i="125"/>
  <c r="J9" i="2"/>
  <c r="E23" i="72" s="1"/>
  <c r="F23" i="77"/>
  <c r="E42" i="72"/>
  <c r="G42" i="72" s="1"/>
  <c r="C32" i="122"/>
  <c r="L26" i="124"/>
  <c r="E25" i="125"/>
  <c r="G55" i="151"/>
  <c r="P82" i="7" s="1"/>
  <c r="U82" i="7" s="1"/>
  <c r="C42" i="84"/>
  <c r="E32" i="122"/>
  <c r="G32" i="122" s="1"/>
  <c r="C42" i="121"/>
  <c r="E42" i="122"/>
  <c r="C42" i="73"/>
  <c r="AI16" i="7"/>
  <c r="AJ16" i="7" s="1"/>
  <c r="AL16" i="7" s="1"/>
  <c r="F53" i="77"/>
  <c r="C42" i="83"/>
  <c r="L24" i="121"/>
  <c r="C33" i="122"/>
  <c r="C24" i="123"/>
  <c r="E32" i="123"/>
  <c r="G32" i="123" s="1"/>
  <c r="L26" i="125"/>
  <c r="E42" i="73"/>
  <c r="L42" i="84"/>
  <c r="M42" i="84" s="1"/>
  <c r="M47" i="84" s="1"/>
  <c r="C42" i="104"/>
  <c r="C42" i="123"/>
  <c r="AI56" i="7"/>
  <c r="AJ56" i="7" s="1"/>
  <c r="AL56" i="7" s="1"/>
  <c r="AG56" i="7" s="1"/>
  <c r="AD75" i="7"/>
  <c r="J17" i="2"/>
  <c r="E42" i="70" s="1"/>
  <c r="L42" i="73"/>
  <c r="E42" i="83"/>
  <c r="G42" i="83" s="1"/>
  <c r="G47" i="83" s="1"/>
  <c r="C25" i="121"/>
  <c r="C33" i="121"/>
  <c r="L24" i="122"/>
  <c r="E33" i="122"/>
  <c r="G33" i="122" s="1"/>
  <c r="E42" i="123"/>
  <c r="BW22" i="6"/>
  <c r="BX22" i="6" s="1"/>
  <c r="BC15" i="6"/>
  <c r="BD15" i="6" s="1"/>
  <c r="CG18" i="6"/>
  <c r="CH18" i="6" s="1"/>
  <c r="EO30" i="6"/>
  <c r="EP30" i="6" s="1"/>
  <c r="CG20" i="6"/>
  <c r="CH20" i="6" s="1"/>
  <c r="AS22" i="6"/>
  <c r="AT22" i="6" s="1"/>
  <c r="EY26" i="6"/>
  <c r="EZ26" i="6" s="1"/>
  <c r="FI13" i="6"/>
  <c r="FJ13" i="6" s="1"/>
  <c r="DA26" i="6"/>
  <c r="DB26" i="6" s="1"/>
  <c r="DK15" i="6"/>
  <c r="DL15" i="6" s="1"/>
  <c r="BC17" i="6"/>
  <c r="BD17" i="6" s="1"/>
  <c r="J15" i="2"/>
  <c r="E24" i="123" s="1"/>
  <c r="J13" i="2"/>
  <c r="E26" i="123" s="1"/>
  <c r="AG163" i="7"/>
  <c r="AG160" i="7"/>
  <c r="AG158" i="7"/>
  <c r="F51" i="136"/>
  <c r="AJ80" i="7"/>
  <c r="AL80" i="7" s="1"/>
  <c r="AG80" i="7" s="1"/>
  <c r="F53" i="95"/>
  <c r="F26" i="136"/>
  <c r="F54" i="136"/>
  <c r="C32" i="138"/>
  <c r="EO19" i="6"/>
  <c r="EP19" i="6" s="1"/>
  <c r="BB26" i="6"/>
  <c r="DK26" i="6"/>
  <c r="DL26" i="6" s="1"/>
  <c r="EE29" i="6"/>
  <c r="EF29" i="6" s="1"/>
  <c r="E32" i="138"/>
  <c r="G32" i="138" s="1"/>
  <c r="AI31" i="7"/>
  <c r="AJ31" i="7" s="1"/>
  <c r="AL31" i="7" s="1"/>
  <c r="AK91" i="7"/>
  <c r="DA28" i="6"/>
  <c r="DB28" i="6" s="1"/>
  <c r="F54" i="106"/>
  <c r="N28" i="152"/>
  <c r="F44" i="95"/>
  <c r="C31" i="138"/>
  <c r="C32" i="83"/>
  <c r="F46" i="136"/>
  <c r="E31" i="138"/>
  <c r="G31" i="138" s="1"/>
  <c r="AK122" i="7"/>
  <c r="AI7" i="7"/>
  <c r="AJ7" i="7" s="1"/>
  <c r="AL7" i="7" s="1"/>
  <c r="AI11" i="7"/>
  <c r="AJ11" i="7" s="1"/>
  <c r="AL11" i="7" s="1"/>
  <c r="AK108" i="7"/>
  <c r="AG112" i="7"/>
  <c r="AK115" i="7"/>
  <c r="EX13" i="6"/>
  <c r="BW18" i="6"/>
  <c r="BX18" i="6" s="1"/>
  <c r="FI27" i="6"/>
  <c r="FJ27" i="6" s="1"/>
  <c r="F24" i="77"/>
  <c r="F25" i="79"/>
  <c r="F50" i="79"/>
  <c r="F27" i="80"/>
  <c r="F44" i="80"/>
  <c r="E32" i="83"/>
  <c r="G32" i="83" s="1"/>
  <c r="C32" i="84"/>
  <c r="C33" i="97"/>
  <c r="F44" i="123"/>
  <c r="F25" i="125"/>
  <c r="G55" i="9"/>
  <c r="AB75" i="7"/>
  <c r="AS14" i="6"/>
  <c r="AT14" i="6" s="1"/>
  <c r="EE15" i="6"/>
  <c r="EF15" i="6" s="1"/>
  <c r="CQ16" i="6"/>
  <c r="CR16" i="6" s="1"/>
  <c r="DA27" i="6"/>
  <c r="DB27" i="6" s="1"/>
  <c r="BM30" i="6"/>
  <c r="BN30" i="6" s="1"/>
  <c r="F26" i="77"/>
  <c r="E32" i="84"/>
  <c r="G32" i="84" s="1"/>
  <c r="F54" i="123"/>
  <c r="F24" i="136"/>
  <c r="F45" i="136"/>
  <c r="N28" i="84"/>
  <c r="AK168" i="7"/>
  <c r="AG168" i="7"/>
  <c r="F13" i="3"/>
  <c r="F22" i="3"/>
  <c r="F5" i="3"/>
  <c r="F12" i="3"/>
  <c r="F16" i="3"/>
  <c r="F19" i="3"/>
  <c r="F17" i="3"/>
  <c r="F15" i="3"/>
  <c r="F9" i="3"/>
  <c r="F8" i="3"/>
  <c r="CG24" i="6"/>
  <c r="CH24" i="6" s="1"/>
  <c r="CF24" i="6"/>
  <c r="FR27" i="6"/>
  <c r="FS27" i="6"/>
  <c r="FT27" i="6" s="1"/>
  <c r="AR27" i="6"/>
  <c r="AS27" i="6"/>
  <c r="AT27" i="6" s="1"/>
  <c r="BV30" i="6"/>
  <c r="BW30" i="6"/>
  <c r="BX30" i="6" s="1"/>
  <c r="F51" i="121"/>
  <c r="F27" i="121"/>
  <c r="F25" i="121"/>
  <c r="F23" i="121"/>
  <c r="F46" i="121"/>
  <c r="AI52" i="7"/>
  <c r="AJ52" i="7" s="1"/>
  <c r="AL52" i="7" s="1"/>
  <c r="AK201" i="7"/>
  <c r="AG201" i="7"/>
  <c r="EE21" i="6"/>
  <c r="EF21" i="6" s="1"/>
  <c r="ED21" i="6"/>
  <c r="AJ76" i="7"/>
  <c r="AL76" i="7" s="1"/>
  <c r="AK76" i="7" s="1"/>
  <c r="AB76" i="7"/>
  <c r="EX19" i="6"/>
  <c r="EY19" i="6"/>
  <c r="EZ19" i="6" s="1"/>
  <c r="AK118" i="7"/>
  <c r="AG118" i="7"/>
  <c r="AK145" i="7"/>
  <c r="AG145" i="7"/>
  <c r="AK149" i="7"/>
  <c r="AG149" i="7"/>
  <c r="AG188" i="7"/>
  <c r="AK188" i="7"/>
  <c r="AK210" i="7"/>
  <c r="AG210" i="7"/>
  <c r="AE80" i="7"/>
  <c r="AD80" i="7"/>
  <c r="AC80" i="7"/>
  <c r="EO16" i="6"/>
  <c r="EP16" i="6" s="1"/>
  <c r="EN16" i="6"/>
  <c r="CF21" i="6"/>
  <c r="CG21" i="6"/>
  <c r="CH21" i="6" s="1"/>
  <c r="AK202" i="7"/>
  <c r="AG202" i="7"/>
  <c r="AK146" i="7"/>
  <c r="AG146" i="7"/>
  <c r="ED18" i="6"/>
  <c r="EE18" i="6"/>
  <c r="EF18" i="6" s="1"/>
  <c r="AK128" i="7"/>
  <c r="AG128" i="7"/>
  <c r="AC75" i="7"/>
  <c r="AG134" i="7"/>
  <c r="AG198" i="7"/>
  <c r="DA17" i="6"/>
  <c r="DB17" i="6" s="1"/>
  <c r="F27" i="72"/>
  <c r="F52" i="72"/>
  <c r="F27" i="77"/>
  <c r="F53" i="80"/>
  <c r="F46" i="97"/>
  <c r="F53" i="123"/>
  <c r="F27" i="125"/>
  <c r="N28" i="139"/>
  <c r="M28" i="140"/>
  <c r="M28" i="147"/>
  <c r="G28" i="152"/>
  <c r="M47" i="153"/>
  <c r="J5" i="2"/>
  <c r="E23" i="70" s="1"/>
  <c r="G28" i="83"/>
  <c r="F24" i="137"/>
  <c r="G55" i="146"/>
  <c r="P77" i="7" s="1"/>
  <c r="U77" i="7" s="1"/>
  <c r="G39" i="151"/>
  <c r="O82" i="7" s="1"/>
  <c r="T82" i="7" s="1"/>
  <c r="AF75" i="7"/>
  <c r="AF84" i="7"/>
  <c r="AG132" i="7"/>
  <c r="E84" i="5"/>
  <c r="F46" i="71"/>
  <c r="F51" i="79"/>
  <c r="G28" i="84"/>
  <c r="F45" i="95"/>
  <c r="F44" i="106"/>
  <c r="M28" i="119"/>
  <c r="F46" i="125"/>
  <c r="F43" i="136"/>
  <c r="F53" i="136"/>
  <c r="F26" i="138"/>
  <c r="F54" i="138"/>
  <c r="G28" i="149"/>
  <c r="G110" i="6"/>
  <c r="M28" i="120"/>
  <c r="F23" i="137"/>
  <c r="F42" i="137"/>
  <c r="N28" i="145"/>
  <c r="CZ20" i="6"/>
  <c r="CG28" i="6"/>
  <c r="CH28" i="6" s="1"/>
  <c r="DK67" i="6"/>
  <c r="E83" i="6" s="1"/>
  <c r="F43" i="71"/>
  <c r="F44" i="72"/>
  <c r="G28" i="89"/>
  <c r="F52" i="123"/>
  <c r="G47" i="129"/>
  <c r="G28" i="147"/>
  <c r="N25" i="149"/>
  <c r="N28" i="149" s="1"/>
  <c r="CG14" i="6"/>
  <c r="CH14" i="6" s="1"/>
  <c r="AS21" i="6"/>
  <c r="AT21" i="6" s="1"/>
  <c r="CZ21" i="6"/>
  <c r="CG22" i="6"/>
  <c r="CH22" i="6" s="1"/>
  <c r="AR23" i="6"/>
  <c r="AR24" i="6"/>
  <c r="EN26" i="6"/>
  <c r="FS29" i="6"/>
  <c r="FT29" i="6" s="1"/>
  <c r="AS30" i="6"/>
  <c r="AT30" i="6" s="1"/>
  <c r="F25" i="71"/>
  <c r="F51" i="71"/>
  <c r="F24" i="79"/>
  <c r="F24" i="84"/>
  <c r="M28" i="89"/>
  <c r="G28" i="96"/>
  <c r="F25" i="123"/>
  <c r="F53" i="126"/>
  <c r="N28" i="129"/>
  <c r="M47" i="129"/>
  <c r="F53" i="137"/>
  <c r="G39" i="153"/>
  <c r="O83" i="7" s="1"/>
  <c r="T83" i="7" s="1"/>
  <c r="BV13" i="6"/>
  <c r="DK16" i="6"/>
  <c r="DL16" i="6" s="1"/>
  <c r="DA18" i="6"/>
  <c r="DB18" i="6" s="1"/>
  <c r="FI18" i="6"/>
  <c r="FJ18" i="6" s="1"/>
  <c r="EE19" i="6"/>
  <c r="EF19" i="6" s="1"/>
  <c r="BM20" i="6"/>
  <c r="BN20" i="6" s="1"/>
  <c r="FR20" i="6"/>
  <c r="BV25" i="6"/>
  <c r="EE25" i="6"/>
  <c r="EF25" i="6" s="1"/>
  <c r="FI28" i="6"/>
  <c r="FJ28" i="6" s="1"/>
  <c r="DU29" i="6"/>
  <c r="DV29" i="6" s="1"/>
  <c r="DA30" i="6"/>
  <c r="DB30" i="6" s="1"/>
  <c r="F27" i="71"/>
  <c r="M47" i="76"/>
  <c r="F46" i="80"/>
  <c r="M28" i="91"/>
  <c r="F27" i="137"/>
  <c r="M28" i="138"/>
  <c r="G28" i="151"/>
  <c r="AG119" i="7"/>
  <c r="AK119" i="7"/>
  <c r="AK137" i="7"/>
  <c r="AG137" i="7"/>
  <c r="AG184" i="7"/>
  <c r="AK184" i="7"/>
  <c r="AK170" i="7"/>
  <c r="AG170" i="7"/>
  <c r="AK93" i="7"/>
  <c r="AG93" i="7"/>
  <c r="AK141" i="7"/>
  <c r="AG141" i="7"/>
  <c r="AG48" i="7"/>
  <c r="AK48" i="7"/>
  <c r="AK121" i="7"/>
  <c r="AG121" i="7"/>
  <c r="AK164" i="7"/>
  <c r="AG164" i="7"/>
  <c r="AK204" i="7"/>
  <c r="AG204" i="7"/>
  <c r="AK189" i="7"/>
  <c r="AG189" i="7"/>
  <c r="AK45" i="7"/>
  <c r="AG45" i="7"/>
  <c r="AK38" i="7"/>
  <c r="AG38" i="7"/>
  <c r="AG61" i="7"/>
  <c r="AK61" i="7"/>
  <c r="AK109" i="7"/>
  <c r="AG109" i="7"/>
  <c r="AG28" i="7"/>
  <c r="AK28" i="7"/>
  <c r="AK183" i="7"/>
  <c r="AG183" i="7"/>
  <c r="AK208" i="7"/>
  <c r="AG208" i="7"/>
  <c r="AG36" i="7"/>
  <c r="AK36" i="7"/>
  <c r="AK89" i="7"/>
  <c r="AG89" i="7"/>
  <c r="AK114" i="7"/>
  <c r="AG114" i="7"/>
  <c r="AG177" i="7"/>
  <c r="AK177" i="7"/>
  <c r="AG178" i="7"/>
  <c r="AD23" i="7"/>
  <c r="AJ72" i="7"/>
  <c r="AL72" i="7" s="1"/>
  <c r="AK72" i="7" s="1"/>
  <c r="AG105" i="7"/>
  <c r="AG154" i="7"/>
  <c r="AG214" i="7"/>
  <c r="DJ28" i="6"/>
  <c r="DK28" i="6"/>
  <c r="DL28" i="6" s="1"/>
  <c r="AB81" i="7"/>
  <c r="AK92" i="7"/>
  <c r="AG167" i="7"/>
  <c r="AK176" i="7"/>
  <c r="AK200" i="7"/>
  <c r="G39" i="73"/>
  <c r="O9" i="7" s="1"/>
  <c r="T9" i="7" s="1"/>
  <c r="DU30" i="6"/>
  <c r="DV30" i="6" s="1"/>
  <c r="AC81" i="7"/>
  <c r="AD81" i="7"/>
  <c r="AG194" i="7"/>
  <c r="DT16" i="6"/>
  <c r="DU16" i="6"/>
  <c r="DV16" i="6" s="1"/>
  <c r="AG55" i="7"/>
  <c r="AD78" i="7"/>
  <c r="AE81" i="7"/>
  <c r="AK104" i="7"/>
  <c r="J10" i="2"/>
  <c r="E42" i="90" s="1"/>
  <c r="G42" i="90" s="1"/>
  <c r="BB21" i="6"/>
  <c r="BC21" i="6"/>
  <c r="BD21" i="6" s="1"/>
  <c r="AF78" i="7"/>
  <c r="AB80" i="7"/>
  <c r="AF81" i="7"/>
  <c r="AG86" i="7"/>
  <c r="FR13" i="6"/>
  <c r="FS13" i="6"/>
  <c r="FT13" i="6" s="1"/>
  <c r="AG152" i="7"/>
  <c r="DU20" i="6"/>
  <c r="DV20" i="6" s="1"/>
  <c r="DT20" i="6"/>
  <c r="M28" i="80"/>
  <c r="N28" i="95"/>
  <c r="L25" i="72"/>
  <c r="BL23" i="6"/>
  <c r="G29" i="74"/>
  <c r="N23" i="74"/>
  <c r="N29" i="74" s="1"/>
  <c r="AJ78" i="7"/>
  <c r="AL78" i="7" s="1"/>
  <c r="AK99" i="7"/>
  <c r="AG130" i="7"/>
  <c r="AG98" i="7"/>
  <c r="AG125" i="7"/>
  <c r="AG147" i="7"/>
  <c r="DA25" i="6"/>
  <c r="DB25" i="6" s="1"/>
  <c r="CZ25" i="6"/>
  <c r="AF23" i="7"/>
  <c r="AG94" i="7"/>
  <c r="AG138" i="7"/>
  <c r="AK192" i="7"/>
  <c r="J12" i="2"/>
  <c r="E24" i="87" s="1"/>
  <c r="G24" i="87" s="1"/>
  <c r="DU19" i="6"/>
  <c r="DV19" i="6" s="1"/>
  <c r="F27" i="124"/>
  <c r="F52" i="124"/>
  <c r="F24" i="124"/>
  <c r="F43" i="124"/>
  <c r="F46" i="124"/>
  <c r="F23" i="124"/>
  <c r="F26" i="124"/>
  <c r="F44" i="124"/>
  <c r="M29" i="74"/>
  <c r="F45" i="75"/>
  <c r="M28" i="129"/>
  <c r="G55" i="152"/>
  <c r="FI67" i="6"/>
  <c r="E88" i="6" s="1"/>
  <c r="F52" i="70"/>
  <c r="F26" i="74"/>
  <c r="F24" i="75"/>
  <c r="G47" i="75"/>
  <c r="F52" i="79"/>
  <c r="N23" i="89"/>
  <c r="N28" i="89" s="1"/>
  <c r="F24" i="95"/>
  <c r="F27" i="95"/>
  <c r="N43" i="116"/>
  <c r="G28" i="128"/>
  <c r="G28" i="134"/>
  <c r="G47" i="149"/>
  <c r="M28" i="150"/>
  <c r="P71" i="6"/>
  <c r="E73" i="6" s="1"/>
  <c r="FS67" i="6"/>
  <c r="E89" i="6" s="1"/>
  <c r="F53" i="73"/>
  <c r="F43" i="74"/>
  <c r="F54" i="74"/>
  <c r="G47" i="77"/>
  <c r="N23" i="83"/>
  <c r="N28" i="83" s="1"/>
  <c r="F46" i="83"/>
  <c r="F54" i="84"/>
  <c r="F25" i="96"/>
  <c r="F54" i="96"/>
  <c r="G28" i="108"/>
  <c r="N28" i="109"/>
  <c r="G28" i="110"/>
  <c r="F23" i="123"/>
  <c r="F25" i="137"/>
  <c r="G39" i="149"/>
  <c r="O80" i="7" s="1"/>
  <c r="T80" i="7" s="1"/>
  <c r="E55" i="5"/>
  <c r="E56" i="5" s="1"/>
  <c r="E57" i="5" s="1"/>
  <c r="CG13" i="6"/>
  <c r="CH13" i="6" s="1"/>
  <c r="AS19" i="6"/>
  <c r="AT19" i="6" s="1"/>
  <c r="BM21" i="6"/>
  <c r="BN21" i="6" s="1"/>
  <c r="EX21" i="6"/>
  <c r="BV23" i="6"/>
  <c r="DU27" i="6"/>
  <c r="DV27" i="6" s="1"/>
  <c r="F44" i="70"/>
  <c r="F46" i="74"/>
  <c r="F43" i="84"/>
  <c r="F53" i="106"/>
  <c r="G28" i="129"/>
  <c r="N24" i="130"/>
  <c r="M28" i="134"/>
  <c r="G47" i="137"/>
  <c r="G39" i="139"/>
  <c r="O70" i="7" s="1"/>
  <c r="T70" i="7" s="1"/>
  <c r="M28" i="145"/>
  <c r="M47" i="149"/>
  <c r="F54" i="70"/>
  <c r="F24" i="74"/>
  <c r="F54" i="79"/>
  <c r="F27" i="83"/>
  <c r="F46" i="84"/>
  <c r="F43" i="96"/>
  <c r="F44" i="97"/>
  <c r="F52" i="97"/>
  <c r="G47" i="109"/>
  <c r="N28" i="115"/>
  <c r="N47" i="149"/>
  <c r="N28" i="5"/>
  <c r="N29" i="5" s="1"/>
  <c r="N30" i="5" s="1"/>
  <c r="F7" i="3"/>
  <c r="F21" i="3"/>
  <c r="ED14" i="6"/>
  <c r="AS15" i="6"/>
  <c r="AT15" i="6" s="1"/>
  <c r="DU15" i="6"/>
  <c r="DV15" i="6" s="1"/>
  <c r="AS16" i="6"/>
  <c r="AT16" i="6" s="1"/>
  <c r="EN17" i="6"/>
  <c r="BB18" i="6"/>
  <c r="BC19" i="6"/>
  <c r="BD19" i="6" s="1"/>
  <c r="DU25" i="6"/>
  <c r="DV25" i="6" s="1"/>
  <c r="EE27" i="6"/>
  <c r="EF27" i="6" s="1"/>
  <c r="AS28" i="6"/>
  <c r="AT28" i="6" s="1"/>
  <c r="AS29" i="6"/>
  <c r="AT29" i="6" s="1"/>
  <c r="F46" i="75"/>
  <c r="F26" i="79"/>
  <c r="M28" i="128"/>
  <c r="G47" i="136"/>
  <c r="M47" i="137"/>
  <c r="DA13" i="6"/>
  <c r="DB13" i="6" s="1"/>
  <c r="EO18" i="6"/>
  <c r="EP18" i="6" s="1"/>
  <c r="EO28" i="6"/>
  <c r="EP28" i="6" s="1"/>
  <c r="EO29" i="6"/>
  <c r="EP29" i="6" s="1"/>
  <c r="EY30" i="6"/>
  <c r="EZ30" i="6" s="1"/>
  <c r="F27" i="74"/>
  <c r="F55" i="74"/>
  <c r="M28" i="84"/>
  <c r="F25" i="95"/>
  <c r="F25" i="97"/>
  <c r="M47" i="136"/>
  <c r="G39" i="137"/>
  <c r="O68" i="7" s="1"/>
  <c r="T68" i="7" s="1"/>
  <c r="G55" i="150"/>
  <c r="P81" i="7" s="1"/>
  <c r="U81" i="7" s="1"/>
  <c r="M47" i="154"/>
  <c r="AI71" i="6"/>
  <c r="E75" i="6" s="1"/>
  <c r="F43" i="75"/>
  <c r="G28" i="80"/>
  <c r="F50" i="84"/>
  <c r="M28" i="90"/>
  <c r="N28" i="106"/>
  <c r="M28" i="118"/>
  <c r="N47" i="148"/>
  <c r="F10" i="3"/>
  <c r="BV17" i="6"/>
  <c r="BM18" i="6"/>
  <c r="BN18" i="6" s="1"/>
  <c r="EX18" i="6"/>
  <c r="BM19" i="6"/>
  <c r="BN19" i="6" s="1"/>
  <c r="DJ23" i="6"/>
  <c r="EN24" i="6"/>
  <c r="BM28" i="6"/>
  <c r="BN28" i="6" s="1"/>
  <c r="EY28" i="6"/>
  <c r="EZ28" i="6" s="1"/>
  <c r="BM29" i="6"/>
  <c r="BN29" i="6" s="1"/>
  <c r="FI30" i="6"/>
  <c r="FJ30" i="6" s="1"/>
  <c r="AS67" i="6"/>
  <c r="E76" i="6" s="1"/>
  <c r="F44" i="74"/>
  <c r="F51" i="75"/>
  <c r="F44" i="83"/>
  <c r="F51" i="84"/>
  <c r="M28" i="96"/>
  <c r="F50" i="96"/>
  <c r="G28" i="117"/>
  <c r="N28" i="119"/>
  <c r="G47" i="150"/>
  <c r="BB14" i="6"/>
  <c r="EY14" i="6"/>
  <c r="EZ14" i="6" s="1"/>
  <c r="BM15" i="6"/>
  <c r="BN15" i="6" s="1"/>
  <c r="EN15" i="6"/>
  <c r="FI17" i="6"/>
  <c r="FJ17" i="6" s="1"/>
  <c r="EO25" i="6"/>
  <c r="EP25" i="6" s="1"/>
  <c r="CG30" i="6"/>
  <c r="CH30" i="6" s="1"/>
  <c r="CG67" i="6"/>
  <c r="E80" i="6" s="1"/>
  <c r="BM67" i="6"/>
  <c r="E78" i="6" s="1"/>
  <c r="BC67" i="6"/>
  <c r="E77" i="6" s="1"/>
  <c r="F25" i="72"/>
  <c r="F54" i="75"/>
  <c r="N23" i="96"/>
  <c r="N28" i="96" s="1"/>
  <c r="F26" i="96"/>
  <c r="F51" i="96"/>
  <c r="M47" i="107"/>
  <c r="M28" i="109"/>
  <c r="G28" i="138"/>
  <c r="AT35" i="6"/>
  <c r="C76" i="6" s="1"/>
  <c r="CQ67" i="6"/>
  <c r="E81" i="6" s="1"/>
  <c r="BW67" i="6"/>
  <c r="E79" i="6" s="1"/>
  <c r="G39" i="78"/>
  <c r="O14" i="7" s="1"/>
  <c r="F43" i="79"/>
  <c r="F53" i="83"/>
  <c r="F23" i="84"/>
  <c r="F26" i="84"/>
  <c r="BM14" i="6"/>
  <c r="BN14" i="6" s="1"/>
  <c r="FI14" i="6"/>
  <c r="FJ14" i="6" s="1"/>
  <c r="CG17" i="6"/>
  <c r="CH17" i="6" s="1"/>
  <c r="FS17" i="6"/>
  <c r="FT17" i="6" s="1"/>
  <c r="EY24" i="6"/>
  <c r="EZ24" i="6" s="1"/>
  <c r="BW26" i="6"/>
  <c r="BX26" i="6" s="1"/>
  <c r="CG29" i="6"/>
  <c r="CH29" i="6" s="1"/>
  <c r="DA67" i="6"/>
  <c r="E82" i="6" s="1"/>
  <c r="F28" i="74"/>
  <c r="F23" i="79"/>
  <c r="F27" i="79"/>
  <c r="F23" i="95"/>
  <c r="F24" i="106"/>
  <c r="G28" i="120"/>
  <c r="N23" i="138"/>
  <c r="N28" i="138" s="1"/>
  <c r="G47" i="139"/>
  <c r="G28" i="146"/>
  <c r="G55" i="148"/>
  <c r="P79" i="7" s="1"/>
  <c r="U79" i="7" s="1"/>
  <c r="M47" i="9"/>
  <c r="F51" i="74"/>
  <c r="G39" i="146"/>
  <c r="O77" i="7" s="1"/>
  <c r="T77" i="7" s="1"/>
  <c r="N23" i="147"/>
  <c r="N28" i="147" s="1"/>
  <c r="G39" i="148"/>
  <c r="O79" i="7" s="1"/>
  <c r="T79" i="7" s="1"/>
  <c r="G55" i="154"/>
  <c r="F23" i="3"/>
  <c r="BW14" i="6"/>
  <c r="BX14" i="6" s="1"/>
  <c r="CP15" i="6"/>
  <c r="CQ17" i="6"/>
  <c r="CR17" i="6" s="1"/>
  <c r="DJ20" i="6"/>
  <c r="ED22" i="6"/>
  <c r="BB23" i="6"/>
  <c r="FI24" i="6"/>
  <c r="FJ24" i="6" s="1"/>
  <c r="FR25" i="6"/>
  <c r="FH26" i="6"/>
  <c r="CG27" i="6"/>
  <c r="CH27" i="6" s="1"/>
  <c r="CQ29" i="6"/>
  <c r="CR29" i="6" s="1"/>
  <c r="G47" i="9"/>
  <c r="M28" i="95"/>
  <c r="N28" i="105"/>
  <c r="N47" i="109"/>
  <c r="F42" i="123"/>
  <c r="F42" i="125"/>
  <c r="N42" i="139"/>
  <c r="N47" i="139" s="1"/>
  <c r="N23" i="146"/>
  <c r="N28" i="146" s="1"/>
  <c r="G55" i="153"/>
  <c r="P83" i="7" s="1"/>
  <c r="U83" i="7" s="1"/>
  <c r="DJ19" i="6"/>
  <c r="FI23" i="6"/>
  <c r="FJ23" i="6" s="1"/>
  <c r="DK30" i="6"/>
  <c r="DL30" i="6" s="1"/>
  <c r="DM59" i="6"/>
  <c r="D83" i="6" s="1"/>
  <c r="EE67" i="6"/>
  <c r="E85" i="6" s="1"/>
  <c r="F43" i="77"/>
  <c r="F46" i="77"/>
  <c r="F45" i="84"/>
  <c r="F53" i="84"/>
  <c r="F45" i="96"/>
  <c r="M47" i="109"/>
  <c r="N23" i="120"/>
  <c r="N28" i="120" s="1"/>
  <c r="F50" i="136"/>
  <c r="F24" i="138"/>
  <c r="M28" i="153"/>
  <c r="N47" i="77"/>
  <c r="M28" i="105"/>
  <c r="N42" i="129"/>
  <c r="N47" i="129" s="1"/>
  <c r="G28" i="137"/>
  <c r="F46" i="137"/>
  <c r="G55" i="145"/>
  <c r="P76" i="7" s="1"/>
  <c r="U76" i="7" s="1"/>
  <c r="AK18" i="7"/>
  <c r="AG18" i="7"/>
  <c r="G2" i="63"/>
  <c r="F43" i="81"/>
  <c r="F50" i="81"/>
  <c r="F51" i="81"/>
  <c r="F53" i="81"/>
  <c r="F27" i="81"/>
  <c r="F54" i="81"/>
  <c r="AG17" i="7"/>
  <c r="AK82" i="7"/>
  <c r="AG82" i="7"/>
  <c r="AG35" i="7"/>
  <c r="AK35" i="7"/>
  <c r="AG26" i="7"/>
  <c r="AK26" i="7"/>
  <c r="AJ24" i="7"/>
  <c r="AL24" i="7" s="1"/>
  <c r="AK182" i="7"/>
  <c r="AG182" i="7"/>
  <c r="AK96" i="7"/>
  <c r="AG96" i="7"/>
  <c r="AK22" i="7"/>
  <c r="AG22" i="7"/>
  <c r="AK46" i="7"/>
  <c r="AG46" i="7"/>
  <c r="AG44" i="7"/>
  <c r="AK44" i="7"/>
  <c r="AK161" i="7"/>
  <c r="AG161" i="7"/>
  <c r="AK8" i="7"/>
  <c r="AG148" i="7"/>
  <c r="AK148" i="7"/>
  <c r="AG69" i="7"/>
  <c r="AK69" i="7"/>
  <c r="AK39" i="7"/>
  <c r="AG39" i="7"/>
  <c r="AG53" i="7"/>
  <c r="AK53" i="7"/>
  <c r="AK150" i="7"/>
  <c r="AG150" i="7"/>
  <c r="AJ63" i="7"/>
  <c r="AL63" i="7" s="1"/>
  <c r="AG120" i="7"/>
  <c r="AK120" i="7"/>
  <c r="AK43" i="7"/>
  <c r="AG43" i="7"/>
  <c r="AK29" i="7"/>
  <c r="AG29" i="7"/>
  <c r="AF82" i="7"/>
  <c r="AE82" i="7"/>
  <c r="AD82" i="7"/>
  <c r="AC82" i="7"/>
  <c r="AB82" i="7"/>
  <c r="AJ10" i="7"/>
  <c r="AL10" i="7" s="1"/>
  <c r="AJ70" i="7"/>
  <c r="AL70" i="7" s="1"/>
  <c r="AJ9" i="7"/>
  <c r="AL9" i="7" s="1"/>
  <c r="AG65" i="7"/>
  <c r="AK65" i="7"/>
  <c r="AK185" i="7"/>
  <c r="AG185" i="7"/>
  <c r="AJ20" i="7"/>
  <c r="AL20" i="7" s="1"/>
  <c r="AJ34" i="7"/>
  <c r="AL34" i="7" s="1"/>
  <c r="AK169" i="7"/>
  <c r="AG169" i="7"/>
  <c r="AK32" i="7"/>
  <c r="AG32" i="7"/>
  <c r="AG90" i="7"/>
  <c r="AK90" i="7"/>
  <c r="AK153" i="7"/>
  <c r="AG153" i="7"/>
  <c r="DA22" i="6"/>
  <c r="DB22" i="6" s="1"/>
  <c r="AK30" i="7"/>
  <c r="AG30" i="7"/>
  <c r="AJ40" i="7"/>
  <c r="AL40" i="7" s="1"/>
  <c r="AK100" i="7"/>
  <c r="AG100" i="7"/>
  <c r="AK127" i="7"/>
  <c r="AG127" i="7"/>
  <c r="AK186" i="7"/>
  <c r="AG186" i="7"/>
  <c r="AK12" i="7"/>
  <c r="AJ49" i="7"/>
  <c r="AL49" i="7" s="1"/>
  <c r="AK85" i="7"/>
  <c r="AG85" i="7"/>
  <c r="AG131" i="7"/>
  <c r="AK151" i="7"/>
  <c r="AG151" i="7"/>
  <c r="AJ62" i="7"/>
  <c r="AL62" i="7" s="1"/>
  <c r="AK206" i="7"/>
  <c r="AG206" i="7"/>
  <c r="AK19" i="7"/>
  <c r="AG19" i="7"/>
  <c r="AK23" i="7"/>
  <c r="AG23" i="7"/>
  <c r="AK116" i="7"/>
  <c r="AG116" i="7"/>
  <c r="AK126" i="7"/>
  <c r="AG126" i="7"/>
  <c r="AG139" i="7"/>
  <c r="AK139" i="7"/>
  <c r="EO27" i="6"/>
  <c r="EP27" i="6" s="1"/>
  <c r="EN27" i="6"/>
  <c r="AB83" i="7"/>
  <c r="AF83" i="7"/>
  <c r="AE83" i="7"/>
  <c r="AD83" i="7"/>
  <c r="AC83" i="7"/>
  <c r="AK14" i="7"/>
  <c r="AG14" i="7"/>
  <c r="AG27" i="7"/>
  <c r="AJ83" i="7"/>
  <c r="AL83" i="7" s="1"/>
  <c r="AK110" i="7"/>
  <c r="AG110" i="7"/>
  <c r="AG124" i="7"/>
  <c r="AK124" i="7"/>
  <c r="AG144" i="7"/>
  <c r="AK144" i="7"/>
  <c r="DA19" i="6"/>
  <c r="DB19" i="6" s="1"/>
  <c r="CZ19" i="6"/>
  <c r="AK6" i="7"/>
  <c r="AG6" i="7"/>
  <c r="AJ33" i="7"/>
  <c r="AL33" i="7" s="1"/>
  <c r="AJ42" i="7"/>
  <c r="AL42" i="7" s="1"/>
  <c r="AJ59" i="7"/>
  <c r="AL59" i="7" s="1"/>
  <c r="AJ74" i="7"/>
  <c r="AL74" i="7" s="1"/>
  <c r="AK37" i="7"/>
  <c r="AG37" i="7"/>
  <c r="AJ51" i="7"/>
  <c r="AL51" i="7" s="1"/>
  <c r="AG107" i="7"/>
  <c r="AK107" i="7"/>
  <c r="AG123" i="7"/>
  <c r="AK123" i="7"/>
  <c r="AK179" i="7"/>
  <c r="AG179" i="7"/>
  <c r="DA15" i="6"/>
  <c r="DB15" i="6" s="1"/>
  <c r="CZ15" i="6"/>
  <c r="AJ47" i="7"/>
  <c r="AL47" i="7" s="1"/>
  <c r="AK88" i="7"/>
  <c r="AG102" i="7"/>
  <c r="AK106" i="7"/>
  <c r="AK135" i="7"/>
  <c r="AG142" i="7"/>
  <c r="AK142" i="7"/>
  <c r="AK156" i="7"/>
  <c r="AG156" i="7"/>
  <c r="AJ66" i="7"/>
  <c r="AL66" i="7" s="1"/>
  <c r="AK101" i="7"/>
  <c r="AG101" i="7"/>
  <c r="AK129" i="7"/>
  <c r="AG129" i="7"/>
  <c r="EE24" i="6"/>
  <c r="EF24" i="6" s="1"/>
  <c r="ED24" i="6"/>
  <c r="AK87" i="7"/>
  <c r="AG87" i="7"/>
  <c r="AK103" i="7"/>
  <c r="AG103" i="7"/>
  <c r="CG19" i="6"/>
  <c r="CH19" i="6" s="1"/>
  <c r="CF19" i="6"/>
  <c r="AG60" i="7"/>
  <c r="AK71" i="7"/>
  <c r="AG71" i="7"/>
  <c r="AC76" i="7"/>
  <c r="AJ25" i="7"/>
  <c r="AL25" i="7" s="1"/>
  <c r="AJ50" i="7"/>
  <c r="AL50" i="7" s="1"/>
  <c r="AG64" i="7"/>
  <c r="AD76" i="7"/>
  <c r="AK111" i="7"/>
  <c r="AG111" i="7"/>
  <c r="AG195" i="7"/>
  <c r="AK195" i="7"/>
  <c r="AK75" i="7"/>
  <c r="AE76" i="7"/>
  <c r="AK95" i="7"/>
  <c r="AG95" i="7"/>
  <c r="AK159" i="7"/>
  <c r="AK175" i="7"/>
  <c r="AG175" i="7"/>
  <c r="AK181" i="7"/>
  <c r="AF76" i="7"/>
  <c r="AF77" i="7"/>
  <c r="AE77" i="7"/>
  <c r="AD77" i="7"/>
  <c r="AC77" i="7"/>
  <c r="AB77" i="7"/>
  <c r="AK113" i="7"/>
  <c r="AG113" i="7"/>
  <c r="AK140" i="7"/>
  <c r="AG140" i="7"/>
  <c r="AK209" i="7"/>
  <c r="AG209" i="7"/>
  <c r="B4" i="151"/>
  <c r="B4" i="149"/>
  <c r="B4" i="140"/>
  <c r="B4" i="154"/>
  <c r="B4" i="145"/>
  <c r="B4" i="133"/>
  <c r="B4" i="152"/>
  <c r="B4" i="138"/>
  <c r="B4" i="126"/>
  <c r="B4" i="143"/>
  <c r="B4" i="131"/>
  <c r="B4" i="150"/>
  <c r="B4" i="153"/>
  <c r="B4" i="147"/>
  <c r="B4" i="127"/>
  <c r="B4" i="119"/>
  <c r="B4" i="132"/>
  <c r="B4" i="122"/>
  <c r="B4" i="117"/>
  <c r="B4" i="134"/>
  <c r="B4" i="115"/>
  <c r="B4" i="146"/>
  <c r="B4" i="141"/>
  <c r="B4" i="123"/>
  <c r="B4" i="109"/>
  <c r="B4" i="128"/>
  <c r="B4" i="124"/>
  <c r="B4" i="148"/>
  <c r="B4" i="144"/>
  <c r="B4" i="139"/>
  <c r="B4" i="116"/>
  <c r="B4" i="125"/>
  <c r="B4" i="100"/>
  <c r="B4" i="95"/>
  <c r="B4" i="121"/>
  <c r="B4" i="120"/>
  <c r="B4" i="118"/>
  <c r="B4" i="142"/>
  <c r="B4" i="129"/>
  <c r="B4" i="104"/>
  <c r="B4" i="136"/>
  <c r="B4" i="102"/>
  <c r="B4" i="130"/>
  <c r="B4" i="108"/>
  <c r="B4" i="107"/>
  <c r="B4" i="106"/>
  <c r="B4" i="88"/>
  <c r="B4" i="137"/>
  <c r="B4" i="94"/>
  <c r="B4" i="86"/>
  <c r="B4" i="105"/>
  <c r="B4" i="91"/>
  <c r="B4" i="99"/>
  <c r="B4" i="84"/>
  <c r="B4" i="110"/>
  <c r="B4" i="93"/>
  <c r="B4" i="87"/>
  <c r="B4" i="89"/>
  <c r="B4" i="72"/>
  <c r="B4" i="103"/>
  <c r="B4" i="73"/>
  <c r="B4" i="79"/>
  <c r="B4" i="77"/>
  <c r="B4" i="96"/>
  <c r="B4" i="83"/>
  <c r="B4" i="80"/>
  <c r="B4" i="97"/>
  <c r="B4" i="92"/>
  <c r="B4" i="78"/>
  <c r="B4" i="98"/>
  <c r="B4" i="81"/>
  <c r="B4" i="75"/>
  <c r="B4" i="90"/>
  <c r="B4" i="85"/>
  <c r="B4" i="71"/>
  <c r="B4" i="135"/>
  <c r="B4" i="82"/>
  <c r="B4" i="74"/>
  <c r="B4" i="70"/>
  <c r="B2" i="58"/>
  <c r="B4" i="76"/>
  <c r="B4" i="9"/>
  <c r="B2" i="4"/>
  <c r="B2" i="6"/>
  <c r="C2" i="2"/>
  <c r="B2" i="5"/>
  <c r="B2" i="3"/>
  <c r="C2" i="63"/>
  <c r="AK21" i="7"/>
  <c r="AJ77" i="7"/>
  <c r="AL77" i="7" s="1"/>
  <c r="AC78" i="7"/>
  <c r="AB78" i="7"/>
  <c r="AK97" i="7"/>
  <c r="AG97" i="7"/>
  <c r="AK173" i="7"/>
  <c r="AG173" i="7"/>
  <c r="AK180" i="7"/>
  <c r="AG180" i="7"/>
  <c r="AK117" i="7"/>
  <c r="AG117" i="7"/>
  <c r="AK193" i="7"/>
  <c r="AG193" i="7"/>
  <c r="DK18" i="6"/>
  <c r="DL18" i="6" s="1"/>
  <c r="DJ18" i="6"/>
  <c r="AK136" i="7"/>
  <c r="AK155" i="7"/>
  <c r="DU17" i="6"/>
  <c r="DV17" i="6" s="1"/>
  <c r="DT17" i="6"/>
  <c r="DU18" i="6"/>
  <c r="DV18" i="6" s="1"/>
  <c r="DT18" i="6"/>
  <c r="AK207" i="7"/>
  <c r="AG207" i="7"/>
  <c r="CQ13" i="6"/>
  <c r="CR13" i="6" s="1"/>
  <c r="CP13" i="6"/>
  <c r="FA59" i="6"/>
  <c r="D87" i="6" s="1"/>
  <c r="AK191" i="7"/>
  <c r="AG191" i="7"/>
  <c r="EY16" i="6"/>
  <c r="EZ16" i="6" s="1"/>
  <c r="EX16" i="6"/>
  <c r="BM17" i="6"/>
  <c r="BN17" i="6" s="1"/>
  <c r="BL17" i="6"/>
  <c r="AE84" i="7"/>
  <c r="AD84" i="7"/>
  <c r="AC84" i="7"/>
  <c r="AK215" i="7"/>
  <c r="AF79" i="7"/>
  <c r="AE79" i="7"/>
  <c r="AD79" i="7"/>
  <c r="AB79" i="7"/>
  <c r="AJ79" i="7"/>
  <c r="AL79" i="7" s="1"/>
  <c r="AK81" i="7"/>
  <c r="AG81" i="7"/>
  <c r="AK143" i="7"/>
  <c r="AG143" i="7"/>
  <c r="AG187" i="7"/>
  <c r="AK187" i="7"/>
  <c r="C24" i="88"/>
  <c r="DK25" i="6"/>
  <c r="DL25" i="6" s="1"/>
  <c r="DJ25" i="6"/>
  <c r="AK133" i="7"/>
  <c r="AG133" i="7"/>
  <c r="AK157" i="7"/>
  <c r="AG157" i="7"/>
  <c r="AK165" i="7"/>
  <c r="AG165" i="7"/>
  <c r="AK166" i="7"/>
  <c r="AG166" i="7"/>
  <c r="AK212" i="7"/>
  <c r="AG212" i="7"/>
  <c r="AJ73" i="7"/>
  <c r="AL73" i="7" s="1"/>
  <c r="AK174" i="7"/>
  <c r="AG174" i="7"/>
  <c r="DU28" i="6"/>
  <c r="DV28" i="6" s="1"/>
  <c r="DT28" i="6"/>
  <c r="EE30" i="6"/>
  <c r="EF30" i="6" s="1"/>
  <c r="ED30" i="6"/>
  <c r="AK171" i="7"/>
  <c r="J7" i="2"/>
  <c r="E23" i="124" s="1"/>
  <c r="EN14" i="6"/>
  <c r="AK197" i="7"/>
  <c r="AG197" i="7"/>
  <c r="AS13" i="6"/>
  <c r="AT13" i="6" s="1"/>
  <c r="AR13" i="6"/>
  <c r="FI16" i="6"/>
  <c r="FJ16" i="6" s="1"/>
  <c r="FH16" i="6"/>
  <c r="AK196" i="7"/>
  <c r="AG196" i="7"/>
  <c r="BM22" i="6"/>
  <c r="BN22" i="6" s="1"/>
  <c r="BL22" i="6"/>
  <c r="AG162" i="7"/>
  <c r="AG172" i="7"/>
  <c r="FH29" i="6"/>
  <c r="EO20" i="6"/>
  <c r="EP20" i="6" s="1"/>
  <c r="EN20" i="6"/>
  <c r="BV20" i="6"/>
  <c r="FS22" i="6"/>
  <c r="FT22" i="6" s="1"/>
  <c r="FR22" i="6"/>
  <c r="AG190" i="7"/>
  <c r="AK203" i="7"/>
  <c r="FI19" i="6"/>
  <c r="FJ19" i="6" s="1"/>
  <c r="FH19" i="6"/>
  <c r="FI20" i="6"/>
  <c r="FJ20" i="6" s="1"/>
  <c r="FH20" i="6"/>
  <c r="CQ26" i="6"/>
  <c r="CR26" i="6" s="1"/>
  <c r="CP26" i="6"/>
  <c r="DA16" i="6"/>
  <c r="DB16" i="6" s="1"/>
  <c r="CZ16" i="6"/>
  <c r="FS19" i="6"/>
  <c r="FT19" i="6" s="1"/>
  <c r="FR19" i="6"/>
  <c r="CQ27" i="6"/>
  <c r="CR27" i="6" s="1"/>
  <c r="CP27" i="6"/>
  <c r="DK22" i="6"/>
  <c r="DL22" i="6" s="1"/>
  <c r="DJ22" i="6"/>
  <c r="CG23" i="6"/>
  <c r="CH23" i="6" s="1"/>
  <c r="CF23" i="6"/>
  <c r="BM24" i="6"/>
  <c r="BN24" i="6" s="1"/>
  <c r="BL24" i="6"/>
  <c r="G28" i="5"/>
  <c r="G29" i="5" s="1"/>
  <c r="G30" i="5" s="1"/>
  <c r="E32" i="130"/>
  <c r="G32" i="130" s="1"/>
  <c r="E31" i="127"/>
  <c r="G31" i="127" s="1"/>
  <c r="E31" i="134"/>
  <c r="G31" i="134" s="1"/>
  <c r="G39" i="134" s="1"/>
  <c r="O65" i="7" s="1"/>
  <c r="T65" i="7" s="1"/>
  <c r="E31" i="125"/>
  <c r="G31" i="125" s="1"/>
  <c r="E32" i="133"/>
  <c r="G32" i="133" s="1"/>
  <c r="E31" i="130"/>
  <c r="G31" i="130" s="1"/>
  <c r="E32" i="126"/>
  <c r="G32" i="126" s="1"/>
  <c r="C31" i="125"/>
  <c r="C32" i="133"/>
  <c r="C31" i="130"/>
  <c r="C32" i="126"/>
  <c r="E32" i="131"/>
  <c r="G32" i="131" s="1"/>
  <c r="E31" i="128"/>
  <c r="G31" i="128" s="1"/>
  <c r="G39" i="128" s="1"/>
  <c r="O59" i="7" s="1"/>
  <c r="T59" i="7" s="1"/>
  <c r="E31" i="131"/>
  <c r="G31" i="131" s="1"/>
  <c r="C31" i="118"/>
  <c r="E31" i="116"/>
  <c r="G31" i="116" s="1"/>
  <c r="C31" i="116"/>
  <c r="C32" i="130"/>
  <c r="E31" i="121"/>
  <c r="G31" i="121" s="1"/>
  <c r="E31" i="110"/>
  <c r="G31" i="110" s="1"/>
  <c r="C32" i="106"/>
  <c r="C31" i="134"/>
  <c r="C31" i="131"/>
  <c r="C31" i="127"/>
  <c r="C31" i="121"/>
  <c r="E31" i="108"/>
  <c r="G31" i="108" s="1"/>
  <c r="G39" i="108" s="1"/>
  <c r="O43" i="7" s="1"/>
  <c r="T43" i="7" s="1"/>
  <c r="E31" i="135"/>
  <c r="G31" i="135" s="1"/>
  <c r="G39" i="135" s="1"/>
  <c r="O66" i="7" s="1"/>
  <c r="C31" i="108"/>
  <c r="C31" i="135"/>
  <c r="E31" i="119"/>
  <c r="G31" i="119" s="1"/>
  <c r="C31" i="123"/>
  <c r="C31" i="122"/>
  <c r="E31" i="117"/>
  <c r="G31" i="117" s="1"/>
  <c r="C31" i="129"/>
  <c r="C31" i="115"/>
  <c r="C32" i="131"/>
  <c r="E31" i="120"/>
  <c r="G31" i="120" s="1"/>
  <c r="G39" i="120" s="1"/>
  <c r="O51" i="7" s="1"/>
  <c r="T51" i="7" s="1"/>
  <c r="E31" i="115"/>
  <c r="G31" i="115" s="1"/>
  <c r="E31" i="99"/>
  <c r="G31" i="99" s="1"/>
  <c r="C31" i="120"/>
  <c r="E31" i="106"/>
  <c r="G31" i="106" s="1"/>
  <c r="E35" i="105"/>
  <c r="G35" i="105" s="1"/>
  <c r="C31" i="99"/>
  <c r="E31" i="126"/>
  <c r="G31" i="126" s="1"/>
  <c r="E31" i="123"/>
  <c r="G31" i="123" s="1"/>
  <c r="C31" i="106"/>
  <c r="C35" i="105"/>
  <c r="E31" i="97"/>
  <c r="G31" i="97" s="1"/>
  <c r="C31" i="126"/>
  <c r="E31" i="118"/>
  <c r="G31" i="118" s="1"/>
  <c r="E31" i="107"/>
  <c r="G31" i="107" s="1"/>
  <c r="G39" i="107" s="1"/>
  <c r="O42" i="7" s="1"/>
  <c r="T42" i="7" s="1"/>
  <c r="E31" i="105"/>
  <c r="G31" i="105" s="1"/>
  <c r="E31" i="129"/>
  <c r="G31" i="129" s="1"/>
  <c r="G39" i="129" s="1"/>
  <c r="O60" i="7" s="1"/>
  <c r="T60" i="7" s="1"/>
  <c r="C31" i="119"/>
  <c r="C31" i="107"/>
  <c r="C31" i="105"/>
  <c r="E32" i="98"/>
  <c r="G32" i="98" s="1"/>
  <c r="E31" i="109"/>
  <c r="G31" i="109" s="1"/>
  <c r="G39" i="109" s="1"/>
  <c r="O44" i="7" s="1"/>
  <c r="T44" i="7" s="1"/>
  <c r="E34" i="105"/>
  <c r="G34" i="105" s="1"/>
  <c r="E31" i="103"/>
  <c r="G31" i="103" s="1"/>
  <c r="G39" i="103" s="1"/>
  <c r="O38" i="7" s="1"/>
  <c r="C32" i="98"/>
  <c r="C31" i="109"/>
  <c r="C34" i="105"/>
  <c r="C31" i="103"/>
  <c r="E33" i="99"/>
  <c r="G33" i="99" s="1"/>
  <c r="E31" i="95"/>
  <c r="G31" i="95" s="1"/>
  <c r="G39" i="95" s="1"/>
  <c r="O31" i="7" s="1"/>
  <c r="C31" i="117"/>
  <c r="E31" i="124"/>
  <c r="G31" i="124" s="1"/>
  <c r="C31" i="100"/>
  <c r="C31" i="110"/>
  <c r="C33" i="105"/>
  <c r="C32" i="102"/>
  <c r="E31" i="133"/>
  <c r="G31" i="133" s="1"/>
  <c r="C31" i="128"/>
  <c r="E31" i="100"/>
  <c r="G31" i="100" s="1"/>
  <c r="G39" i="100" s="1"/>
  <c r="O36" i="7" s="1"/>
  <c r="T36" i="7" s="1"/>
  <c r="C31" i="93"/>
  <c r="E31" i="87"/>
  <c r="G31" i="87" s="1"/>
  <c r="C31" i="133"/>
  <c r="E32" i="88"/>
  <c r="G32" i="88" s="1"/>
  <c r="C31" i="87"/>
  <c r="E31" i="85"/>
  <c r="G31" i="85" s="1"/>
  <c r="E31" i="104"/>
  <c r="G31" i="104" s="1"/>
  <c r="E32" i="99"/>
  <c r="G32" i="99" s="1"/>
  <c r="C32" i="88"/>
  <c r="C31" i="85"/>
  <c r="E31" i="80"/>
  <c r="G31" i="80" s="1"/>
  <c r="C31" i="104"/>
  <c r="C32" i="99"/>
  <c r="E31" i="90"/>
  <c r="G31" i="90" s="1"/>
  <c r="E32" i="96"/>
  <c r="G32" i="96" s="1"/>
  <c r="C31" i="90"/>
  <c r="C32" i="86"/>
  <c r="E31" i="83"/>
  <c r="G31" i="83" s="1"/>
  <c r="E33" i="82"/>
  <c r="G33" i="82" s="1"/>
  <c r="C32" i="81"/>
  <c r="C32" i="96"/>
  <c r="C31" i="98"/>
  <c r="E32" i="97"/>
  <c r="G32" i="97" s="1"/>
  <c r="C32" i="89"/>
  <c r="E31" i="86"/>
  <c r="G31" i="86" s="1"/>
  <c r="E32" i="102"/>
  <c r="G32" i="102" s="1"/>
  <c r="C32" i="97"/>
  <c r="E31" i="96"/>
  <c r="G31" i="96" s="1"/>
  <c r="C31" i="86"/>
  <c r="E33" i="105"/>
  <c r="G33" i="105" s="1"/>
  <c r="C31" i="96"/>
  <c r="E32" i="93"/>
  <c r="G32" i="93" s="1"/>
  <c r="E32" i="105"/>
  <c r="G32" i="105" s="1"/>
  <c r="E32" i="87"/>
  <c r="G32" i="87" s="1"/>
  <c r="C31" i="80"/>
  <c r="C32" i="76"/>
  <c r="C31" i="71"/>
  <c r="C32" i="105"/>
  <c r="E31" i="93"/>
  <c r="G31" i="93" s="1"/>
  <c r="C32" i="87"/>
  <c r="E32" i="86"/>
  <c r="G32" i="86" s="1"/>
  <c r="C31" i="83"/>
  <c r="E31" i="81"/>
  <c r="G31" i="81" s="1"/>
  <c r="C33" i="82"/>
  <c r="C31" i="81"/>
  <c r="E33" i="75"/>
  <c r="G33" i="75" s="1"/>
  <c r="E33" i="74"/>
  <c r="G33" i="74" s="1"/>
  <c r="E31" i="98"/>
  <c r="G31" i="98" s="1"/>
  <c r="E31" i="76"/>
  <c r="G31" i="76" s="1"/>
  <c r="C33" i="75"/>
  <c r="C33" i="74"/>
  <c r="C31" i="76"/>
  <c r="E31" i="72"/>
  <c r="E31" i="102"/>
  <c r="G31" i="102" s="1"/>
  <c r="E32" i="90"/>
  <c r="G32" i="90" s="1"/>
  <c r="C31" i="124"/>
  <c r="E31" i="122"/>
  <c r="G31" i="122" s="1"/>
  <c r="E32" i="106"/>
  <c r="G32" i="106" s="1"/>
  <c r="C31" i="88"/>
  <c r="C32" i="85"/>
  <c r="E31" i="84"/>
  <c r="G31" i="84" s="1"/>
  <c r="C33" i="81"/>
  <c r="E31" i="89"/>
  <c r="G31" i="89" s="1"/>
  <c r="C31" i="84"/>
  <c r="E31" i="82"/>
  <c r="G31" i="82" s="1"/>
  <c r="C31" i="82"/>
  <c r="C32" i="75"/>
  <c r="C31" i="95"/>
  <c r="C32" i="90"/>
  <c r="E33" i="81"/>
  <c r="G33" i="81" s="1"/>
  <c r="E32" i="74"/>
  <c r="G32" i="74" s="1"/>
  <c r="E32" i="81"/>
  <c r="G32" i="81" s="1"/>
  <c r="E31" i="75"/>
  <c r="G31" i="75" s="1"/>
  <c r="C32" i="74"/>
  <c r="C31" i="72"/>
  <c r="E32" i="80"/>
  <c r="G32" i="80" s="1"/>
  <c r="C31" i="75"/>
  <c r="E32" i="89"/>
  <c r="G32" i="89" s="1"/>
  <c r="E32" i="85"/>
  <c r="G32" i="85" s="1"/>
  <c r="E31" i="70"/>
  <c r="G31" i="70" s="1"/>
  <c r="G39" i="70" s="1"/>
  <c r="O6" i="7" s="1"/>
  <c r="C31" i="70"/>
  <c r="C31" i="102"/>
  <c r="C32" i="93"/>
  <c r="E32" i="76"/>
  <c r="G32" i="76" s="1"/>
  <c r="C32" i="80"/>
  <c r="E31" i="79"/>
  <c r="G31" i="79" s="1"/>
  <c r="G39" i="79" s="1"/>
  <c r="O15" i="7" s="1"/>
  <c r="T15" i="7" s="1"/>
  <c r="C31" i="79"/>
  <c r="E31" i="88"/>
  <c r="G31" i="88" s="1"/>
  <c r="C31" i="89"/>
  <c r="C31" i="97"/>
  <c r="C33" i="99"/>
  <c r="E32" i="82"/>
  <c r="G32" i="82" s="1"/>
  <c r="C32" i="82"/>
  <c r="E31" i="71"/>
  <c r="G31" i="71" s="1"/>
  <c r="EX17" i="6"/>
  <c r="EO21" i="6"/>
  <c r="EP21" i="6" s="1"/>
  <c r="EN21" i="6"/>
  <c r="DU22" i="6"/>
  <c r="DV22" i="6" s="1"/>
  <c r="DT22" i="6"/>
  <c r="CQ23" i="6"/>
  <c r="CR23" i="6" s="1"/>
  <c r="CP23" i="6"/>
  <c r="FR23" i="6"/>
  <c r="BB25" i="6"/>
  <c r="CZ29" i="6"/>
  <c r="AK213" i="7"/>
  <c r="AG213" i="7"/>
  <c r="BB22" i="6"/>
  <c r="FR26" i="6"/>
  <c r="DW59" i="6"/>
  <c r="D84" i="6" s="1"/>
  <c r="FK59" i="6"/>
  <c r="D88" i="6" s="1"/>
  <c r="BM25" i="6"/>
  <c r="BN25" i="6" s="1"/>
  <c r="BL25" i="6"/>
  <c r="AS26" i="6"/>
  <c r="AT26" i="6" s="1"/>
  <c r="AR26" i="6"/>
  <c r="E32" i="75"/>
  <c r="G32" i="75" s="1"/>
  <c r="CP14" i="6"/>
  <c r="EX25" i="6"/>
  <c r="DT26" i="6"/>
  <c r="BV28" i="6"/>
  <c r="CS59" i="6"/>
  <c r="D81" i="6" s="1"/>
  <c r="AG199" i="7"/>
  <c r="DT23" i="6"/>
  <c r="CP24" i="6"/>
  <c r="BB29" i="6"/>
  <c r="EG59" i="6"/>
  <c r="D85" i="6" s="1"/>
  <c r="AG205" i="7"/>
  <c r="AK211" i="7"/>
  <c r="E42" i="5"/>
  <c r="E43" i="5" s="1"/>
  <c r="E44" i="5" s="1"/>
  <c r="BC13" i="6"/>
  <c r="BD13" i="6" s="1"/>
  <c r="BB13" i="6"/>
  <c r="ED13" i="6"/>
  <c r="DA14" i="6"/>
  <c r="DB14" i="6" s="1"/>
  <c r="CZ14" i="6"/>
  <c r="BB16" i="6"/>
  <c r="CP21" i="6"/>
  <c r="EX22" i="6"/>
  <c r="FH25" i="6"/>
  <c r="FU59" i="6"/>
  <c r="D89" i="6" s="1"/>
  <c r="BM13" i="6"/>
  <c r="BN13" i="6" s="1"/>
  <c r="BL13" i="6"/>
  <c r="DK14" i="6"/>
  <c r="DL14" i="6" s="1"/>
  <c r="DJ14" i="6"/>
  <c r="BO59" i="6"/>
  <c r="D78" i="6" s="1"/>
  <c r="N44" i="73"/>
  <c r="K42" i="5"/>
  <c r="K43" i="5" s="1"/>
  <c r="K44" i="5" s="1"/>
  <c r="FI15" i="6"/>
  <c r="FJ15" i="6" s="1"/>
  <c r="FH15" i="6"/>
  <c r="BM16" i="6"/>
  <c r="BN16" i="6" s="1"/>
  <c r="BL16" i="6"/>
  <c r="FS28" i="6"/>
  <c r="FT28" i="6" s="1"/>
  <c r="FR28" i="6"/>
  <c r="DC59" i="6"/>
  <c r="D82" i="6" s="1"/>
  <c r="N45" i="9"/>
  <c r="N47" i="9" s="1"/>
  <c r="EO13" i="6"/>
  <c r="EP13" i="6" s="1"/>
  <c r="EN13" i="6"/>
  <c r="BW16" i="6"/>
  <c r="BX16" i="6" s="1"/>
  <c r="BV16" i="6"/>
  <c r="EY29" i="6"/>
  <c r="EZ29" i="6" s="1"/>
  <c r="EX29" i="6"/>
  <c r="EQ59" i="6"/>
  <c r="D86" i="6" s="1"/>
  <c r="EY27" i="6"/>
  <c r="EZ27" i="6" s="1"/>
  <c r="EX27" i="6"/>
  <c r="EE28" i="6"/>
  <c r="EF28" i="6" s="1"/>
  <c r="ED28" i="6"/>
  <c r="DK29" i="6"/>
  <c r="DL29" i="6" s="1"/>
  <c r="DJ29" i="6"/>
  <c r="CQ30" i="6"/>
  <c r="CR30" i="6" s="1"/>
  <c r="CP30" i="6"/>
  <c r="EX15" i="6"/>
  <c r="DJ17" i="6"/>
  <c r="BV19" i="6"/>
  <c r="FH22" i="6"/>
  <c r="ED23" i="6"/>
  <c r="CZ24" i="6"/>
  <c r="CF26" i="6"/>
  <c r="ED26" i="6"/>
  <c r="BB27" i="6"/>
  <c r="CI59" i="6"/>
  <c r="D80" i="6" s="1"/>
  <c r="ED20" i="6"/>
  <c r="BB24" i="6"/>
  <c r="M28" i="9"/>
  <c r="DK27" i="6"/>
  <c r="DL27" i="6" s="1"/>
  <c r="DJ27" i="6"/>
  <c r="CQ28" i="6"/>
  <c r="CR28" i="6" s="1"/>
  <c r="CP28" i="6"/>
  <c r="BW29" i="6"/>
  <c r="BX29" i="6" s="1"/>
  <c r="BV29" i="6"/>
  <c r="BC30" i="6"/>
  <c r="BD30" i="6" s="1"/>
  <c r="BB30" i="6"/>
  <c r="N44" i="81"/>
  <c r="E23" i="135"/>
  <c r="G23" i="135" s="1"/>
  <c r="C23" i="133"/>
  <c r="L23" i="127"/>
  <c r="L23" i="132"/>
  <c r="M23" i="132" s="1"/>
  <c r="M28" i="132" s="1"/>
  <c r="C23" i="127"/>
  <c r="C23" i="124"/>
  <c r="L23" i="125"/>
  <c r="L23" i="135"/>
  <c r="M23" i="135" s="1"/>
  <c r="M28" i="135" s="1"/>
  <c r="C23" i="135"/>
  <c r="C23" i="125"/>
  <c r="L23" i="121"/>
  <c r="L23" i="133"/>
  <c r="M23" i="133" s="1"/>
  <c r="M28" i="133" s="1"/>
  <c r="L23" i="123"/>
  <c r="L23" i="122"/>
  <c r="C24" i="99"/>
  <c r="C23" i="98"/>
  <c r="L42" i="96"/>
  <c r="L23" i="124"/>
  <c r="L24" i="103"/>
  <c r="M24" i="103" s="1"/>
  <c r="E23" i="104"/>
  <c r="G23" i="104" s="1"/>
  <c r="C23" i="104"/>
  <c r="C42" i="96"/>
  <c r="C24" i="103"/>
  <c r="L24" i="98"/>
  <c r="M24" i="98" s="1"/>
  <c r="L23" i="97"/>
  <c r="M23" i="97" s="1"/>
  <c r="M28" i="97" s="1"/>
  <c r="L23" i="126"/>
  <c r="L24" i="104"/>
  <c r="M24" i="104" s="1"/>
  <c r="L23" i="103"/>
  <c r="M23" i="103" s="1"/>
  <c r="C23" i="126"/>
  <c r="C23" i="122"/>
  <c r="L23" i="99"/>
  <c r="M23" i="99" s="1"/>
  <c r="C24" i="85"/>
  <c r="L23" i="82"/>
  <c r="C23" i="99"/>
  <c r="C24" i="98"/>
  <c r="L24" i="88"/>
  <c r="M24" i="88" s="1"/>
  <c r="L23" i="87"/>
  <c r="M23" i="87" s="1"/>
  <c r="L24" i="86"/>
  <c r="M24" i="86" s="1"/>
  <c r="L23" i="85"/>
  <c r="M23" i="85" s="1"/>
  <c r="L24" i="81"/>
  <c r="M24" i="81" s="1"/>
  <c r="C23" i="123"/>
  <c r="L23" i="98"/>
  <c r="M23" i="98" s="1"/>
  <c r="C23" i="121"/>
  <c r="C23" i="97"/>
  <c r="L42" i="92"/>
  <c r="M42" i="92" s="1"/>
  <c r="M47" i="92" s="1"/>
  <c r="C24" i="86"/>
  <c r="C23" i="85"/>
  <c r="C23" i="103"/>
  <c r="L23" i="88"/>
  <c r="M23" i="88" s="1"/>
  <c r="C24" i="104"/>
  <c r="C23" i="88"/>
  <c r="C23" i="79"/>
  <c r="L23" i="75"/>
  <c r="L42" i="90"/>
  <c r="M42" i="90" s="1"/>
  <c r="M47" i="90" s="1"/>
  <c r="L24" i="85"/>
  <c r="M24" i="85" s="1"/>
  <c r="L24" i="82"/>
  <c r="L23" i="81"/>
  <c r="M23" i="81" s="1"/>
  <c r="L24" i="72"/>
  <c r="L23" i="70"/>
  <c r="L24" i="73"/>
  <c r="L23" i="71"/>
  <c r="L23" i="104"/>
  <c r="M23" i="104" s="1"/>
  <c r="L42" i="91"/>
  <c r="M42" i="91" s="1"/>
  <c r="M47" i="91" s="1"/>
  <c r="C42" i="90"/>
  <c r="C23" i="86"/>
  <c r="C23" i="75"/>
  <c r="L24" i="99"/>
  <c r="M24" i="99" s="1"/>
  <c r="C24" i="82"/>
  <c r="C23" i="81"/>
  <c r="E23" i="97"/>
  <c r="G23" i="97" s="1"/>
  <c r="L24" i="87"/>
  <c r="M24" i="87" s="1"/>
  <c r="C23" i="82"/>
  <c r="C23" i="87"/>
  <c r="L24" i="79"/>
  <c r="L23" i="86"/>
  <c r="M23" i="86" s="1"/>
  <c r="L24" i="70"/>
  <c r="E24" i="104"/>
  <c r="G24" i="104" s="1"/>
  <c r="C24" i="79"/>
  <c r="C23" i="72"/>
  <c r="C23" i="71"/>
  <c r="C24" i="73"/>
  <c r="E24" i="70"/>
  <c r="L23" i="73"/>
  <c r="C23" i="70"/>
  <c r="L24" i="75"/>
  <c r="C24" i="81"/>
  <c r="C24" i="87"/>
  <c r="C24" i="75"/>
  <c r="L23" i="72"/>
  <c r="C23" i="73"/>
  <c r="L23" i="79"/>
  <c r="DJ13" i="6"/>
  <c r="BV15" i="6"/>
  <c r="FR18" i="6"/>
  <c r="AR20" i="6"/>
  <c r="CP20" i="6"/>
  <c r="FH21" i="6"/>
  <c r="EN23" i="6"/>
  <c r="DJ24" i="6"/>
  <c r="CF25" i="6"/>
  <c r="BL27" i="6"/>
  <c r="G39" i="77"/>
  <c r="O13" i="7" s="1"/>
  <c r="T13" i="7" s="1"/>
  <c r="F24" i="3"/>
  <c r="DJ21" i="6"/>
  <c r="C24" i="70"/>
  <c r="DU67" i="6"/>
  <c r="E84" i="6" s="1"/>
  <c r="C24" i="72"/>
  <c r="N23" i="90"/>
  <c r="N28" i="90" s="1"/>
  <c r="G28" i="90"/>
  <c r="N23" i="91"/>
  <c r="N28" i="91" s="1"/>
  <c r="F11" i="3"/>
  <c r="DT13" i="6"/>
  <c r="DT14" i="6"/>
  <c r="CF15" i="6"/>
  <c r="FR15" i="6"/>
  <c r="CF16" i="6"/>
  <c r="AR17" i="6"/>
  <c r="ED17" i="6"/>
  <c r="AR18" i="6"/>
  <c r="CP19" i="6"/>
  <c r="BB20" i="6"/>
  <c r="EX20" i="6"/>
  <c r="DT21" i="6"/>
  <c r="CZ23" i="6"/>
  <c r="EX23" i="6"/>
  <c r="BV24" i="6"/>
  <c r="AR25" i="6"/>
  <c r="BV27" i="6"/>
  <c r="BC28" i="6"/>
  <c r="BD28" i="6" s="1"/>
  <c r="BB28" i="6"/>
  <c r="FS30" i="6"/>
  <c r="FT30" i="6" s="1"/>
  <c r="FR30" i="6"/>
  <c r="F6" i="3"/>
  <c r="F20" i="3"/>
  <c r="FR14" i="6"/>
  <c r="ED16" i="6"/>
  <c r="CP18" i="6"/>
  <c r="BV21" i="6"/>
  <c r="FR21" i="6"/>
  <c r="EN22" i="6"/>
  <c r="DT24" i="6"/>
  <c r="FR24" i="6"/>
  <c r="CP25" i="6"/>
  <c r="BL26" i="6"/>
  <c r="EO67" i="6"/>
  <c r="E86" i="6" s="1"/>
  <c r="C25" i="72"/>
  <c r="CP22" i="6"/>
  <c r="E25" i="72"/>
  <c r="M28" i="76"/>
  <c r="M28" i="77"/>
  <c r="M28" i="102"/>
  <c r="G47" i="76"/>
  <c r="N46" i="76"/>
  <c r="N47" i="76" s="1"/>
  <c r="G47" i="78"/>
  <c r="N43" i="78"/>
  <c r="N47" i="78" s="1"/>
  <c r="N43" i="82"/>
  <c r="N28" i="77"/>
  <c r="M47" i="78"/>
  <c r="F46" i="73"/>
  <c r="F51" i="73"/>
  <c r="F24" i="73"/>
  <c r="F43" i="73"/>
  <c r="F52" i="73"/>
  <c r="F45" i="73"/>
  <c r="F25" i="73"/>
  <c r="F50" i="73"/>
  <c r="F42" i="73"/>
  <c r="F44" i="73"/>
  <c r="F23" i="73"/>
  <c r="F26" i="73"/>
  <c r="N43" i="79"/>
  <c r="N47" i="79" s="1"/>
  <c r="G47" i="79"/>
  <c r="BY59" i="6"/>
  <c r="D79" i="6" s="1"/>
  <c r="F27" i="73"/>
  <c r="G39" i="9"/>
  <c r="N47" i="71"/>
  <c r="M47" i="77"/>
  <c r="M47" i="71"/>
  <c r="F53" i="70"/>
  <c r="F23" i="70"/>
  <c r="F42" i="70"/>
  <c r="F51" i="70"/>
  <c r="F45" i="70"/>
  <c r="F27" i="70"/>
  <c r="F55" i="70"/>
  <c r="F24" i="70"/>
  <c r="F50" i="70"/>
  <c r="F26" i="70"/>
  <c r="F67" i="6"/>
  <c r="E72" i="6" s="1"/>
  <c r="BE59" i="6"/>
  <c r="D77" i="6" s="1"/>
  <c r="AU59" i="6"/>
  <c r="D76" i="6" s="1"/>
  <c r="Z71" i="6"/>
  <c r="E74" i="6" s="1"/>
  <c r="F43" i="70"/>
  <c r="N28" i="76"/>
  <c r="M47" i="75"/>
  <c r="M28" i="100"/>
  <c r="G28" i="136"/>
  <c r="N24" i="136"/>
  <c r="N28" i="136" s="1"/>
  <c r="N47" i="75"/>
  <c r="N28" i="78"/>
  <c r="N23" i="92"/>
  <c r="N28" i="92" s="1"/>
  <c r="F27" i="122"/>
  <c r="F46" i="122"/>
  <c r="F51" i="122"/>
  <c r="F24" i="122"/>
  <c r="F43" i="122"/>
  <c r="F45" i="122"/>
  <c r="F53" i="122"/>
  <c r="F42" i="122"/>
  <c r="F52" i="122"/>
  <c r="F50" i="122"/>
  <c r="F23" i="122"/>
  <c r="F44" i="122"/>
  <c r="F26" i="122"/>
  <c r="F54" i="122"/>
  <c r="F25" i="122"/>
  <c r="I65" i="123"/>
  <c r="N28" i="93"/>
  <c r="N46" i="108"/>
  <c r="N47" i="108" s="1"/>
  <c r="G47" i="108"/>
  <c r="M28" i="78"/>
  <c r="M28" i="83"/>
  <c r="N44" i="87"/>
  <c r="F45" i="71"/>
  <c r="F53" i="71"/>
  <c r="F23" i="71"/>
  <c r="F26" i="71"/>
  <c r="F54" i="71"/>
  <c r="F55" i="72"/>
  <c r="F51" i="72"/>
  <c r="F43" i="72"/>
  <c r="F24" i="72"/>
  <c r="F54" i="72"/>
  <c r="F50" i="72"/>
  <c r="F45" i="72"/>
  <c r="G28" i="9"/>
  <c r="F44" i="71"/>
  <c r="F50" i="71"/>
  <c r="F46" i="72"/>
  <c r="F53" i="72"/>
  <c r="G28" i="77"/>
  <c r="F53" i="82"/>
  <c r="F42" i="82"/>
  <c r="F45" i="82"/>
  <c r="F27" i="82"/>
  <c r="F50" i="82"/>
  <c r="F24" i="82"/>
  <c r="F52" i="82"/>
  <c r="N43" i="95"/>
  <c r="F23" i="82"/>
  <c r="N23" i="94"/>
  <c r="N28" i="94" s="1"/>
  <c r="N28" i="9"/>
  <c r="F23" i="72"/>
  <c r="F26" i="72"/>
  <c r="F53" i="75"/>
  <c r="F23" i="75"/>
  <c r="F42" i="75"/>
  <c r="F25" i="75"/>
  <c r="F52" i="75"/>
  <c r="F44" i="75"/>
  <c r="H20" i="75"/>
  <c r="F50" i="75"/>
  <c r="F44" i="82"/>
  <c r="F51" i="82"/>
  <c r="M28" i="94"/>
  <c r="F24" i="71"/>
  <c r="F26" i="75"/>
  <c r="M28" i="93"/>
  <c r="M28" i="115"/>
  <c r="G28" i="76"/>
  <c r="N24" i="80"/>
  <c r="N28" i="80" s="1"/>
  <c r="N43" i="85"/>
  <c r="M47" i="106"/>
  <c r="N28" i="108"/>
  <c r="M28" i="92"/>
  <c r="N23" i="100"/>
  <c r="N28" i="100" s="1"/>
  <c r="G28" i="100"/>
  <c r="G28" i="78"/>
  <c r="F24" i="80"/>
  <c r="F43" i="80"/>
  <c r="F54" i="80"/>
  <c r="F50" i="80"/>
  <c r="F26" i="80"/>
  <c r="F25" i="80"/>
  <c r="F51" i="83"/>
  <c r="F24" i="83"/>
  <c r="F54" i="83"/>
  <c r="F50" i="83"/>
  <c r="F26" i="83"/>
  <c r="F45" i="83"/>
  <c r="F25" i="83"/>
  <c r="M28" i="149"/>
  <c r="G47" i="71"/>
  <c r="F52" i="74"/>
  <c r="N43" i="93"/>
  <c r="N42" i="106"/>
  <c r="N47" i="106" s="1"/>
  <c r="G47" i="106"/>
  <c r="F25" i="74"/>
  <c r="F45" i="80"/>
  <c r="F52" i="83"/>
  <c r="N44" i="151"/>
  <c r="N47" i="151" s="1"/>
  <c r="G47" i="151"/>
  <c r="F47" i="74"/>
  <c r="F44" i="77"/>
  <c r="F52" i="77"/>
  <c r="M47" i="79"/>
  <c r="F23" i="80"/>
  <c r="F51" i="80"/>
  <c r="F23" i="83"/>
  <c r="M48" i="87"/>
  <c r="M47" i="128"/>
  <c r="M47" i="151"/>
  <c r="F23" i="74"/>
  <c r="F53" i="79"/>
  <c r="F42" i="79"/>
  <c r="F45" i="79"/>
  <c r="N47" i="128"/>
  <c r="F45" i="74"/>
  <c r="F43" i="83"/>
  <c r="G28" i="95"/>
  <c r="F24" i="139"/>
  <c r="F54" i="139"/>
  <c r="F50" i="139"/>
  <c r="F26" i="139"/>
  <c r="F45" i="139"/>
  <c r="F53" i="139"/>
  <c r="F23" i="139"/>
  <c r="F42" i="139"/>
  <c r="F25" i="139"/>
  <c r="F51" i="139"/>
  <c r="F52" i="139"/>
  <c r="F44" i="139"/>
  <c r="F43" i="139"/>
  <c r="F46" i="139"/>
  <c r="F27" i="139"/>
  <c r="F24" i="97"/>
  <c r="F43" i="97"/>
  <c r="F54" i="97"/>
  <c r="F50" i="97"/>
  <c r="F26" i="97"/>
  <c r="F53" i="97"/>
  <c r="G28" i="102"/>
  <c r="M28" i="148"/>
  <c r="G39" i="154"/>
  <c r="M28" i="106"/>
  <c r="N28" i="102"/>
  <c r="M28" i="108"/>
  <c r="N28" i="107"/>
  <c r="N27" i="110"/>
  <c r="N28" i="110" s="1"/>
  <c r="N42" i="144"/>
  <c r="N47" i="144" s="1"/>
  <c r="G47" i="144"/>
  <c r="G28" i="93"/>
  <c r="F42" i="97"/>
  <c r="F46" i="81"/>
  <c r="F44" i="84"/>
  <c r="F52" i="84"/>
  <c r="F46" i="95"/>
  <c r="F51" i="95"/>
  <c r="F43" i="95"/>
  <c r="F54" i="95"/>
  <c r="F50" i="95"/>
  <c r="F26" i="95"/>
  <c r="F52" i="95"/>
  <c r="F51" i="97"/>
  <c r="F25" i="84"/>
  <c r="F27" i="97"/>
  <c r="F45" i="97"/>
  <c r="M47" i="108"/>
  <c r="G28" i="109"/>
  <c r="F42" i="126"/>
  <c r="F27" i="126"/>
  <c r="F46" i="126"/>
  <c r="F51" i="126"/>
  <c r="F25" i="126"/>
  <c r="F43" i="126"/>
  <c r="F52" i="126"/>
  <c r="F24" i="126"/>
  <c r="F45" i="126"/>
  <c r="F50" i="126"/>
  <c r="F44" i="126"/>
  <c r="F54" i="126"/>
  <c r="F54" i="127"/>
  <c r="F50" i="127"/>
  <c r="F26" i="127"/>
  <c r="F53" i="127"/>
  <c r="F23" i="127"/>
  <c r="F42" i="127"/>
  <c r="F25" i="127"/>
  <c r="F51" i="127"/>
  <c r="F46" i="127"/>
  <c r="F43" i="127"/>
  <c r="F24" i="127"/>
  <c r="F45" i="127"/>
  <c r="F52" i="127"/>
  <c r="F44" i="127"/>
  <c r="F44" i="81"/>
  <c r="M28" i="117"/>
  <c r="N28" i="118"/>
  <c r="F23" i="126"/>
  <c r="F27" i="106"/>
  <c r="N28" i="128"/>
  <c r="N42" i="145"/>
  <c r="N47" i="145" s="1"/>
  <c r="G47" i="145"/>
  <c r="G47" i="107"/>
  <c r="M47" i="144"/>
  <c r="M47" i="145"/>
  <c r="G28" i="154"/>
  <c r="G28" i="105"/>
  <c r="F46" i="106"/>
  <c r="F51" i="106"/>
  <c r="F43" i="106"/>
  <c r="F25" i="106"/>
  <c r="F45" i="106"/>
  <c r="F50" i="106"/>
  <c r="M28" i="110"/>
  <c r="N28" i="116"/>
  <c r="N28" i="140"/>
  <c r="F46" i="96"/>
  <c r="G28" i="107"/>
  <c r="N47" i="107"/>
  <c r="M28" i="116"/>
  <c r="N45" i="147"/>
  <c r="N47" i="147" s="1"/>
  <c r="G47" i="147"/>
  <c r="G39" i="150"/>
  <c r="F27" i="96"/>
  <c r="G28" i="106"/>
  <c r="N43" i="150"/>
  <c r="N47" i="150" s="1"/>
  <c r="N23" i="154"/>
  <c r="N28" i="154" s="1"/>
  <c r="F44" i="96"/>
  <c r="F52" i="96"/>
  <c r="F23" i="106"/>
  <c r="M28" i="137"/>
  <c r="G28" i="115"/>
  <c r="N28" i="117"/>
  <c r="M47" i="139"/>
  <c r="G47" i="152"/>
  <c r="F42" i="96"/>
  <c r="M28" i="107"/>
  <c r="G39" i="144"/>
  <c r="O75" i="7" s="1"/>
  <c r="T75" i="7" s="1"/>
  <c r="M47" i="152"/>
  <c r="F23" i="96"/>
  <c r="F52" i="106"/>
  <c r="G28" i="119"/>
  <c r="N47" i="137"/>
  <c r="M28" i="146"/>
  <c r="N28" i="150"/>
  <c r="N47" i="152"/>
  <c r="F26" i="106"/>
  <c r="F24" i="121"/>
  <c r="F43" i="121"/>
  <c r="F54" i="121"/>
  <c r="F50" i="121"/>
  <c r="F26" i="121"/>
  <c r="F45" i="121"/>
  <c r="F53" i="121"/>
  <c r="F42" i="121"/>
  <c r="F52" i="121"/>
  <c r="F44" i="121"/>
  <c r="F27" i="123"/>
  <c r="F46" i="123"/>
  <c r="F51" i="123"/>
  <c r="F24" i="123"/>
  <c r="F43" i="123"/>
  <c r="F45" i="123"/>
  <c r="N28" i="134"/>
  <c r="G47" i="148"/>
  <c r="N47" i="153"/>
  <c r="M28" i="154"/>
  <c r="G47" i="146"/>
  <c r="M47" i="148"/>
  <c r="G39" i="152"/>
  <c r="G47" i="128"/>
  <c r="M47" i="146"/>
  <c r="G39" i="147"/>
  <c r="O78" i="7" s="1"/>
  <c r="T78" i="7" s="1"/>
  <c r="G55" i="149"/>
  <c r="F54" i="124"/>
  <c r="N47" i="146"/>
  <c r="G28" i="116"/>
  <c r="G28" i="139"/>
  <c r="N28" i="144"/>
  <c r="G39" i="145"/>
  <c r="O76" i="7" s="1"/>
  <c r="T76" i="7" s="1"/>
  <c r="M28" i="152"/>
  <c r="G28" i="118"/>
  <c r="F53" i="124"/>
  <c r="F42" i="124"/>
  <c r="F50" i="124"/>
  <c r="G39" i="136"/>
  <c r="O67" i="7" s="1"/>
  <c r="F53" i="138"/>
  <c r="F42" i="138"/>
  <c r="F25" i="138"/>
  <c r="F27" i="138"/>
  <c r="F46" i="138"/>
  <c r="F51" i="138"/>
  <c r="M47" i="150"/>
  <c r="F44" i="138"/>
  <c r="M28" i="139"/>
  <c r="M28" i="144"/>
  <c r="N28" i="148"/>
  <c r="G47" i="154"/>
  <c r="F25" i="124"/>
  <c r="G28" i="145"/>
  <c r="G55" i="147"/>
  <c r="N28" i="151"/>
  <c r="F45" i="124"/>
  <c r="F51" i="124"/>
  <c r="M28" i="136"/>
  <c r="N28" i="137"/>
  <c r="F23" i="138"/>
  <c r="F50" i="138"/>
  <c r="G55" i="144"/>
  <c r="M47" i="147"/>
  <c r="M28" i="151"/>
  <c r="N28" i="153"/>
  <c r="N47" i="154"/>
  <c r="F44" i="125"/>
  <c r="F52" i="125"/>
  <c r="F44" i="137"/>
  <c r="F52" i="137"/>
  <c r="F27" i="136"/>
  <c r="G28" i="144"/>
  <c r="G47" i="153"/>
  <c r="F44" i="136"/>
  <c r="F52" i="136"/>
  <c r="G28" i="153"/>
  <c r="F45" i="125"/>
  <c r="F25" i="136"/>
  <c r="F45" i="137"/>
  <c r="F26" i="125"/>
  <c r="F50" i="125"/>
  <c r="F54" i="125"/>
  <c r="F42" i="136"/>
  <c r="F26" i="137"/>
  <c r="F50" i="137"/>
  <c r="F54" i="137"/>
  <c r="F43" i="125"/>
  <c r="F43" i="137"/>
  <c r="G28" i="148"/>
  <c r="G28" i="150"/>
  <c r="G58" i="6" l="1"/>
  <c r="H58" i="6" s="1"/>
  <c r="E23" i="133"/>
  <c r="G23" i="133" s="1"/>
  <c r="AA58" i="6"/>
  <c r="AB58" i="6" s="1"/>
  <c r="E23" i="132"/>
  <c r="G23" i="132" s="1"/>
  <c r="G28" i="132" s="1"/>
  <c r="M26" i="123"/>
  <c r="E23" i="103"/>
  <c r="G23" i="103" s="1"/>
  <c r="E24" i="75"/>
  <c r="G24" i="75" s="1"/>
  <c r="E24" i="79"/>
  <c r="G24" i="79" s="1"/>
  <c r="E42" i="140"/>
  <c r="G42" i="140" s="1"/>
  <c r="G47" i="140" s="1"/>
  <c r="E24" i="73"/>
  <c r="G24" i="73" s="1"/>
  <c r="E23" i="82"/>
  <c r="G23" i="82" s="1"/>
  <c r="G39" i="110"/>
  <c r="O45" i="7" s="1"/>
  <c r="N42" i="81"/>
  <c r="N47" i="81" s="1"/>
  <c r="G39" i="115"/>
  <c r="O46" i="7" s="1"/>
  <c r="AF46" i="7" s="1"/>
  <c r="G39" i="91"/>
  <c r="O27" i="7" s="1"/>
  <c r="T27" i="7" s="1"/>
  <c r="E42" i="127"/>
  <c r="G42" i="127" s="1"/>
  <c r="G47" i="127" s="1"/>
  <c r="E42" i="135"/>
  <c r="G42" i="135" s="1"/>
  <c r="E42" i="133"/>
  <c r="G42" i="133" s="1"/>
  <c r="N42" i="133" s="1"/>
  <c r="N47" i="133" s="1"/>
  <c r="E42" i="110"/>
  <c r="G42" i="110" s="1"/>
  <c r="G47" i="110" s="1"/>
  <c r="E42" i="130"/>
  <c r="G42" i="130" s="1"/>
  <c r="N42" i="117"/>
  <c r="N47" i="117" s="1"/>
  <c r="M48" i="7" s="1"/>
  <c r="AD48" i="7" s="1"/>
  <c r="E42" i="91"/>
  <c r="G42" i="91" s="1"/>
  <c r="G47" i="91" s="1"/>
  <c r="E42" i="102"/>
  <c r="G42" i="102" s="1"/>
  <c r="N42" i="102" s="1"/>
  <c r="N47" i="102" s="1"/>
  <c r="M37" i="7" s="1"/>
  <c r="AD37" i="7" s="1"/>
  <c r="E42" i="94"/>
  <c r="G42" i="94" s="1"/>
  <c r="G47" i="94" s="1"/>
  <c r="N23" i="130"/>
  <c r="N28" i="130" s="1"/>
  <c r="G28" i="130"/>
  <c r="N42" i="103"/>
  <c r="N47" i="103" s="1"/>
  <c r="G47" i="81"/>
  <c r="N42" i="98"/>
  <c r="N47" i="98" s="1"/>
  <c r="M42" i="127"/>
  <c r="M47" i="127" s="1"/>
  <c r="N25" i="141"/>
  <c r="N42" i="99"/>
  <c r="N47" i="99" s="1"/>
  <c r="E42" i="93"/>
  <c r="G42" i="93" s="1"/>
  <c r="N42" i="93" s="1"/>
  <c r="N47" i="93" s="1"/>
  <c r="M29" i="7" s="1"/>
  <c r="E42" i="92"/>
  <c r="G42" i="92" s="1"/>
  <c r="G47" i="92" s="1"/>
  <c r="AA48" i="158"/>
  <c r="AB48" i="158" s="1"/>
  <c r="N42" i="119"/>
  <c r="N47" i="119" s="1"/>
  <c r="M50" i="7" s="1"/>
  <c r="G39" i="92"/>
  <c r="O28" i="7" s="1"/>
  <c r="M42" i="126"/>
  <c r="M47" i="126" s="1"/>
  <c r="G42" i="126"/>
  <c r="G47" i="126" s="1"/>
  <c r="M28" i="142"/>
  <c r="N73" i="7" s="1"/>
  <c r="G39" i="104"/>
  <c r="O39" i="7" s="1"/>
  <c r="AF39" i="7" s="1"/>
  <c r="N42" i="88"/>
  <c r="N47" i="88" s="1"/>
  <c r="AA49" i="6"/>
  <c r="AB49" i="6" s="1"/>
  <c r="G46" i="158"/>
  <c r="H46" i="158" s="1"/>
  <c r="N42" i="134"/>
  <c r="N47" i="134" s="1"/>
  <c r="M65" i="7" s="1"/>
  <c r="AD65" i="7" s="1"/>
  <c r="N42" i="86"/>
  <c r="N47" i="86" s="1"/>
  <c r="G39" i="94"/>
  <c r="O30" i="7" s="1"/>
  <c r="E42" i="120"/>
  <c r="G42" i="120" s="1"/>
  <c r="G39" i="127"/>
  <c r="O58" i="7" s="1"/>
  <c r="AF58" i="7" s="1"/>
  <c r="N42" i="85"/>
  <c r="N47" i="85" s="1"/>
  <c r="N42" i="80"/>
  <c r="N47" i="80" s="1"/>
  <c r="M16" i="7" s="1"/>
  <c r="R16" i="7" s="1"/>
  <c r="G47" i="119"/>
  <c r="G26" i="123"/>
  <c r="E42" i="97"/>
  <c r="G42" i="97" s="1"/>
  <c r="N23" i="131"/>
  <c r="N28" i="131" s="1"/>
  <c r="M42" i="97"/>
  <c r="M47" i="97" s="1"/>
  <c r="N33" i="7" s="1"/>
  <c r="S33" i="7" s="1"/>
  <c r="E42" i="95"/>
  <c r="G42" i="95" s="1"/>
  <c r="E42" i="89"/>
  <c r="G42" i="89" s="1"/>
  <c r="M28" i="141"/>
  <c r="N72" i="7" s="1"/>
  <c r="E42" i="116"/>
  <c r="G42" i="116" s="1"/>
  <c r="G47" i="117"/>
  <c r="E42" i="131"/>
  <c r="G42" i="131" s="1"/>
  <c r="E42" i="115"/>
  <c r="G42" i="115" s="1"/>
  <c r="M47" i="98"/>
  <c r="E42" i="105"/>
  <c r="G42" i="105" s="1"/>
  <c r="M47" i="85"/>
  <c r="E42" i="100"/>
  <c r="G42" i="100" s="1"/>
  <c r="E42" i="132"/>
  <c r="G42" i="132" s="1"/>
  <c r="G39" i="116"/>
  <c r="O47" i="7" s="1"/>
  <c r="T47" i="7" s="1"/>
  <c r="G39" i="118"/>
  <c r="O49" i="7" s="1"/>
  <c r="T49" i="7" s="1"/>
  <c r="AJ49" i="6"/>
  <c r="AK49" i="6" s="1"/>
  <c r="E23" i="143"/>
  <c r="G23" i="143" s="1"/>
  <c r="N23" i="143" s="1"/>
  <c r="G39" i="132"/>
  <c r="O63" i="7" s="1"/>
  <c r="M42" i="138"/>
  <c r="M47" i="138" s="1"/>
  <c r="N69" i="7" s="1"/>
  <c r="S69" i="7" s="1"/>
  <c r="E42" i="118"/>
  <c r="G42" i="118" s="1"/>
  <c r="E42" i="138"/>
  <c r="G42" i="138" s="1"/>
  <c r="N42" i="142"/>
  <c r="N47" i="142" s="1"/>
  <c r="G39" i="119"/>
  <c r="O50" i="7" s="1"/>
  <c r="T50" i="7" s="1"/>
  <c r="G39" i="143"/>
  <c r="O74" i="7" s="1"/>
  <c r="T74" i="7" s="1"/>
  <c r="G39" i="141"/>
  <c r="O72" i="7" s="1"/>
  <c r="T72" i="7" s="1"/>
  <c r="G39" i="117"/>
  <c r="O48" i="7" s="1"/>
  <c r="T48" i="7" s="1"/>
  <c r="N25" i="143"/>
  <c r="E24" i="142"/>
  <c r="G24" i="142" s="1"/>
  <c r="N24" i="142" s="1"/>
  <c r="G47" i="143"/>
  <c r="N42" i="143"/>
  <c r="N47" i="143" s="1"/>
  <c r="E23" i="141"/>
  <c r="G23" i="141" s="1"/>
  <c r="M28" i="143"/>
  <c r="N74" i="7" s="1"/>
  <c r="E23" i="142"/>
  <c r="G23" i="142" s="1"/>
  <c r="E26" i="143"/>
  <c r="G26" i="143" s="1"/>
  <c r="G39" i="142"/>
  <c r="O73" i="7" s="1"/>
  <c r="T73" i="7" s="1"/>
  <c r="E26" i="141"/>
  <c r="G26" i="141" s="1"/>
  <c r="N26" i="141" s="1"/>
  <c r="E24" i="143"/>
  <c r="G24" i="143" s="1"/>
  <c r="N24" i="143" s="1"/>
  <c r="E26" i="142"/>
  <c r="G26" i="142" s="1"/>
  <c r="N26" i="142" s="1"/>
  <c r="AJ45" i="6"/>
  <c r="AK45" i="6" s="1"/>
  <c r="AJ46" i="158"/>
  <c r="AK46" i="158" s="1"/>
  <c r="E24" i="141"/>
  <c r="G24" i="141" s="1"/>
  <c r="N24" i="141" s="1"/>
  <c r="AA45" i="6"/>
  <c r="AB45" i="6" s="1"/>
  <c r="N25" i="142"/>
  <c r="G47" i="141"/>
  <c r="N42" i="141"/>
  <c r="N47" i="141" s="1"/>
  <c r="G39" i="96"/>
  <c r="O32" i="7" s="1"/>
  <c r="T32" i="7" s="1"/>
  <c r="AA56" i="6"/>
  <c r="AB56" i="6" s="1"/>
  <c r="AJ48" i="158"/>
  <c r="AK48" i="158" s="1"/>
  <c r="Q57" i="158"/>
  <c r="R57" i="158" s="1"/>
  <c r="Q56" i="6"/>
  <c r="R56" i="6" s="1"/>
  <c r="AJ56" i="6"/>
  <c r="AK56" i="6" s="1"/>
  <c r="Q41" i="158"/>
  <c r="R41" i="158" s="1"/>
  <c r="AA51" i="158"/>
  <c r="AB51" i="158" s="1"/>
  <c r="AJ49" i="158"/>
  <c r="AK49" i="158" s="1"/>
  <c r="AA40" i="158"/>
  <c r="AB40" i="158" s="1"/>
  <c r="G48" i="158"/>
  <c r="H48" i="158" s="1"/>
  <c r="AA43" i="158"/>
  <c r="AB43" i="158" s="1"/>
  <c r="Q46" i="158"/>
  <c r="R46" i="158" s="1"/>
  <c r="AJ44" i="158"/>
  <c r="AK44" i="158" s="1"/>
  <c r="Q48" i="158"/>
  <c r="R48" i="158" s="1"/>
  <c r="AJ52" i="158"/>
  <c r="AK52" i="158" s="1"/>
  <c r="G50" i="158"/>
  <c r="H50" i="158" s="1"/>
  <c r="Q53" i="158"/>
  <c r="R53" i="158" s="1"/>
  <c r="Q57" i="6"/>
  <c r="R57" i="6" s="1"/>
  <c r="AJ51" i="158"/>
  <c r="AK51" i="158" s="1"/>
  <c r="AG57" i="7"/>
  <c r="AA44" i="158"/>
  <c r="AB44" i="158" s="1"/>
  <c r="AA57" i="6"/>
  <c r="AB57" i="6" s="1"/>
  <c r="Q42" i="158"/>
  <c r="R42" i="158" s="1"/>
  <c r="AJ42" i="158"/>
  <c r="AK42" i="158" s="1"/>
  <c r="AA46" i="158"/>
  <c r="AB46" i="158" s="1"/>
  <c r="AJ40" i="158"/>
  <c r="AK40" i="158" s="1"/>
  <c r="AJ45" i="158"/>
  <c r="AK45" i="158" s="1"/>
  <c r="G49" i="158"/>
  <c r="H49" i="158" s="1"/>
  <c r="G47" i="158"/>
  <c r="H47" i="158" s="1"/>
  <c r="G51" i="158"/>
  <c r="H51" i="158" s="1"/>
  <c r="G55" i="158"/>
  <c r="H55" i="158" s="1"/>
  <c r="G44" i="158"/>
  <c r="H44" i="158" s="1"/>
  <c r="G42" i="158"/>
  <c r="H42" i="158" s="1"/>
  <c r="E24" i="121"/>
  <c r="G24" i="121" s="1"/>
  <c r="E24" i="124"/>
  <c r="G24" i="124" s="1"/>
  <c r="G57" i="6"/>
  <c r="H57" i="6" s="1"/>
  <c r="AJ43" i="158"/>
  <c r="AK43" i="158" s="1"/>
  <c r="Q50" i="158"/>
  <c r="R50" i="158" s="1"/>
  <c r="Q42" i="6"/>
  <c r="R42" i="6" s="1"/>
  <c r="Q48" i="6"/>
  <c r="R48" i="6" s="1"/>
  <c r="AA56" i="158"/>
  <c r="AB56" i="158" s="1"/>
  <c r="G52" i="158"/>
  <c r="H52" i="158" s="1"/>
  <c r="Q47" i="158"/>
  <c r="R47" i="158" s="1"/>
  <c r="Q45" i="158"/>
  <c r="R45" i="158" s="1"/>
  <c r="AA50" i="158"/>
  <c r="AB50" i="158" s="1"/>
  <c r="AJ50" i="158"/>
  <c r="AK50" i="158" s="1"/>
  <c r="Q51" i="158"/>
  <c r="R51" i="158" s="1"/>
  <c r="G45" i="158"/>
  <c r="H45" i="158" s="1"/>
  <c r="AA47" i="158"/>
  <c r="AB47" i="158" s="1"/>
  <c r="AK68" i="7"/>
  <c r="AA53" i="158"/>
  <c r="AB53" i="158" s="1"/>
  <c r="AA41" i="158"/>
  <c r="AB41" i="158" s="1"/>
  <c r="AJ56" i="158"/>
  <c r="AK56" i="158" s="1"/>
  <c r="AA42" i="158"/>
  <c r="AB42" i="158" s="1"/>
  <c r="Q40" i="158"/>
  <c r="R40" i="158" s="1"/>
  <c r="G54" i="158"/>
  <c r="H54" i="158" s="1"/>
  <c r="Q49" i="158"/>
  <c r="R49" i="158" s="1"/>
  <c r="G40" i="158"/>
  <c r="H40" i="158" s="1"/>
  <c r="G43" i="158"/>
  <c r="H43" i="158" s="1"/>
  <c r="G56" i="158"/>
  <c r="H56" i="158" s="1"/>
  <c r="Q44" i="158"/>
  <c r="R44" i="158" s="1"/>
  <c r="AJ41" i="158"/>
  <c r="AK41" i="158" s="1"/>
  <c r="AA49" i="158"/>
  <c r="AB49" i="158" s="1"/>
  <c r="Q52" i="158"/>
  <c r="R52" i="158" s="1"/>
  <c r="Q43" i="158"/>
  <c r="R43" i="158" s="1"/>
  <c r="AJ57" i="6"/>
  <c r="AK57" i="6" s="1"/>
  <c r="AJ57" i="158"/>
  <c r="AK57" i="158" s="1"/>
  <c r="AJ53" i="158"/>
  <c r="AK53" i="158" s="1"/>
  <c r="G57" i="158"/>
  <c r="H57" i="158" s="1"/>
  <c r="AA52" i="158"/>
  <c r="AB52" i="158" s="1"/>
  <c r="AA45" i="158"/>
  <c r="AB45" i="158" s="1"/>
  <c r="Q56" i="158"/>
  <c r="R56" i="158" s="1"/>
  <c r="AA57" i="158"/>
  <c r="AB57" i="158" s="1"/>
  <c r="G53" i="158"/>
  <c r="H53" i="158" s="1"/>
  <c r="G41" i="158"/>
  <c r="H41" i="158" s="1"/>
  <c r="AJ47" i="158"/>
  <c r="AK47" i="158" s="1"/>
  <c r="AJ38" i="157"/>
  <c r="AK38" i="157" s="1"/>
  <c r="Q51" i="157"/>
  <c r="R51" i="157" s="1"/>
  <c r="Q41" i="157"/>
  <c r="R41" i="157" s="1"/>
  <c r="AJ44" i="157"/>
  <c r="AK44" i="157" s="1"/>
  <c r="G41" i="157"/>
  <c r="H41" i="157" s="1"/>
  <c r="G50" i="157"/>
  <c r="H50" i="157" s="1"/>
  <c r="G37" i="157"/>
  <c r="H37" i="157" s="1"/>
  <c r="G43" i="157"/>
  <c r="H43" i="157" s="1"/>
  <c r="G45" i="157"/>
  <c r="H45" i="157" s="1"/>
  <c r="AJ44" i="6"/>
  <c r="AK44" i="6" s="1"/>
  <c r="G40" i="6"/>
  <c r="H40" i="6" s="1"/>
  <c r="AA42" i="157"/>
  <c r="AB42" i="157" s="1"/>
  <c r="G48" i="157"/>
  <c r="H48" i="157" s="1"/>
  <c r="Q46" i="6"/>
  <c r="R46" i="6" s="1"/>
  <c r="G50" i="6"/>
  <c r="H50" i="6" s="1"/>
  <c r="Q53" i="6"/>
  <c r="R53" i="6" s="1"/>
  <c r="AJ50" i="6"/>
  <c r="AK50" i="6" s="1"/>
  <c r="AJ47" i="6"/>
  <c r="AK47" i="6" s="1"/>
  <c r="G44" i="6"/>
  <c r="H44" i="6" s="1"/>
  <c r="AA50" i="6"/>
  <c r="AB50" i="6" s="1"/>
  <c r="AA40" i="6"/>
  <c r="AB40" i="6" s="1"/>
  <c r="G49" i="6"/>
  <c r="H49" i="6" s="1"/>
  <c r="AJ53" i="6"/>
  <c r="AK53" i="6" s="1"/>
  <c r="Q50" i="6"/>
  <c r="R50" i="6" s="1"/>
  <c r="AJ40" i="6"/>
  <c r="AK40" i="6" s="1"/>
  <c r="G46" i="6"/>
  <c r="H46" i="6" s="1"/>
  <c r="G45" i="6"/>
  <c r="H45" i="6" s="1"/>
  <c r="AJ46" i="6"/>
  <c r="AK46" i="6" s="1"/>
  <c r="G53" i="6"/>
  <c r="H53" i="6" s="1"/>
  <c r="G48" i="6"/>
  <c r="H48" i="6" s="1"/>
  <c r="Q52" i="6"/>
  <c r="R52" i="6" s="1"/>
  <c r="G43" i="6"/>
  <c r="H43" i="6" s="1"/>
  <c r="AJ48" i="6"/>
  <c r="AK48" i="6" s="1"/>
  <c r="AJ41" i="6"/>
  <c r="AK41" i="6" s="1"/>
  <c r="G42" i="6"/>
  <c r="H42" i="6" s="1"/>
  <c r="AA46" i="6"/>
  <c r="AB46" i="6" s="1"/>
  <c r="Q49" i="6"/>
  <c r="R49" i="6" s="1"/>
  <c r="AA47" i="6"/>
  <c r="AB47" i="6" s="1"/>
  <c r="AA44" i="6"/>
  <c r="AB44" i="6" s="1"/>
  <c r="AJ52" i="6"/>
  <c r="AK52" i="6" s="1"/>
  <c r="AA41" i="6"/>
  <c r="AB41" i="6" s="1"/>
  <c r="Q42" i="157"/>
  <c r="R42" i="157" s="1"/>
  <c r="Q40" i="6"/>
  <c r="R40" i="6" s="1"/>
  <c r="AA50" i="157"/>
  <c r="AB50" i="157" s="1"/>
  <c r="AA51" i="6"/>
  <c r="AB51" i="6" s="1"/>
  <c r="Q47" i="6"/>
  <c r="R47" i="6" s="1"/>
  <c r="G44" i="157"/>
  <c r="H44" i="157" s="1"/>
  <c r="AA42" i="6"/>
  <c r="AB42" i="6" s="1"/>
  <c r="AA53" i="6"/>
  <c r="AB53" i="6" s="1"/>
  <c r="G41" i="6"/>
  <c r="H41" i="6" s="1"/>
  <c r="AJ48" i="157"/>
  <c r="AK48" i="157" s="1"/>
  <c r="AJ43" i="6"/>
  <c r="AK43" i="6" s="1"/>
  <c r="G47" i="6"/>
  <c r="H47" i="6" s="1"/>
  <c r="Q41" i="6"/>
  <c r="R41" i="6" s="1"/>
  <c r="Q45" i="6"/>
  <c r="R45" i="6" s="1"/>
  <c r="AA37" i="157"/>
  <c r="AB37" i="157" s="1"/>
  <c r="Q55" i="6"/>
  <c r="R55" i="6" s="1"/>
  <c r="AA44" i="157"/>
  <c r="AB44" i="157" s="1"/>
  <c r="G51" i="157"/>
  <c r="H51" i="157" s="1"/>
  <c r="Q43" i="6"/>
  <c r="R43" i="6" s="1"/>
  <c r="AA52" i="6"/>
  <c r="AB52" i="6" s="1"/>
  <c r="AA43" i="6"/>
  <c r="AB43" i="6" s="1"/>
  <c r="G51" i="6"/>
  <c r="H51" i="6" s="1"/>
  <c r="G52" i="6"/>
  <c r="H52" i="6" s="1"/>
  <c r="AJ51" i="6"/>
  <c r="AK51" i="6" s="1"/>
  <c r="AA48" i="6"/>
  <c r="AB48" i="6" s="1"/>
  <c r="Q37" i="157"/>
  <c r="R37" i="157" s="1"/>
  <c r="G54" i="6"/>
  <c r="H54" i="6" s="1"/>
  <c r="AJ39" i="157"/>
  <c r="AK39" i="157" s="1"/>
  <c r="Q40" i="157"/>
  <c r="R40" i="157" s="1"/>
  <c r="AA38" i="157"/>
  <c r="AB38" i="157" s="1"/>
  <c r="Q51" i="6"/>
  <c r="R51" i="6" s="1"/>
  <c r="AJ42" i="6"/>
  <c r="AK42" i="6" s="1"/>
  <c r="Q44" i="6"/>
  <c r="R44" i="6" s="1"/>
  <c r="AA47" i="157"/>
  <c r="AB47" i="157" s="1"/>
  <c r="Q49" i="157"/>
  <c r="R49" i="157" s="1"/>
  <c r="AJ49" i="157"/>
  <c r="AK49" i="157" s="1"/>
  <c r="E24" i="99"/>
  <c r="G24" i="99" s="1"/>
  <c r="N24" i="99" s="1"/>
  <c r="AK84" i="7"/>
  <c r="G25" i="124"/>
  <c r="M42" i="125"/>
  <c r="M47" i="125" s="1"/>
  <c r="AJ46" i="157"/>
  <c r="AK46" i="157" s="1"/>
  <c r="AA54" i="6"/>
  <c r="AB54" i="6" s="1"/>
  <c r="AA49" i="157"/>
  <c r="AB49" i="157" s="1"/>
  <c r="Q44" i="157"/>
  <c r="R44" i="157" s="1"/>
  <c r="AJ43" i="157"/>
  <c r="AK43" i="157" s="1"/>
  <c r="Q48" i="157"/>
  <c r="R48" i="157" s="1"/>
  <c r="E24" i="122"/>
  <c r="G24" i="122" s="1"/>
  <c r="G42" i="125"/>
  <c r="G47" i="125" s="1"/>
  <c r="Q39" i="157"/>
  <c r="R39" i="157" s="1"/>
  <c r="G56" i="6"/>
  <c r="H56" i="6" s="1"/>
  <c r="G38" i="157"/>
  <c r="H38" i="157" s="1"/>
  <c r="G52" i="157"/>
  <c r="H52" i="157" s="1"/>
  <c r="G40" i="157"/>
  <c r="H40" i="157" s="1"/>
  <c r="AA46" i="157"/>
  <c r="AB46" i="157" s="1"/>
  <c r="E23" i="98"/>
  <c r="G23" i="98" s="1"/>
  <c r="N23" i="98" s="1"/>
  <c r="Q46" i="157"/>
  <c r="R46" i="157" s="1"/>
  <c r="AA36" i="157"/>
  <c r="AB36" i="157" s="1"/>
  <c r="Q43" i="157"/>
  <c r="R43" i="157" s="1"/>
  <c r="G42" i="157"/>
  <c r="H42" i="157" s="1"/>
  <c r="G47" i="157"/>
  <c r="H47" i="157" s="1"/>
  <c r="G39" i="157"/>
  <c r="H39" i="157" s="1"/>
  <c r="Q36" i="157"/>
  <c r="R36" i="157" s="1"/>
  <c r="AJ54" i="6"/>
  <c r="AK54" i="6" s="1"/>
  <c r="AJ36" i="157"/>
  <c r="AK36" i="157" s="1"/>
  <c r="AJ47" i="157"/>
  <c r="AK47" i="157" s="1"/>
  <c r="AA43" i="157"/>
  <c r="AB43" i="157" s="1"/>
  <c r="AA39" i="157"/>
  <c r="AB39" i="157" s="1"/>
  <c r="Q45" i="157"/>
  <c r="R45" i="157" s="1"/>
  <c r="G49" i="157"/>
  <c r="H49" i="157" s="1"/>
  <c r="M23" i="125"/>
  <c r="AA40" i="157"/>
  <c r="AB40" i="157" s="1"/>
  <c r="AJ42" i="157"/>
  <c r="AK42" i="157" s="1"/>
  <c r="Q38" i="157"/>
  <c r="R38" i="157" s="1"/>
  <c r="G46" i="157"/>
  <c r="H46" i="157" s="1"/>
  <c r="AJ40" i="157"/>
  <c r="AK40" i="157" s="1"/>
  <c r="G36" i="157"/>
  <c r="H36" i="157" s="1"/>
  <c r="AA48" i="157"/>
  <c r="AB48" i="157" s="1"/>
  <c r="G55" i="6"/>
  <c r="H55" i="6" s="1"/>
  <c r="Q47" i="157"/>
  <c r="R47" i="157" s="1"/>
  <c r="AJ50" i="157"/>
  <c r="AK50" i="157" s="1"/>
  <c r="AJ37" i="157"/>
  <c r="AK37" i="157" s="1"/>
  <c r="E23" i="87"/>
  <c r="G23" i="87" s="1"/>
  <c r="N23" i="87" s="1"/>
  <c r="E24" i="72"/>
  <c r="G24" i="72" s="1"/>
  <c r="E23" i="99"/>
  <c r="G23" i="99" s="1"/>
  <c r="E23" i="88"/>
  <c r="G23" i="88" s="1"/>
  <c r="N23" i="88" s="1"/>
  <c r="E24" i="82"/>
  <c r="G24" i="82" s="1"/>
  <c r="E24" i="81"/>
  <c r="G24" i="81" s="1"/>
  <c r="N24" i="81" s="1"/>
  <c r="E24" i="103"/>
  <c r="G24" i="103" s="1"/>
  <c r="G28" i="103" s="1"/>
  <c r="E23" i="85"/>
  <c r="G23" i="85" s="1"/>
  <c r="N23" i="85" s="1"/>
  <c r="M25" i="121"/>
  <c r="M25" i="122"/>
  <c r="N60" i="7"/>
  <c r="S60" i="7" s="1"/>
  <c r="G42" i="82"/>
  <c r="G47" i="82" s="1"/>
  <c r="N65" i="7"/>
  <c r="S65" i="7" s="1"/>
  <c r="N42" i="84"/>
  <c r="N47" i="84" s="1"/>
  <c r="M20" i="7" s="1"/>
  <c r="AD20" i="7" s="1"/>
  <c r="G24" i="123"/>
  <c r="M24" i="124"/>
  <c r="G47" i="84"/>
  <c r="M24" i="123"/>
  <c r="AG54" i="7"/>
  <c r="G42" i="73"/>
  <c r="G47" i="73" s="1"/>
  <c r="M43" i="70"/>
  <c r="M23" i="79"/>
  <c r="N25" i="7"/>
  <c r="S25" i="7" s="1"/>
  <c r="G43" i="70"/>
  <c r="M24" i="79"/>
  <c r="G25" i="122"/>
  <c r="E42" i="96"/>
  <c r="G42" i="96" s="1"/>
  <c r="G47" i="96" s="1"/>
  <c r="G39" i="124"/>
  <c r="O55" i="7" s="1"/>
  <c r="T55" i="7" s="1"/>
  <c r="M24" i="122"/>
  <c r="M42" i="124"/>
  <c r="M47" i="124" s="1"/>
  <c r="G42" i="70"/>
  <c r="G42" i="121"/>
  <c r="G47" i="121" s="1"/>
  <c r="M25" i="125"/>
  <c r="E23" i="79"/>
  <c r="G23" i="79" s="1"/>
  <c r="M23" i="121"/>
  <c r="G39" i="71"/>
  <c r="O7" i="7" s="1"/>
  <c r="T7" i="7" s="1"/>
  <c r="M42" i="123"/>
  <c r="M47" i="123" s="1"/>
  <c r="M24" i="121"/>
  <c r="E26" i="125"/>
  <c r="G26" i="125" s="1"/>
  <c r="G42" i="124"/>
  <c r="G47" i="124" s="1"/>
  <c r="M25" i="124"/>
  <c r="M43" i="74"/>
  <c r="M48" i="74" s="1"/>
  <c r="N10" i="7" s="1"/>
  <c r="S10" i="7" s="1"/>
  <c r="M26" i="122"/>
  <c r="AK58" i="7"/>
  <c r="E23" i="71"/>
  <c r="G23" i="71" s="1"/>
  <c r="G28" i="71" s="1"/>
  <c r="G25" i="121"/>
  <c r="E24" i="125"/>
  <c r="G24" i="125" s="1"/>
  <c r="E26" i="124"/>
  <c r="G26" i="124" s="1"/>
  <c r="N42" i="72"/>
  <c r="N47" i="72" s="1"/>
  <c r="G47" i="72"/>
  <c r="G39" i="121"/>
  <c r="O52" i="7" s="1"/>
  <c r="T52" i="7" s="1"/>
  <c r="M42" i="121"/>
  <c r="M47" i="121" s="1"/>
  <c r="F77" i="6"/>
  <c r="G25" i="123"/>
  <c r="M42" i="122"/>
  <c r="M47" i="122" s="1"/>
  <c r="G39" i="125"/>
  <c r="O56" i="7" s="1"/>
  <c r="T56" i="7" s="1"/>
  <c r="E23" i="81"/>
  <c r="G23" i="81" s="1"/>
  <c r="E24" i="98"/>
  <c r="G24" i="98" s="1"/>
  <c r="G23" i="124"/>
  <c r="AK13" i="7"/>
  <c r="AK56" i="7"/>
  <c r="M24" i="125"/>
  <c r="M25" i="123"/>
  <c r="E24" i="86"/>
  <c r="G24" i="86" s="1"/>
  <c r="N24" i="86" s="1"/>
  <c r="E24" i="85"/>
  <c r="G24" i="85" s="1"/>
  <c r="E23" i="127"/>
  <c r="G23" i="127" s="1"/>
  <c r="D88" i="5"/>
  <c r="G39" i="123"/>
  <c r="O54" i="7" s="1"/>
  <c r="AF54" i="7" s="1"/>
  <c r="G39" i="122"/>
  <c r="O53" i="7" s="1"/>
  <c r="AF53" i="7" s="1"/>
  <c r="G25" i="125"/>
  <c r="N42" i="83"/>
  <c r="N47" i="83" s="1"/>
  <c r="M19" i="7" s="1"/>
  <c r="R19" i="7" s="1"/>
  <c r="M23" i="124"/>
  <c r="G42" i="123"/>
  <c r="M26" i="124"/>
  <c r="E26" i="121"/>
  <c r="G26" i="121" s="1"/>
  <c r="E26" i="122"/>
  <c r="G26" i="122" s="1"/>
  <c r="E42" i="104"/>
  <c r="G42" i="104" s="1"/>
  <c r="G42" i="122"/>
  <c r="G25" i="72"/>
  <c r="E24" i="88"/>
  <c r="G24" i="88" s="1"/>
  <c r="M26" i="121"/>
  <c r="G39" i="126"/>
  <c r="M26" i="125"/>
  <c r="G43" i="74"/>
  <c r="AF71" i="7"/>
  <c r="AK80" i="7"/>
  <c r="M42" i="73"/>
  <c r="M47" i="73" s="1"/>
  <c r="M42" i="82"/>
  <c r="M47" i="82" s="1"/>
  <c r="M23" i="72"/>
  <c r="G39" i="93"/>
  <c r="O29" i="7" s="1"/>
  <c r="AF29" i="7" s="1"/>
  <c r="BX35" i="6"/>
  <c r="C79" i="6" s="1"/>
  <c r="F79" i="6" s="1"/>
  <c r="F76" i="6"/>
  <c r="N48" i="7"/>
  <c r="AC48" i="7" s="1"/>
  <c r="N12" i="7"/>
  <c r="S12" i="7" s="1"/>
  <c r="N78" i="7"/>
  <c r="S78" i="7" s="1"/>
  <c r="M42" i="70"/>
  <c r="G39" i="83"/>
  <c r="O19" i="7" s="1"/>
  <c r="T19" i="7" s="1"/>
  <c r="G39" i="138"/>
  <c r="O69" i="7" s="1"/>
  <c r="AF69" i="7" s="1"/>
  <c r="N30" i="7"/>
  <c r="S30" i="7" s="1"/>
  <c r="N82" i="7"/>
  <c r="S82" i="7" s="1"/>
  <c r="N26" i="7"/>
  <c r="S26" i="7" s="1"/>
  <c r="N43" i="7"/>
  <c r="AC43" i="7" s="1"/>
  <c r="N40" i="7"/>
  <c r="S40" i="7" s="1"/>
  <c r="M41" i="7"/>
  <c r="R41" i="7" s="1"/>
  <c r="N45" i="7"/>
  <c r="S45" i="7" s="1"/>
  <c r="N49" i="7"/>
  <c r="S49" i="7" s="1"/>
  <c r="N76" i="7"/>
  <c r="S76" i="7" s="1"/>
  <c r="N27" i="7"/>
  <c r="S27" i="7" s="1"/>
  <c r="M80" i="7"/>
  <c r="R80" i="7" s="1"/>
  <c r="N51" i="7"/>
  <c r="S51" i="7" s="1"/>
  <c r="M79" i="7"/>
  <c r="R79" i="7" s="1"/>
  <c r="N84" i="7"/>
  <c r="S84" i="7" s="1"/>
  <c r="N31" i="7"/>
  <c r="S31" i="7" s="1"/>
  <c r="N75" i="7"/>
  <c r="S75" i="7" s="1"/>
  <c r="M60" i="7"/>
  <c r="R60" i="7" s="1"/>
  <c r="N42" i="7"/>
  <c r="S42" i="7" s="1"/>
  <c r="N80" i="7"/>
  <c r="S80" i="7" s="1"/>
  <c r="M70" i="7"/>
  <c r="AD70" i="7" s="1"/>
  <c r="N59" i="7"/>
  <c r="S59" i="7" s="1"/>
  <c r="N28" i="7"/>
  <c r="S28" i="7" s="1"/>
  <c r="G57" i="146"/>
  <c r="G60" i="146" s="1"/>
  <c r="N67" i="7"/>
  <c r="S67" i="7" s="1"/>
  <c r="M78" i="7"/>
  <c r="R78" i="7" s="1"/>
  <c r="N50" i="7"/>
  <c r="AC50" i="7" s="1"/>
  <c r="M76" i="7"/>
  <c r="R76" i="7" s="1"/>
  <c r="N24" i="104"/>
  <c r="G39" i="84"/>
  <c r="O20" i="7" s="1"/>
  <c r="T20" i="7" s="1"/>
  <c r="G57" i="151"/>
  <c r="G61" i="151" s="1"/>
  <c r="AG76" i="7"/>
  <c r="M75" i="7"/>
  <c r="R75" i="7" s="1"/>
  <c r="M24" i="75"/>
  <c r="G39" i="133"/>
  <c r="O64" i="7" s="1"/>
  <c r="T64" i="7" s="1"/>
  <c r="AF70" i="7"/>
  <c r="N46" i="7"/>
  <c r="S46" i="7" s="1"/>
  <c r="E23" i="75"/>
  <c r="G23" i="75" s="1"/>
  <c r="G39" i="88"/>
  <c r="O24" i="7" s="1"/>
  <c r="T24" i="7" s="1"/>
  <c r="AG72" i="7"/>
  <c r="N71" i="7"/>
  <c r="M24" i="72"/>
  <c r="G40" i="74"/>
  <c r="O10" i="7" s="1"/>
  <c r="T10" i="7" s="1"/>
  <c r="M83" i="7"/>
  <c r="R83" i="7" s="1"/>
  <c r="E23" i="73"/>
  <c r="G23" i="73" s="1"/>
  <c r="N20" i="7"/>
  <c r="S20" i="7" s="1"/>
  <c r="G39" i="82"/>
  <c r="O18" i="7" s="1"/>
  <c r="AF18" i="7" s="1"/>
  <c r="G57" i="152"/>
  <c r="G61" i="152" s="1"/>
  <c r="M84" i="7"/>
  <c r="R84" i="7" s="1"/>
  <c r="E23" i="121"/>
  <c r="G23" i="121" s="1"/>
  <c r="EZ35" i="6"/>
  <c r="C87" i="6" s="1"/>
  <c r="F87" i="6" s="1"/>
  <c r="G57" i="9"/>
  <c r="G60" i="9" s="1"/>
  <c r="E23" i="123"/>
  <c r="G23" i="123" s="1"/>
  <c r="M23" i="71"/>
  <c r="M28" i="71" s="1"/>
  <c r="N7" i="7" s="1"/>
  <c r="CH35" i="6"/>
  <c r="C80" i="6" s="1"/>
  <c r="F80" i="6" s="1"/>
  <c r="N70" i="7"/>
  <c r="S70" i="7" s="1"/>
  <c r="M13" i="7"/>
  <c r="R13" i="7" s="1"/>
  <c r="M24" i="73"/>
  <c r="M23" i="126"/>
  <c r="M28" i="126" s="1"/>
  <c r="FJ35" i="6"/>
  <c r="C88" i="6" s="1"/>
  <c r="F88" i="6" s="1"/>
  <c r="N16" i="7"/>
  <c r="M77" i="7"/>
  <c r="R77" i="7" s="1"/>
  <c r="M24" i="70"/>
  <c r="M23" i="123"/>
  <c r="DL35" i="6"/>
  <c r="C83" i="6" s="1"/>
  <c r="F83" i="6" s="1"/>
  <c r="N61" i="7"/>
  <c r="DB35" i="6"/>
  <c r="C82" i="6" s="1"/>
  <c r="F82" i="6" s="1"/>
  <c r="P214" i="7"/>
  <c r="U214" i="7" s="1"/>
  <c r="P195" i="7"/>
  <c r="U195" i="7" s="1"/>
  <c r="P181" i="7"/>
  <c r="U181" i="7" s="1"/>
  <c r="P176" i="7"/>
  <c r="U176" i="7" s="1"/>
  <c r="P167" i="7"/>
  <c r="U167" i="7" s="1"/>
  <c r="P136" i="7"/>
  <c r="U136" i="7" s="1"/>
  <c r="P105" i="7"/>
  <c r="U105" i="7" s="1"/>
  <c r="P92" i="7"/>
  <c r="U92" i="7" s="1"/>
  <c r="P122" i="7"/>
  <c r="U122" i="7" s="1"/>
  <c r="P131" i="7"/>
  <c r="U131" i="7" s="1"/>
  <c r="P144" i="7"/>
  <c r="U144" i="7" s="1"/>
  <c r="P113" i="7"/>
  <c r="U113" i="7" s="1"/>
  <c r="P210" i="7"/>
  <c r="U210" i="7" s="1"/>
  <c r="P206" i="7"/>
  <c r="U206" i="7" s="1"/>
  <c r="P200" i="7"/>
  <c r="U200" i="7" s="1"/>
  <c r="P186" i="7"/>
  <c r="U186" i="7" s="1"/>
  <c r="P163" i="7"/>
  <c r="U163" i="7" s="1"/>
  <c r="P154" i="7"/>
  <c r="U154" i="7" s="1"/>
  <c r="P145" i="7"/>
  <c r="U145" i="7" s="1"/>
  <c r="P141" i="7"/>
  <c r="U141" i="7" s="1"/>
  <c r="P132" i="7"/>
  <c r="U132" i="7" s="1"/>
  <c r="P114" i="7"/>
  <c r="U114" i="7" s="1"/>
  <c r="P110" i="7"/>
  <c r="U110" i="7" s="1"/>
  <c r="P86" i="7"/>
  <c r="U86" i="7" s="1"/>
  <c r="P168" i="7"/>
  <c r="U168" i="7" s="1"/>
  <c r="P159" i="7"/>
  <c r="U159" i="7" s="1"/>
  <c r="P150" i="7"/>
  <c r="U150" i="7" s="1"/>
  <c r="P128" i="7"/>
  <c r="U128" i="7" s="1"/>
  <c r="P124" i="7"/>
  <c r="U124" i="7" s="1"/>
  <c r="P119" i="7"/>
  <c r="U119" i="7" s="1"/>
  <c r="P101" i="7"/>
  <c r="U101" i="7" s="1"/>
  <c r="P84" i="7"/>
  <c r="U84" i="7" s="1"/>
  <c r="P155" i="7"/>
  <c r="U155" i="7" s="1"/>
  <c r="P137" i="7"/>
  <c r="U137" i="7" s="1"/>
  <c r="P106" i="7"/>
  <c r="U106" i="7" s="1"/>
  <c r="P97" i="7"/>
  <c r="U97" i="7" s="1"/>
  <c r="P88" i="7"/>
  <c r="U88" i="7" s="1"/>
  <c r="P117" i="7"/>
  <c r="U117" i="7" s="1"/>
  <c r="P108" i="7"/>
  <c r="U108" i="7" s="1"/>
  <c r="P91" i="7"/>
  <c r="U91" i="7" s="1"/>
  <c r="P201" i="7"/>
  <c r="U201" i="7" s="1"/>
  <c r="P196" i="7"/>
  <c r="U196" i="7" s="1"/>
  <c r="P191" i="7"/>
  <c r="U191" i="7" s="1"/>
  <c r="P182" i="7"/>
  <c r="U182" i="7" s="1"/>
  <c r="P177" i="7"/>
  <c r="U177" i="7" s="1"/>
  <c r="P173" i="7"/>
  <c r="U173" i="7" s="1"/>
  <c r="P215" i="7"/>
  <c r="U215" i="7" s="1"/>
  <c r="P211" i="7"/>
  <c r="U211" i="7" s="1"/>
  <c r="P169" i="7"/>
  <c r="U169" i="7" s="1"/>
  <c r="P146" i="7"/>
  <c r="U146" i="7" s="1"/>
  <c r="P142" i="7"/>
  <c r="U142" i="7" s="1"/>
  <c r="P133" i="7"/>
  <c r="U133" i="7" s="1"/>
  <c r="P115" i="7"/>
  <c r="U115" i="7" s="1"/>
  <c r="P93" i="7"/>
  <c r="U93" i="7" s="1"/>
  <c r="P187" i="7"/>
  <c r="U187" i="7" s="1"/>
  <c r="P178" i="7"/>
  <c r="U178" i="7" s="1"/>
  <c r="P164" i="7"/>
  <c r="U164" i="7" s="1"/>
  <c r="P160" i="7"/>
  <c r="U160" i="7" s="1"/>
  <c r="P120" i="7"/>
  <c r="U120" i="7" s="1"/>
  <c r="P111" i="7"/>
  <c r="U111" i="7" s="1"/>
  <c r="P102" i="7"/>
  <c r="U102" i="7" s="1"/>
  <c r="P184" i="7"/>
  <c r="U184" i="7" s="1"/>
  <c r="P135" i="7"/>
  <c r="U135" i="7" s="1"/>
  <c r="P140" i="7"/>
  <c r="U140" i="7" s="1"/>
  <c r="P207" i="7"/>
  <c r="U207" i="7" s="1"/>
  <c r="P202" i="7"/>
  <c r="U202" i="7" s="1"/>
  <c r="P156" i="7"/>
  <c r="U156" i="7" s="1"/>
  <c r="P138" i="7"/>
  <c r="U138" i="7" s="1"/>
  <c r="P129" i="7"/>
  <c r="U129" i="7" s="1"/>
  <c r="P94" i="7"/>
  <c r="U94" i="7" s="1"/>
  <c r="P89" i="7"/>
  <c r="U89" i="7" s="1"/>
  <c r="P180" i="7"/>
  <c r="U180" i="7" s="1"/>
  <c r="P157" i="7"/>
  <c r="U157" i="7" s="1"/>
  <c r="P197" i="7"/>
  <c r="U197" i="7" s="1"/>
  <c r="P192" i="7"/>
  <c r="U192" i="7" s="1"/>
  <c r="P179" i="7"/>
  <c r="U179" i="7" s="1"/>
  <c r="P165" i="7"/>
  <c r="U165" i="7" s="1"/>
  <c r="P151" i="7"/>
  <c r="U151" i="7" s="1"/>
  <c r="P147" i="7"/>
  <c r="U147" i="7" s="1"/>
  <c r="P134" i="7"/>
  <c r="U134" i="7" s="1"/>
  <c r="P125" i="7"/>
  <c r="U125" i="7" s="1"/>
  <c r="P107" i="7"/>
  <c r="U107" i="7" s="1"/>
  <c r="P98" i="7"/>
  <c r="U98" i="7" s="1"/>
  <c r="P85" i="7"/>
  <c r="U85" i="7" s="1"/>
  <c r="P204" i="7"/>
  <c r="U204" i="7" s="1"/>
  <c r="P153" i="7"/>
  <c r="U153" i="7" s="1"/>
  <c r="P212" i="7"/>
  <c r="U212" i="7" s="1"/>
  <c r="P203" i="7"/>
  <c r="U203" i="7" s="1"/>
  <c r="P183" i="7"/>
  <c r="U183" i="7" s="1"/>
  <c r="P174" i="7"/>
  <c r="U174" i="7" s="1"/>
  <c r="P121" i="7"/>
  <c r="U121" i="7" s="1"/>
  <c r="P116" i="7"/>
  <c r="U116" i="7" s="1"/>
  <c r="P189" i="7"/>
  <c r="U189" i="7" s="1"/>
  <c r="P171" i="7"/>
  <c r="U171" i="7" s="1"/>
  <c r="P166" i="7"/>
  <c r="U166" i="7" s="1"/>
  <c r="P175" i="7"/>
  <c r="U175" i="7" s="1"/>
  <c r="P162" i="7"/>
  <c r="U162" i="7" s="1"/>
  <c r="P188" i="7"/>
  <c r="U188" i="7" s="1"/>
  <c r="P170" i="7"/>
  <c r="U170" i="7" s="1"/>
  <c r="P161" i="7"/>
  <c r="U161" i="7" s="1"/>
  <c r="P143" i="7"/>
  <c r="U143" i="7" s="1"/>
  <c r="P112" i="7"/>
  <c r="U112" i="7" s="1"/>
  <c r="P90" i="7"/>
  <c r="U90" i="7" s="1"/>
  <c r="P208" i="7"/>
  <c r="U208" i="7" s="1"/>
  <c r="P198" i="7"/>
  <c r="U198" i="7" s="1"/>
  <c r="P193" i="7"/>
  <c r="U193" i="7" s="1"/>
  <c r="P152" i="7"/>
  <c r="U152" i="7" s="1"/>
  <c r="P148" i="7"/>
  <c r="U148" i="7" s="1"/>
  <c r="P139" i="7"/>
  <c r="U139" i="7" s="1"/>
  <c r="P130" i="7"/>
  <c r="U130" i="7" s="1"/>
  <c r="P126" i="7"/>
  <c r="U126" i="7" s="1"/>
  <c r="P103" i="7"/>
  <c r="U103" i="7" s="1"/>
  <c r="P99" i="7"/>
  <c r="U99" i="7" s="1"/>
  <c r="P95" i="7"/>
  <c r="U95" i="7" s="1"/>
  <c r="P213" i="7"/>
  <c r="U213" i="7" s="1"/>
  <c r="P209" i="7"/>
  <c r="U209" i="7" s="1"/>
  <c r="P205" i="7"/>
  <c r="U205" i="7" s="1"/>
  <c r="P185" i="7"/>
  <c r="U185" i="7" s="1"/>
  <c r="P199" i="7"/>
  <c r="U199" i="7" s="1"/>
  <c r="P194" i="7"/>
  <c r="U194" i="7" s="1"/>
  <c r="P190" i="7"/>
  <c r="U190" i="7" s="1"/>
  <c r="P172" i="7"/>
  <c r="U172" i="7" s="1"/>
  <c r="P149" i="7"/>
  <c r="U149" i="7" s="1"/>
  <c r="P127" i="7"/>
  <c r="U127" i="7" s="1"/>
  <c r="P123" i="7"/>
  <c r="U123" i="7" s="1"/>
  <c r="P118" i="7"/>
  <c r="U118" i="7" s="1"/>
  <c r="P104" i="7"/>
  <c r="U104" i="7" s="1"/>
  <c r="P100" i="7"/>
  <c r="U100" i="7" s="1"/>
  <c r="P96" i="7"/>
  <c r="U96" i="7" s="1"/>
  <c r="P158" i="7"/>
  <c r="U158" i="7" s="1"/>
  <c r="P109" i="7"/>
  <c r="U109" i="7" s="1"/>
  <c r="P87" i="7"/>
  <c r="U87" i="7" s="1"/>
  <c r="M68" i="7"/>
  <c r="AD68" i="7" s="1"/>
  <c r="G23" i="70"/>
  <c r="BN35" i="6"/>
  <c r="C78" i="6" s="1"/>
  <c r="F78" i="6" s="1"/>
  <c r="T14" i="7"/>
  <c r="AF14" i="7"/>
  <c r="G57" i="153"/>
  <c r="G60" i="153" s="1"/>
  <c r="N81" i="7"/>
  <c r="S81" i="7" s="1"/>
  <c r="G39" i="99"/>
  <c r="O35" i="7" s="1"/>
  <c r="T35" i="7" s="1"/>
  <c r="AF9" i="7"/>
  <c r="M44" i="7"/>
  <c r="M25" i="72"/>
  <c r="AF68" i="7"/>
  <c r="M23" i="73"/>
  <c r="DV35" i="6"/>
  <c r="C84" i="6" s="1"/>
  <c r="F84" i="6" s="1"/>
  <c r="G57" i="145"/>
  <c r="G62" i="145" s="1"/>
  <c r="N44" i="7"/>
  <c r="G57" i="148"/>
  <c r="G62" i="148" s="1"/>
  <c r="M28" i="99"/>
  <c r="N35" i="7" s="1"/>
  <c r="S35" i="7" s="1"/>
  <c r="M28" i="85"/>
  <c r="N63" i="7"/>
  <c r="G39" i="75"/>
  <c r="O11" i="7" s="1"/>
  <c r="T11" i="7" s="1"/>
  <c r="G39" i="81"/>
  <c r="O17" i="7" s="1"/>
  <c r="AF17" i="7" s="1"/>
  <c r="G39" i="87"/>
  <c r="FT35" i="6"/>
  <c r="C89" i="6" s="1"/>
  <c r="F89" i="6" s="1"/>
  <c r="N68" i="7"/>
  <c r="AC68" i="7" s="1"/>
  <c r="M28" i="88"/>
  <c r="N24" i="7" s="1"/>
  <c r="M42" i="96"/>
  <c r="M47" i="96" s="1"/>
  <c r="N32" i="7" s="1"/>
  <c r="AC32" i="7" s="1"/>
  <c r="M23" i="127"/>
  <c r="M28" i="127" s="1"/>
  <c r="G57" i="154"/>
  <c r="G60" i="154" s="1"/>
  <c r="M28" i="104"/>
  <c r="N39" i="7" s="1"/>
  <c r="S39" i="7" s="1"/>
  <c r="EF35" i="6"/>
  <c r="C85" i="6" s="1"/>
  <c r="F85" i="6" s="1"/>
  <c r="G39" i="90"/>
  <c r="O26" i="7" s="1"/>
  <c r="T26" i="7" s="1"/>
  <c r="G39" i="131"/>
  <c r="O62" i="7" s="1"/>
  <c r="T62" i="7" s="1"/>
  <c r="AG78" i="7"/>
  <c r="AK78" i="7"/>
  <c r="M28" i="81"/>
  <c r="N17" i="7" s="1"/>
  <c r="T38" i="7"/>
  <c r="AF38" i="7"/>
  <c r="AG77" i="7"/>
  <c r="AK77" i="7"/>
  <c r="N62" i="7"/>
  <c r="G39" i="102"/>
  <c r="O37" i="7" s="1"/>
  <c r="G39" i="86"/>
  <c r="O22" i="7" s="1"/>
  <c r="AK34" i="7"/>
  <c r="AG34" i="7"/>
  <c r="M67" i="7"/>
  <c r="M59" i="7"/>
  <c r="G23" i="72"/>
  <c r="N23" i="86"/>
  <c r="M29" i="87"/>
  <c r="N23" i="7" s="1"/>
  <c r="M23" i="122"/>
  <c r="E23" i="126"/>
  <c r="G23" i="126" s="1"/>
  <c r="N31" i="72"/>
  <c r="G31" i="72"/>
  <c r="G39" i="72" s="1"/>
  <c r="O8" i="7" s="1"/>
  <c r="G39" i="106"/>
  <c r="O41" i="7" s="1"/>
  <c r="AK67" i="7"/>
  <c r="AG67" i="7"/>
  <c r="AK42" i="7"/>
  <c r="AG42" i="7"/>
  <c r="AF59" i="7"/>
  <c r="AK31" i="7"/>
  <c r="AG31" i="7"/>
  <c r="N37" i="7"/>
  <c r="G28" i="97"/>
  <c r="N23" i="97"/>
  <c r="N28" i="97" s="1"/>
  <c r="N13" i="7"/>
  <c r="T66" i="7"/>
  <c r="AF66" i="7"/>
  <c r="AG73" i="7"/>
  <c r="AK73" i="7"/>
  <c r="N47" i="7"/>
  <c r="M28" i="86"/>
  <c r="N22" i="7" s="1"/>
  <c r="M23" i="70"/>
  <c r="G28" i="133"/>
  <c r="N23" i="133"/>
  <c r="N28" i="133" s="1"/>
  <c r="G39" i="80"/>
  <c r="O16" i="7" s="1"/>
  <c r="AK33" i="7"/>
  <c r="AG33" i="7"/>
  <c r="AK70" i="7"/>
  <c r="AG70" i="7"/>
  <c r="AK52" i="7"/>
  <c r="AG52" i="7"/>
  <c r="AK9" i="7"/>
  <c r="AG9" i="7"/>
  <c r="AF36" i="7"/>
  <c r="N83" i="7"/>
  <c r="S83" i="7" s="1"/>
  <c r="N23" i="103"/>
  <c r="N64" i="7"/>
  <c r="EP35" i="6"/>
  <c r="C86" i="6" s="1"/>
  <c r="F86" i="6" s="1"/>
  <c r="T6" i="7"/>
  <c r="AF6" i="7"/>
  <c r="AF60" i="7"/>
  <c r="AK50" i="7"/>
  <c r="AG50" i="7"/>
  <c r="AK47" i="7"/>
  <c r="AG47" i="7"/>
  <c r="AK74" i="7"/>
  <c r="AG74" i="7"/>
  <c r="AK49" i="7"/>
  <c r="AG49" i="7"/>
  <c r="AK20" i="7"/>
  <c r="AG20" i="7"/>
  <c r="AK79" i="7"/>
  <c r="AG79" i="7"/>
  <c r="M42" i="7"/>
  <c r="O206" i="7"/>
  <c r="T206" i="7" s="1"/>
  <c r="O190" i="7"/>
  <c r="T190" i="7" s="1"/>
  <c r="O203" i="7"/>
  <c r="T203" i="7" s="1"/>
  <c r="O187" i="7"/>
  <c r="T187" i="7" s="1"/>
  <c r="O200" i="7"/>
  <c r="T200" i="7" s="1"/>
  <c r="O184" i="7"/>
  <c r="T184" i="7" s="1"/>
  <c r="O210" i="7"/>
  <c r="T210" i="7" s="1"/>
  <c r="O194" i="7"/>
  <c r="T194" i="7" s="1"/>
  <c r="O207" i="7"/>
  <c r="T207" i="7" s="1"/>
  <c r="O214" i="7"/>
  <c r="T214" i="7" s="1"/>
  <c r="O198" i="7"/>
  <c r="T198" i="7" s="1"/>
  <c r="O211" i="7"/>
  <c r="T211" i="7" s="1"/>
  <c r="O208" i="7"/>
  <c r="T208" i="7" s="1"/>
  <c r="O202" i="7"/>
  <c r="T202" i="7" s="1"/>
  <c r="O196" i="7"/>
  <c r="T196" i="7" s="1"/>
  <c r="O182" i="7"/>
  <c r="T182" i="7" s="1"/>
  <c r="O199" i="7"/>
  <c r="T199" i="7" s="1"/>
  <c r="O180" i="7"/>
  <c r="T180" i="7" s="1"/>
  <c r="O177" i="7"/>
  <c r="T177" i="7" s="1"/>
  <c r="O188" i="7"/>
  <c r="T188" i="7" s="1"/>
  <c r="O186" i="7"/>
  <c r="T186" i="7" s="1"/>
  <c r="O174" i="7"/>
  <c r="T174" i="7" s="1"/>
  <c r="O158" i="7"/>
  <c r="T158" i="7" s="1"/>
  <c r="O193" i="7"/>
  <c r="T193" i="7" s="1"/>
  <c r="O204" i="7"/>
  <c r="T204" i="7" s="1"/>
  <c r="O201" i="7"/>
  <c r="T201" i="7" s="1"/>
  <c r="O195" i="7"/>
  <c r="T195" i="7" s="1"/>
  <c r="O168" i="7"/>
  <c r="T168" i="7" s="1"/>
  <c r="O192" i="7"/>
  <c r="T192" i="7" s="1"/>
  <c r="O212" i="7"/>
  <c r="T212" i="7" s="1"/>
  <c r="O197" i="7"/>
  <c r="T197" i="7" s="1"/>
  <c r="O183" i="7"/>
  <c r="T183" i="7" s="1"/>
  <c r="O142" i="7"/>
  <c r="T142" i="7" s="1"/>
  <c r="O126" i="7"/>
  <c r="T126" i="7" s="1"/>
  <c r="O110" i="7"/>
  <c r="T110" i="7" s="1"/>
  <c r="O94" i="7"/>
  <c r="T94" i="7" s="1"/>
  <c r="O179" i="7"/>
  <c r="T179" i="7" s="1"/>
  <c r="O172" i="7"/>
  <c r="T172" i="7" s="1"/>
  <c r="O159" i="7"/>
  <c r="T159" i="7" s="1"/>
  <c r="O148" i="7"/>
  <c r="T148" i="7" s="1"/>
  <c r="O139" i="7"/>
  <c r="T139" i="7" s="1"/>
  <c r="O123" i="7"/>
  <c r="T123" i="7" s="1"/>
  <c r="O107" i="7"/>
  <c r="T107" i="7" s="1"/>
  <c r="O91" i="7"/>
  <c r="T91" i="7" s="1"/>
  <c r="O136" i="7"/>
  <c r="T136" i="7" s="1"/>
  <c r="O120" i="7"/>
  <c r="T120" i="7" s="1"/>
  <c r="O104" i="7"/>
  <c r="T104" i="7" s="1"/>
  <c r="O88" i="7"/>
  <c r="T88" i="7" s="1"/>
  <c r="O170" i="7"/>
  <c r="T170" i="7" s="1"/>
  <c r="O166" i="7"/>
  <c r="T166" i="7" s="1"/>
  <c r="O162" i="7"/>
  <c r="T162" i="7" s="1"/>
  <c r="O151" i="7"/>
  <c r="T151" i="7" s="1"/>
  <c r="O133" i="7"/>
  <c r="T133" i="7" s="1"/>
  <c r="O209" i="7"/>
  <c r="T209" i="7" s="1"/>
  <c r="O164" i="7"/>
  <c r="T164" i="7" s="1"/>
  <c r="O154" i="7"/>
  <c r="T154" i="7" s="1"/>
  <c r="O146" i="7"/>
  <c r="T146" i="7" s="1"/>
  <c r="O130" i="7"/>
  <c r="T130" i="7" s="1"/>
  <c r="O114" i="7"/>
  <c r="T114" i="7" s="1"/>
  <c r="O98" i="7"/>
  <c r="T98" i="7" s="1"/>
  <c r="O157" i="7"/>
  <c r="T157" i="7" s="1"/>
  <c r="O143" i="7"/>
  <c r="T143" i="7" s="1"/>
  <c r="O127" i="7"/>
  <c r="T127" i="7" s="1"/>
  <c r="O111" i="7"/>
  <c r="T111" i="7" s="1"/>
  <c r="O95" i="7"/>
  <c r="T95" i="7" s="1"/>
  <c r="O181" i="7"/>
  <c r="T181" i="7" s="1"/>
  <c r="O152" i="7"/>
  <c r="T152" i="7" s="1"/>
  <c r="O134" i="7"/>
  <c r="T134" i="7" s="1"/>
  <c r="O205" i="7"/>
  <c r="T205" i="7" s="1"/>
  <c r="O191" i="7"/>
  <c r="T191" i="7" s="1"/>
  <c r="O165" i="7"/>
  <c r="T165" i="7" s="1"/>
  <c r="O155" i="7"/>
  <c r="T155" i="7" s="1"/>
  <c r="O131" i="7"/>
  <c r="T131" i="7" s="1"/>
  <c r="O171" i="7"/>
  <c r="T171" i="7" s="1"/>
  <c r="O147" i="7"/>
  <c r="T147" i="7" s="1"/>
  <c r="O121" i="7"/>
  <c r="T121" i="7" s="1"/>
  <c r="O103" i="7"/>
  <c r="T103" i="7" s="1"/>
  <c r="O116" i="7"/>
  <c r="T116" i="7" s="1"/>
  <c r="O105" i="7"/>
  <c r="T105" i="7" s="1"/>
  <c r="O87" i="7"/>
  <c r="T87" i="7" s="1"/>
  <c r="O84" i="7"/>
  <c r="T84" i="7" s="1"/>
  <c r="O100" i="7"/>
  <c r="T100" i="7" s="1"/>
  <c r="O89" i="7"/>
  <c r="T89" i="7" s="1"/>
  <c r="O156" i="7"/>
  <c r="T156" i="7" s="1"/>
  <c r="O137" i="7"/>
  <c r="T137" i="7" s="1"/>
  <c r="O118" i="7"/>
  <c r="T118" i="7" s="1"/>
  <c r="O113" i="7"/>
  <c r="T113" i="7" s="1"/>
  <c r="O132" i="7"/>
  <c r="T132" i="7" s="1"/>
  <c r="O129" i="7"/>
  <c r="T129" i="7" s="1"/>
  <c r="O102" i="7"/>
  <c r="T102" i="7" s="1"/>
  <c r="O97" i="7"/>
  <c r="T97" i="7" s="1"/>
  <c r="O185" i="7"/>
  <c r="T185" i="7" s="1"/>
  <c r="O178" i="7"/>
  <c r="T178" i="7" s="1"/>
  <c r="O169" i="7"/>
  <c r="T169" i="7" s="1"/>
  <c r="O141" i="7"/>
  <c r="T141" i="7" s="1"/>
  <c r="O115" i="7"/>
  <c r="T115" i="7" s="1"/>
  <c r="O86" i="7"/>
  <c r="T86" i="7" s="1"/>
  <c r="O176" i="7"/>
  <c r="T176" i="7" s="1"/>
  <c r="O175" i="7"/>
  <c r="T175" i="7" s="1"/>
  <c r="O140" i="7"/>
  <c r="T140" i="7" s="1"/>
  <c r="O135" i="7"/>
  <c r="T135" i="7" s="1"/>
  <c r="O149" i="7"/>
  <c r="T149" i="7" s="1"/>
  <c r="O145" i="7"/>
  <c r="T145" i="7" s="1"/>
  <c r="O117" i="7"/>
  <c r="T117" i="7" s="1"/>
  <c r="O125" i="7"/>
  <c r="T125" i="7" s="1"/>
  <c r="O109" i="7"/>
  <c r="T109" i="7" s="1"/>
  <c r="O163" i="7"/>
  <c r="T163" i="7" s="1"/>
  <c r="O128" i="7"/>
  <c r="T128" i="7" s="1"/>
  <c r="O93" i="7"/>
  <c r="T93" i="7" s="1"/>
  <c r="O122" i="7"/>
  <c r="T122" i="7" s="1"/>
  <c r="O150" i="7"/>
  <c r="T150" i="7" s="1"/>
  <c r="O215" i="7"/>
  <c r="T215" i="7" s="1"/>
  <c r="O138" i="7"/>
  <c r="T138" i="7" s="1"/>
  <c r="O99" i="7"/>
  <c r="T99" i="7" s="1"/>
  <c r="O167" i="7"/>
  <c r="T167" i="7" s="1"/>
  <c r="O160" i="7"/>
  <c r="T160" i="7" s="1"/>
  <c r="O85" i="7"/>
  <c r="T85" i="7" s="1"/>
  <c r="O153" i="7"/>
  <c r="T153" i="7" s="1"/>
  <c r="O101" i="7"/>
  <c r="T101" i="7" s="1"/>
  <c r="O161" i="7"/>
  <c r="T161" i="7" s="1"/>
  <c r="O92" i="7"/>
  <c r="T92" i="7" s="1"/>
  <c r="O189" i="7"/>
  <c r="T189" i="7" s="1"/>
  <c r="O90" i="7"/>
  <c r="T90" i="7" s="1"/>
  <c r="O96" i="7"/>
  <c r="T96" i="7" s="1"/>
  <c r="O213" i="7"/>
  <c r="T213" i="7" s="1"/>
  <c r="O108" i="7"/>
  <c r="T108" i="7" s="1"/>
  <c r="O173" i="7"/>
  <c r="T173" i="7" s="1"/>
  <c r="O119" i="7"/>
  <c r="T119" i="7" s="1"/>
  <c r="O106" i="7"/>
  <c r="T106" i="7" s="1"/>
  <c r="O112" i="7"/>
  <c r="T112" i="7" s="1"/>
  <c r="O124" i="7"/>
  <c r="T124" i="7" s="1"/>
  <c r="O144" i="7"/>
  <c r="T144" i="7" s="1"/>
  <c r="N29" i="7"/>
  <c r="N48" i="87"/>
  <c r="M24" i="82"/>
  <c r="G39" i="89"/>
  <c r="O25" i="7" s="1"/>
  <c r="G39" i="76"/>
  <c r="O12" i="7" s="1"/>
  <c r="G39" i="105"/>
  <c r="O40" i="7" s="1"/>
  <c r="CR35" i="6"/>
  <c r="C81" i="6" s="1"/>
  <c r="F81" i="6" s="1"/>
  <c r="AF65" i="7"/>
  <c r="AK41" i="7"/>
  <c r="AG41" i="7"/>
  <c r="AK66" i="7"/>
  <c r="AG66" i="7"/>
  <c r="G28" i="104"/>
  <c r="N23" i="104"/>
  <c r="N42" i="90"/>
  <c r="N47" i="90" s="1"/>
  <c r="M26" i="7" s="1"/>
  <c r="G47" i="90"/>
  <c r="AG59" i="7"/>
  <c r="AK59" i="7"/>
  <c r="C88" i="5"/>
  <c r="K28" i="3" s="1"/>
  <c r="L28" i="3" s="1"/>
  <c r="M28" i="3" s="1"/>
  <c r="O28" i="3" s="1"/>
  <c r="AK63" i="7"/>
  <c r="AG63" i="7"/>
  <c r="M14" i="7"/>
  <c r="G28" i="135"/>
  <c r="N23" i="135"/>
  <c r="N28" i="135" s="1"/>
  <c r="M81" i="7"/>
  <c r="M23" i="82"/>
  <c r="G39" i="98"/>
  <c r="O34" i="7" s="1"/>
  <c r="G39" i="130"/>
  <c r="O61" i="7" s="1"/>
  <c r="AF44" i="7"/>
  <c r="AK25" i="7"/>
  <c r="AG25" i="7"/>
  <c r="AK7" i="7"/>
  <c r="AG7" i="7"/>
  <c r="AF42" i="7"/>
  <c r="M212" i="7"/>
  <c r="M196" i="7"/>
  <c r="M209" i="7"/>
  <c r="M193" i="7"/>
  <c r="M206" i="7"/>
  <c r="M190" i="7"/>
  <c r="M200" i="7"/>
  <c r="M184" i="7"/>
  <c r="M213" i="7"/>
  <c r="M197" i="7"/>
  <c r="M204" i="7"/>
  <c r="M215" i="7"/>
  <c r="M205" i="7"/>
  <c r="M173" i="7"/>
  <c r="M211" i="7"/>
  <c r="M208" i="7"/>
  <c r="M202" i="7"/>
  <c r="M182" i="7"/>
  <c r="M167" i="7"/>
  <c r="M214" i="7"/>
  <c r="M199" i="7"/>
  <c r="M164" i="7"/>
  <c r="M148" i="7"/>
  <c r="M180" i="7"/>
  <c r="M188" i="7"/>
  <c r="M186" i="7"/>
  <c r="M174" i="7"/>
  <c r="M210" i="7"/>
  <c r="M153" i="7"/>
  <c r="M132" i="7"/>
  <c r="M116" i="7"/>
  <c r="M100" i="7"/>
  <c r="M198" i="7"/>
  <c r="M189" i="7"/>
  <c r="M177" i="7"/>
  <c r="M156" i="7"/>
  <c r="M145" i="7"/>
  <c r="M129" i="7"/>
  <c r="M113" i="7"/>
  <c r="M97" i="7"/>
  <c r="M183" i="7"/>
  <c r="M142" i="7"/>
  <c r="M126" i="7"/>
  <c r="M110" i="7"/>
  <c r="M94" i="7"/>
  <c r="M179" i="7"/>
  <c r="M172" i="7"/>
  <c r="M159" i="7"/>
  <c r="M139" i="7"/>
  <c r="M195" i="7"/>
  <c r="M168" i="7"/>
  <c r="M136" i="7"/>
  <c r="M120" i="7"/>
  <c r="M104" i="7"/>
  <c r="M88" i="7"/>
  <c r="M207" i="7"/>
  <c r="M170" i="7"/>
  <c r="M166" i="7"/>
  <c r="M162" i="7"/>
  <c r="M151" i="7"/>
  <c r="M133" i="7"/>
  <c r="M117" i="7"/>
  <c r="M101" i="7"/>
  <c r="M85" i="7"/>
  <c r="M192" i="7"/>
  <c r="M149" i="7"/>
  <c r="M140" i="7"/>
  <c r="M185" i="7"/>
  <c r="M181" i="7"/>
  <c r="M178" i="7"/>
  <c r="M176" i="7"/>
  <c r="M160" i="7"/>
  <c r="M137" i="7"/>
  <c r="M143" i="7"/>
  <c r="M92" i="7"/>
  <c r="M171" i="7"/>
  <c r="M163" i="7"/>
  <c r="M138" i="7"/>
  <c r="M119" i="7"/>
  <c r="M152" i="7"/>
  <c r="M147" i="7"/>
  <c r="M121" i="7"/>
  <c r="M103" i="7"/>
  <c r="M105" i="7"/>
  <c r="M87" i="7"/>
  <c r="M89" i="7"/>
  <c r="M194" i="7"/>
  <c r="M146" i="7"/>
  <c r="M118" i="7"/>
  <c r="M131" i="7"/>
  <c r="M150" i="7"/>
  <c r="M128" i="7"/>
  <c r="M125" i="7"/>
  <c r="M187" i="7"/>
  <c r="M161" i="7"/>
  <c r="M90" i="7"/>
  <c r="M144" i="7"/>
  <c r="M124" i="7"/>
  <c r="M111" i="7"/>
  <c r="M95" i="7"/>
  <c r="M191" i="7"/>
  <c r="M165" i="7"/>
  <c r="M127" i="7"/>
  <c r="M123" i="7"/>
  <c r="M109" i="7"/>
  <c r="M93" i="7"/>
  <c r="M86" i="7"/>
  <c r="M130" i="7"/>
  <c r="M102" i="7"/>
  <c r="M108" i="7"/>
  <c r="M99" i="7"/>
  <c r="M157" i="7"/>
  <c r="M154" i="7"/>
  <c r="M115" i="7"/>
  <c r="M91" i="7"/>
  <c r="M112" i="7"/>
  <c r="M96" i="7"/>
  <c r="M114" i="7"/>
  <c r="M175" i="7"/>
  <c r="M98" i="7"/>
  <c r="M169" i="7"/>
  <c r="M134" i="7"/>
  <c r="M135" i="7"/>
  <c r="M122" i="7"/>
  <c r="M201" i="7"/>
  <c r="M107" i="7"/>
  <c r="M106" i="7"/>
  <c r="M141" i="7"/>
  <c r="M203" i="7"/>
  <c r="M158" i="7"/>
  <c r="M155" i="7"/>
  <c r="N79" i="7"/>
  <c r="S79" i="7" s="1"/>
  <c r="N77" i="7"/>
  <c r="S77" i="7" s="1"/>
  <c r="N19" i="7"/>
  <c r="N36" i="7"/>
  <c r="N24" i="87"/>
  <c r="E23" i="125"/>
  <c r="G23" i="125" s="1"/>
  <c r="G39" i="85"/>
  <c r="O21" i="7" s="1"/>
  <c r="T31" i="7"/>
  <c r="AF31" i="7"/>
  <c r="AF45" i="7"/>
  <c r="T45" i="7"/>
  <c r="AF43" i="7"/>
  <c r="AF15" i="7"/>
  <c r="AK11" i="7"/>
  <c r="AG11" i="7"/>
  <c r="G57" i="150"/>
  <c r="O81" i="7"/>
  <c r="T81" i="7" s="1"/>
  <c r="N41" i="7"/>
  <c r="M82" i="7"/>
  <c r="N14" i="7"/>
  <c r="E23" i="122"/>
  <c r="G23" i="122" s="1"/>
  <c r="M23" i="75"/>
  <c r="M28" i="98"/>
  <c r="AK15" i="7"/>
  <c r="AG15" i="7"/>
  <c r="AK62" i="7"/>
  <c r="AG62" i="7"/>
  <c r="AK40" i="7"/>
  <c r="AG40" i="7"/>
  <c r="AF67" i="7"/>
  <c r="T67" i="7"/>
  <c r="G57" i="149"/>
  <c r="P80" i="7"/>
  <c r="E90" i="6"/>
  <c r="M28" i="103"/>
  <c r="N38" i="7" s="1"/>
  <c r="G57" i="147"/>
  <c r="P78" i="7"/>
  <c r="U78" i="7" s="1"/>
  <c r="N209" i="7"/>
  <c r="S209" i="7" s="1"/>
  <c r="N193" i="7"/>
  <c r="S193" i="7" s="1"/>
  <c r="N206" i="7"/>
  <c r="S206" i="7" s="1"/>
  <c r="N190" i="7"/>
  <c r="S190" i="7" s="1"/>
  <c r="N203" i="7"/>
  <c r="S203" i="7" s="1"/>
  <c r="N187" i="7"/>
  <c r="S187" i="7" s="1"/>
  <c r="N213" i="7"/>
  <c r="S213" i="7" s="1"/>
  <c r="N197" i="7"/>
  <c r="S197" i="7" s="1"/>
  <c r="N181" i="7"/>
  <c r="S181" i="7" s="1"/>
  <c r="N210" i="7"/>
  <c r="S210" i="7" s="1"/>
  <c r="N201" i="7"/>
  <c r="S201" i="7" s="1"/>
  <c r="N211" i="7"/>
  <c r="S211" i="7" s="1"/>
  <c r="N208" i="7"/>
  <c r="S208" i="7" s="1"/>
  <c r="N202" i="7"/>
  <c r="S202" i="7" s="1"/>
  <c r="N196" i="7"/>
  <c r="S196" i="7" s="1"/>
  <c r="N214" i="7"/>
  <c r="S214" i="7" s="1"/>
  <c r="N199" i="7"/>
  <c r="S199" i="7" s="1"/>
  <c r="N184" i="7"/>
  <c r="S184" i="7" s="1"/>
  <c r="N164" i="7"/>
  <c r="S164" i="7" s="1"/>
  <c r="N180" i="7"/>
  <c r="S180" i="7" s="1"/>
  <c r="N177" i="7"/>
  <c r="S177" i="7" s="1"/>
  <c r="N161" i="7"/>
  <c r="S161" i="7" s="1"/>
  <c r="N188" i="7"/>
  <c r="S188" i="7" s="1"/>
  <c r="N186" i="7"/>
  <c r="S186" i="7" s="1"/>
  <c r="N207" i="7"/>
  <c r="S207" i="7" s="1"/>
  <c r="N198" i="7"/>
  <c r="S198" i="7" s="1"/>
  <c r="N171" i="7"/>
  <c r="S171" i="7" s="1"/>
  <c r="N189" i="7"/>
  <c r="S189" i="7" s="1"/>
  <c r="N156" i="7"/>
  <c r="S156" i="7" s="1"/>
  <c r="N145" i="7"/>
  <c r="S145" i="7" s="1"/>
  <c r="N129" i="7"/>
  <c r="S129" i="7" s="1"/>
  <c r="N113" i="7"/>
  <c r="S113" i="7" s="1"/>
  <c r="N97" i="7"/>
  <c r="S97" i="7" s="1"/>
  <c r="N212" i="7"/>
  <c r="S212" i="7" s="1"/>
  <c r="N200" i="7"/>
  <c r="S200" i="7" s="1"/>
  <c r="N183" i="7"/>
  <c r="S183" i="7" s="1"/>
  <c r="N142" i="7"/>
  <c r="S142" i="7" s="1"/>
  <c r="N126" i="7"/>
  <c r="S126" i="7" s="1"/>
  <c r="N110" i="7"/>
  <c r="S110" i="7" s="1"/>
  <c r="N94" i="7"/>
  <c r="S94" i="7" s="1"/>
  <c r="N179" i="7"/>
  <c r="S179" i="7" s="1"/>
  <c r="N172" i="7"/>
  <c r="S172" i="7" s="1"/>
  <c r="N159" i="7"/>
  <c r="S159" i="7" s="1"/>
  <c r="N148" i="7"/>
  <c r="S148" i="7" s="1"/>
  <c r="N139" i="7"/>
  <c r="S139" i="7" s="1"/>
  <c r="N123" i="7"/>
  <c r="S123" i="7" s="1"/>
  <c r="N107" i="7"/>
  <c r="S107" i="7" s="1"/>
  <c r="N91" i="7"/>
  <c r="S91" i="7" s="1"/>
  <c r="N195" i="7"/>
  <c r="S195" i="7" s="1"/>
  <c r="N168" i="7"/>
  <c r="S168" i="7" s="1"/>
  <c r="N136" i="7"/>
  <c r="S136" i="7" s="1"/>
  <c r="N170" i="7"/>
  <c r="S170" i="7" s="1"/>
  <c r="N166" i="7"/>
  <c r="S166" i="7" s="1"/>
  <c r="N162" i="7"/>
  <c r="S162" i="7" s="1"/>
  <c r="N151" i="7"/>
  <c r="S151" i="7" s="1"/>
  <c r="N133" i="7"/>
  <c r="S133" i="7" s="1"/>
  <c r="N117" i="7"/>
  <c r="S117" i="7" s="1"/>
  <c r="N101" i="7"/>
  <c r="S101" i="7" s="1"/>
  <c r="N85" i="7"/>
  <c r="S85" i="7" s="1"/>
  <c r="N182" i="7"/>
  <c r="S182" i="7" s="1"/>
  <c r="N174" i="7"/>
  <c r="S174" i="7" s="1"/>
  <c r="N154" i="7"/>
  <c r="S154" i="7" s="1"/>
  <c r="N146" i="7"/>
  <c r="S146" i="7" s="1"/>
  <c r="N130" i="7"/>
  <c r="S130" i="7" s="1"/>
  <c r="N114" i="7"/>
  <c r="S114" i="7" s="1"/>
  <c r="N98" i="7"/>
  <c r="S98" i="7" s="1"/>
  <c r="N194" i="7"/>
  <c r="S194" i="7" s="1"/>
  <c r="N185" i="7"/>
  <c r="S185" i="7" s="1"/>
  <c r="N178" i="7"/>
  <c r="S178" i="7" s="1"/>
  <c r="N176" i="7"/>
  <c r="S176" i="7" s="1"/>
  <c r="N160" i="7"/>
  <c r="S160" i="7" s="1"/>
  <c r="N137" i="7"/>
  <c r="S137" i="7" s="1"/>
  <c r="N152" i="7"/>
  <c r="S152" i="7" s="1"/>
  <c r="N134" i="7"/>
  <c r="S134" i="7" s="1"/>
  <c r="N192" i="7"/>
  <c r="S192" i="7" s="1"/>
  <c r="N163" i="7"/>
  <c r="S163" i="7" s="1"/>
  <c r="N153" i="7"/>
  <c r="S153" i="7" s="1"/>
  <c r="N138" i="7"/>
  <c r="S138" i="7" s="1"/>
  <c r="N119" i="7"/>
  <c r="S119" i="7" s="1"/>
  <c r="N147" i="7"/>
  <c r="S147" i="7" s="1"/>
  <c r="N121" i="7"/>
  <c r="S121" i="7" s="1"/>
  <c r="N103" i="7"/>
  <c r="S103" i="7" s="1"/>
  <c r="N116" i="7"/>
  <c r="S116" i="7" s="1"/>
  <c r="N105" i="7"/>
  <c r="S105" i="7" s="1"/>
  <c r="N87" i="7"/>
  <c r="S87" i="7" s="1"/>
  <c r="N100" i="7"/>
  <c r="S100" i="7" s="1"/>
  <c r="N89" i="7"/>
  <c r="S89" i="7" s="1"/>
  <c r="N118" i="7"/>
  <c r="S118" i="7" s="1"/>
  <c r="N132" i="7"/>
  <c r="S132" i="7" s="1"/>
  <c r="N102" i="7"/>
  <c r="S102" i="7" s="1"/>
  <c r="N150" i="7"/>
  <c r="S150" i="7" s="1"/>
  <c r="N128" i="7"/>
  <c r="S128" i="7" s="1"/>
  <c r="N125" i="7"/>
  <c r="S125" i="7" s="1"/>
  <c r="N120" i="7"/>
  <c r="S120" i="7" s="1"/>
  <c r="N175" i="7"/>
  <c r="S175" i="7" s="1"/>
  <c r="N140" i="7"/>
  <c r="S140" i="7" s="1"/>
  <c r="N135" i="7"/>
  <c r="S135" i="7" s="1"/>
  <c r="N144" i="7"/>
  <c r="S144" i="7" s="1"/>
  <c r="N143" i="7"/>
  <c r="S143" i="7" s="1"/>
  <c r="N124" i="7"/>
  <c r="S124" i="7" s="1"/>
  <c r="N111" i="7"/>
  <c r="S111" i="7" s="1"/>
  <c r="N95" i="7"/>
  <c r="S95" i="7" s="1"/>
  <c r="N191" i="7"/>
  <c r="S191" i="7" s="1"/>
  <c r="N165" i="7"/>
  <c r="S165" i="7" s="1"/>
  <c r="N127" i="7"/>
  <c r="S127" i="7" s="1"/>
  <c r="N109" i="7"/>
  <c r="S109" i="7" s="1"/>
  <c r="N131" i="7"/>
  <c r="S131" i="7" s="1"/>
  <c r="N104" i="7"/>
  <c r="S104" i="7" s="1"/>
  <c r="N93" i="7"/>
  <c r="S93" i="7" s="1"/>
  <c r="N88" i="7"/>
  <c r="S88" i="7" s="1"/>
  <c r="N86" i="7"/>
  <c r="S86" i="7" s="1"/>
  <c r="N149" i="7"/>
  <c r="S149" i="7" s="1"/>
  <c r="N122" i="7"/>
  <c r="S122" i="7" s="1"/>
  <c r="N155" i="7"/>
  <c r="S155" i="7" s="1"/>
  <c r="N92" i="7"/>
  <c r="S92" i="7" s="1"/>
  <c r="N173" i="7"/>
  <c r="S173" i="7" s="1"/>
  <c r="N158" i="7"/>
  <c r="S158" i="7" s="1"/>
  <c r="N215" i="7"/>
  <c r="S215" i="7" s="1"/>
  <c r="N115" i="7"/>
  <c r="S115" i="7" s="1"/>
  <c r="N99" i="7"/>
  <c r="S99" i="7" s="1"/>
  <c r="N157" i="7"/>
  <c r="S157" i="7" s="1"/>
  <c r="N90" i="7"/>
  <c r="S90" i="7" s="1"/>
  <c r="N167" i="7"/>
  <c r="S167" i="7" s="1"/>
  <c r="N141" i="7"/>
  <c r="S141" i="7" s="1"/>
  <c r="N96" i="7"/>
  <c r="S96" i="7" s="1"/>
  <c r="N108" i="7"/>
  <c r="S108" i="7" s="1"/>
  <c r="N204" i="7"/>
  <c r="S204" i="7" s="1"/>
  <c r="N205" i="7"/>
  <c r="S205" i="7" s="1"/>
  <c r="N106" i="7"/>
  <c r="S106" i="7" s="1"/>
  <c r="N169" i="7"/>
  <c r="S169" i="7" s="1"/>
  <c r="N112" i="7"/>
  <c r="S112" i="7" s="1"/>
  <c r="M12" i="7"/>
  <c r="G24" i="70"/>
  <c r="N66" i="7"/>
  <c r="G39" i="97"/>
  <c r="O33" i="7" s="1"/>
  <c r="AF51" i="7"/>
  <c r="AK16" i="7"/>
  <c r="AG16" i="7"/>
  <c r="G57" i="144"/>
  <c r="P75" i="7"/>
  <c r="U75" i="7" s="1"/>
  <c r="AK83" i="7"/>
  <c r="AG83" i="7"/>
  <c r="AG10" i="7"/>
  <c r="AK10" i="7"/>
  <c r="M43" i="7"/>
  <c r="AF13" i="7"/>
  <c r="AK51" i="7"/>
  <c r="AG51" i="7"/>
  <c r="AK24" i="7"/>
  <c r="AG24" i="7"/>
  <c r="T46" i="7" l="1"/>
  <c r="N23" i="132"/>
  <c r="N28" i="132" s="1"/>
  <c r="N58" i="7"/>
  <c r="AC58" i="7" s="1"/>
  <c r="G47" i="133"/>
  <c r="N26" i="123"/>
  <c r="AF47" i="7"/>
  <c r="N42" i="110"/>
  <c r="N47" i="110" s="1"/>
  <c r="M45" i="7" s="1"/>
  <c r="R45" i="7" s="1"/>
  <c r="G47" i="102"/>
  <c r="T39" i="7"/>
  <c r="M64" i="7"/>
  <c r="AD64" i="7" s="1"/>
  <c r="N42" i="127"/>
  <c r="N47" i="127" s="1"/>
  <c r="N42" i="130"/>
  <c r="N47" i="130" s="1"/>
  <c r="M61" i="7" s="1"/>
  <c r="G47" i="130"/>
  <c r="N42" i="94"/>
  <c r="N47" i="94" s="1"/>
  <c r="M30" i="7" s="1"/>
  <c r="AD30" i="7" s="1"/>
  <c r="G47" i="135"/>
  <c r="N42" i="135"/>
  <c r="N47" i="135" s="1"/>
  <c r="M66" i="7" s="1"/>
  <c r="N57" i="7"/>
  <c r="S57" i="7" s="1"/>
  <c r="N42" i="140"/>
  <c r="N47" i="140" s="1"/>
  <c r="M71" i="7" s="1"/>
  <c r="R71" i="7" s="1"/>
  <c r="N42" i="92"/>
  <c r="N47" i="92" s="1"/>
  <c r="M28" i="7" s="1"/>
  <c r="AD28" i="7" s="1"/>
  <c r="G47" i="93"/>
  <c r="O57" i="7"/>
  <c r="T57" i="7" s="1"/>
  <c r="I46" i="126"/>
  <c r="I47" i="126" s="1"/>
  <c r="N42" i="126"/>
  <c r="N47" i="126" s="1"/>
  <c r="AF49" i="7"/>
  <c r="T58" i="7"/>
  <c r="N21" i="7"/>
  <c r="S21" i="7" s="1"/>
  <c r="N42" i="120"/>
  <c r="N47" i="120" s="1"/>
  <c r="M51" i="7" s="1"/>
  <c r="AD51" i="7" s="1"/>
  <c r="G47" i="120"/>
  <c r="N42" i="116"/>
  <c r="N47" i="116" s="1"/>
  <c r="M47" i="7" s="1"/>
  <c r="AD47" i="7" s="1"/>
  <c r="G47" i="116"/>
  <c r="N42" i="97"/>
  <c r="N47" i="97" s="1"/>
  <c r="M33" i="7" s="1"/>
  <c r="AD33" i="7" s="1"/>
  <c r="G47" i="97"/>
  <c r="G47" i="132"/>
  <c r="N42" i="132"/>
  <c r="N47" i="132" s="1"/>
  <c r="M63" i="7" s="1"/>
  <c r="N42" i="89"/>
  <c r="N47" i="89" s="1"/>
  <c r="M25" i="7" s="1"/>
  <c r="R25" i="7" s="1"/>
  <c r="G47" i="89"/>
  <c r="N42" i="105"/>
  <c r="N47" i="105" s="1"/>
  <c r="M40" i="7" s="1"/>
  <c r="AD40" i="7" s="1"/>
  <c r="G47" i="105"/>
  <c r="G47" i="115"/>
  <c r="N42" i="115"/>
  <c r="N47" i="115" s="1"/>
  <c r="M46" i="7" s="1"/>
  <c r="AD46" i="7" s="1"/>
  <c r="N42" i="95"/>
  <c r="N47" i="95" s="1"/>
  <c r="M31" i="7" s="1"/>
  <c r="R31" i="7" s="1"/>
  <c r="G47" i="95"/>
  <c r="N34" i="7"/>
  <c r="S34" i="7" s="1"/>
  <c r="G47" i="100"/>
  <c r="N42" i="100"/>
  <c r="N47" i="100" s="1"/>
  <c r="M36" i="7" s="1"/>
  <c r="AD36" i="7" s="1"/>
  <c r="N42" i="131"/>
  <c r="N47" i="131" s="1"/>
  <c r="M62" i="7" s="1"/>
  <c r="R62" i="7" s="1"/>
  <c r="G47" i="131"/>
  <c r="AF72" i="7"/>
  <c r="AF74" i="7"/>
  <c r="AF50" i="7"/>
  <c r="AF32" i="7"/>
  <c r="N42" i="138"/>
  <c r="N47" i="138" s="1"/>
  <c r="M69" i="7" s="1"/>
  <c r="AD69" i="7" s="1"/>
  <c r="G47" i="138"/>
  <c r="N42" i="118"/>
  <c r="N47" i="118" s="1"/>
  <c r="M49" i="7" s="1"/>
  <c r="R49" i="7" s="1"/>
  <c r="G47" i="118"/>
  <c r="AF48" i="7"/>
  <c r="G28" i="143"/>
  <c r="G28" i="142"/>
  <c r="N23" i="142"/>
  <c r="N28" i="142" s="1"/>
  <c r="M73" i="7" s="1"/>
  <c r="AD73" i="7" s="1"/>
  <c r="G28" i="141"/>
  <c r="N23" i="141"/>
  <c r="N28" i="141" s="1"/>
  <c r="M72" i="7" s="1"/>
  <c r="AD72" i="7" s="1"/>
  <c r="AF73" i="7"/>
  <c r="N26" i="143"/>
  <c r="N28" i="143" s="1"/>
  <c r="M74" i="7" s="1"/>
  <c r="S74" i="7"/>
  <c r="AC74" i="7"/>
  <c r="S73" i="7"/>
  <c r="AC73" i="7"/>
  <c r="S72" i="7"/>
  <c r="AC72" i="7"/>
  <c r="AB63" i="158"/>
  <c r="D74" i="158" s="1"/>
  <c r="H59" i="158"/>
  <c r="D72" i="158" s="1"/>
  <c r="AK63" i="158"/>
  <c r="D75" i="158" s="1"/>
  <c r="R63" i="158"/>
  <c r="D73" i="158" s="1"/>
  <c r="K36" i="3"/>
  <c r="L36" i="3" s="1"/>
  <c r="AB63" i="6"/>
  <c r="D74" i="6" s="1"/>
  <c r="H59" i="6"/>
  <c r="D72" i="6" s="1"/>
  <c r="N25" i="122"/>
  <c r="R63" i="6"/>
  <c r="D73" i="6" s="1"/>
  <c r="G28" i="99"/>
  <c r="AC65" i="7"/>
  <c r="AK63" i="6"/>
  <c r="D75" i="6" s="1"/>
  <c r="N23" i="99"/>
  <c r="N28" i="99" s="1"/>
  <c r="M35" i="7" s="1"/>
  <c r="AD35" i="7" s="1"/>
  <c r="AC60" i="7"/>
  <c r="N25" i="124"/>
  <c r="H54" i="157"/>
  <c r="D67" i="157" s="1"/>
  <c r="N42" i="125"/>
  <c r="N47" i="125" s="1"/>
  <c r="AK56" i="157"/>
  <c r="D70" i="157" s="1"/>
  <c r="R56" i="157"/>
  <c r="D68" i="157" s="1"/>
  <c r="AB56" i="157"/>
  <c r="D69" i="157" s="1"/>
  <c r="G28" i="87"/>
  <c r="G28" i="98"/>
  <c r="K14" i="3"/>
  <c r="L14" i="3" s="1"/>
  <c r="M14" i="3" s="1"/>
  <c r="O14" i="3" s="1"/>
  <c r="K34" i="3"/>
  <c r="L34" i="3" s="1"/>
  <c r="K35" i="3"/>
  <c r="L35" i="3" s="1"/>
  <c r="K21" i="3"/>
  <c r="L21" i="3" s="1"/>
  <c r="K27" i="3"/>
  <c r="L27" i="3" s="1"/>
  <c r="K30" i="3"/>
  <c r="L30" i="3" s="1"/>
  <c r="K32" i="3"/>
  <c r="L32" i="3" s="1"/>
  <c r="K31" i="3"/>
  <c r="L31" i="3" s="1"/>
  <c r="K33" i="3"/>
  <c r="L33" i="3" s="1"/>
  <c r="N24" i="103"/>
  <c r="N28" i="103" s="1"/>
  <c r="M38" i="7" s="1"/>
  <c r="R38" i="7" s="1"/>
  <c r="N25" i="121"/>
  <c r="G28" i="81"/>
  <c r="G28" i="88"/>
  <c r="G28" i="85"/>
  <c r="M47" i="70"/>
  <c r="N25" i="123"/>
  <c r="N23" i="124"/>
  <c r="N24" i="122"/>
  <c r="N24" i="124"/>
  <c r="N43" i="70"/>
  <c r="M28" i="79"/>
  <c r="N15" i="7" s="1"/>
  <c r="S15" i="7" s="1"/>
  <c r="N24" i="121"/>
  <c r="G28" i="79"/>
  <c r="G47" i="70"/>
  <c r="N24" i="123"/>
  <c r="AC25" i="7"/>
  <c r="N24" i="125"/>
  <c r="M28" i="125"/>
  <c r="N56" i="7" s="1"/>
  <c r="S56" i="7" s="1"/>
  <c r="AF55" i="7"/>
  <c r="N24" i="85"/>
  <c r="N28" i="85" s="1"/>
  <c r="M21" i="7" s="1"/>
  <c r="AD21" i="7" s="1"/>
  <c r="K15" i="3"/>
  <c r="L15" i="3" s="1"/>
  <c r="N26" i="122"/>
  <c r="T53" i="7"/>
  <c r="K20" i="3"/>
  <c r="L20" i="3" s="1"/>
  <c r="K8" i="3"/>
  <c r="L8" i="3" s="1"/>
  <c r="N24" i="79"/>
  <c r="N26" i="124"/>
  <c r="M28" i="122"/>
  <c r="N53" i="7" s="1"/>
  <c r="AC53" i="7" s="1"/>
  <c r="N42" i="91"/>
  <c r="N47" i="91" s="1"/>
  <c r="M27" i="7" s="1"/>
  <c r="R27" i="7" s="1"/>
  <c r="N26" i="125"/>
  <c r="N25" i="125"/>
  <c r="AC30" i="7"/>
  <c r="M28" i="123"/>
  <c r="N54" i="7" s="1"/>
  <c r="S54" i="7" s="1"/>
  <c r="N24" i="98"/>
  <c r="N28" i="98" s="1"/>
  <c r="M34" i="7" s="1"/>
  <c r="AD34" i="7" s="1"/>
  <c r="AF7" i="7"/>
  <c r="G28" i="86"/>
  <c r="V76" i="7"/>
  <c r="S48" i="7"/>
  <c r="N24" i="88"/>
  <c r="N28" i="88" s="1"/>
  <c r="M24" i="7" s="1"/>
  <c r="AF52" i="7"/>
  <c r="N42" i="124"/>
  <c r="N47" i="124" s="1"/>
  <c r="N23" i="79"/>
  <c r="N23" i="81"/>
  <c r="N28" i="81" s="1"/>
  <c r="M17" i="7" s="1"/>
  <c r="AD17" i="7" s="1"/>
  <c r="N23" i="121"/>
  <c r="AF20" i="7"/>
  <c r="T29" i="7"/>
  <c r="T18" i="7"/>
  <c r="M28" i="121"/>
  <c r="N52" i="7" s="1"/>
  <c r="S52" i="7" s="1"/>
  <c r="K12" i="3"/>
  <c r="L12" i="3" s="1"/>
  <c r="D50" i="140" s="1"/>
  <c r="T54" i="7"/>
  <c r="N42" i="123"/>
  <c r="N47" i="123" s="1"/>
  <c r="G47" i="123"/>
  <c r="G48" i="74"/>
  <c r="N43" i="74"/>
  <c r="N48" i="74" s="1"/>
  <c r="M10" i="7" s="1"/>
  <c r="AD10" i="7" s="1"/>
  <c r="M28" i="124"/>
  <c r="N55" i="7" s="1"/>
  <c r="AC55" i="7" s="1"/>
  <c r="T69" i="7"/>
  <c r="G28" i="124"/>
  <c r="N42" i="122"/>
  <c r="N47" i="122" s="1"/>
  <c r="G47" i="122"/>
  <c r="K9" i="3"/>
  <c r="L9" i="3" s="1"/>
  <c r="N42" i="104"/>
  <c r="N47" i="104" s="1"/>
  <c r="G47" i="104"/>
  <c r="N26" i="121"/>
  <c r="K16" i="3"/>
  <c r="L16" i="3" s="1"/>
  <c r="AF56" i="7"/>
  <c r="K13" i="3"/>
  <c r="L13" i="3" s="1"/>
  <c r="N42" i="121"/>
  <c r="N47" i="121" s="1"/>
  <c r="K26" i="3"/>
  <c r="L26" i="3" s="1"/>
  <c r="M26" i="3" s="1"/>
  <c r="O26" i="3" s="1"/>
  <c r="K25" i="3"/>
  <c r="L25" i="3" s="1"/>
  <c r="K17" i="3"/>
  <c r="L17" i="3" s="1"/>
  <c r="K7" i="3"/>
  <c r="L7" i="3" s="1"/>
  <c r="AC12" i="7"/>
  <c r="S71" i="7"/>
  <c r="AC71" i="7"/>
  <c r="N42" i="73"/>
  <c r="N47" i="73" s="1"/>
  <c r="N42" i="82"/>
  <c r="N47" i="82" s="1"/>
  <c r="AF10" i="7"/>
  <c r="AF19" i="7"/>
  <c r="N42" i="70"/>
  <c r="S50" i="7"/>
  <c r="AC26" i="7"/>
  <c r="AC45" i="7"/>
  <c r="AC49" i="7"/>
  <c r="R70" i="7"/>
  <c r="AD41" i="7"/>
  <c r="AC27" i="7"/>
  <c r="S43" i="7"/>
  <c r="AC40" i="7"/>
  <c r="AC33" i="7"/>
  <c r="R65" i="7"/>
  <c r="N24" i="70"/>
  <c r="AC69" i="7"/>
  <c r="AC42" i="7"/>
  <c r="M28" i="70"/>
  <c r="AC20" i="7"/>
  <c r="AC51" i="7"/>
  <c r="AD16" i="7"/>
  <c r="AC28" i="7"/>
  <c r="G62" i="9"/>
  <c r="AD60" i="7"/>
  <c r="G61" i="146"/>
  <c r="M28" i="73"/>
  <c r="N9" i="7" s="1"/>
  <c r="S9" i="7" s="1"/>
  <c r="R20" i="7"/>
  <c r="G62" i="146"/>
  <c r="AC31" i="7"/>
  <c r="AD19" i="7"/>
  <c r="AC39" i="7"/>
  <c r="AD45" i="7"/>
  <c r="N24" i="73"/>
  <c r="Q76" i="7"/>
  <c r="AC59" i="7"/>
  <c r="AC67" i="7"/>
  <c r="N24" i="75"/>
  <c r="AD13" i="7"/>
  <c r="G61" i="154"/>
  <c r="N23" i="73"/>
  <c r="AC10" i="7"/>
  <c r="N23" i="123"/>
  <c r="AC46" i="7"/>
  <c r="N23" i="71"/>
  <c r="N28" i="71" s="1"/>
  <c r="M7" i="7" s="1"/>
  <c r="AD7" i="7" s="1"/>
  <c r="G62" i="152"/>
  <c r="N28" i="104"/>
  <c r="R48" i="7"/>
  <c r="G28" i="73"/>
  <c r="N24" i="72"/>
  <c r="AC70" i="7"/>
  <c r="G60" i="152"/>
  <c r="S32" i="7"/>
  <c r="G60" i="151"/>
  <c r="M28" i="75"/>
  <c r="N11" i="7" s="1"/>
  <c r="AC11" i="7" s="1"/>
  <c r="G28" i="121"/>
  <c r="R37" i="7"/>
  <c r="G62" i="151"/>
  <c r="M28" i="72"/>
  <c r="N8" i="7" s="1"/>
  <c r="S8" i="7" s="1"/>
  <c r="G62" i="153"/>
  <c r="AF64" i="7"/>
  <c r="AF24" i="7"/>
  <c r="G62" i="154"/>
  <c r="S68" i="7"/>
  <c r="N23" i="127"/>
  <c r="N28" i="127" s="1"/>
  <c r="R68" i="7"/>
  <c r="G60" i="148"/>
  <c r="G61" i="148"/>
  <c r="AF35" i="7"/>
  <c r="AF26" i="7"/>
  <c r="G61" i="153"/>
  <c r="AF27" i="7"/>
  <c r="G61" i="9"/>
  <c r="T17" i="7"/>
  <c r="N23" i="70"/>
  <c r="G28" i="127"/>
  <c r="N42" i="96"/>
  <c r="N47" i="96" s="1"/>
  <c r="M32" i="7" s="1"/>
  <c r="AD32" i="7" s="1"/>
  <c r="S16" i="7"/>
  <c r="AC16" i="7"/>
  <c r="Q79" i="7"/>
  <c r="S63" i="7"/>
  <c r="AC63" i="7"/>
  <c r="N24" i="82"/>
  <c r="G28" i="70"/>
  <c r="G60" i="145"/>
  <c r="G61" i="145"/>
  <c r="R44" i="7"/>
  <c r="AD44" i="7"/>
  <c r="R50" i="7"/>
  <c r="AD50" i="7"/>
  <c r="S24" i="7"/>
  <c r="AC24" i="7"/>
  <c r="AF11" i="7"/>
  <c r="AC35" i="7"/>
  <c r="AF62" i="7"/>
  <c r="N25" i="72"/>
  <c r="N29" i="87"/>
  <c r="G28" i="123"/>
  <c r="Q78" i="7"/>
  <c r="AC44" i="7"/>
  <c r="S44" i="7"/>
  <c r="AC61" i="7"/>
  <c r="S61" i="7"/>
  <c r="R12" i="7"/>
  <c r="AD12" i="7"/>
  <c r="R107" i="7"/>
  <c r="V107" i="7" s="1"/>
  <c r="Q107" i="7"/>
  <c r="R130" i="7"/>
  <c r="V130" i="7" s="1"/>
  <c r="Q130" i="7"/>
  <c r="T34" i="7"/>
  <c r="AF34" i="7"/>
  <c r="S37" i="7"/>
  <c r="AC37" i="7"/>
  <c r="R162" i="7"/>
  <c r="V162" i="7" s="1"/>
  <c r="Q162" i="7"/>
  <c r="T8" i="7"/>
  <c r="AF8" i="7"/>
  <c r="Q93" i="7"/>
  <c r="R93" i="7"/>
  <c r="V93" i="7" s="1"/>
  <c r="R166" i="7"/>
  <c r="V166" i="7" s="1"/>
  <c r="Q166" i="7"/>
  <c r="R42" i="7"/>
  <c r="AD42" i="7"/>
  <c r="G28" i="75"/>
  <c r="N23" i="75"/>
  <c r="R109" i="7"/>
  <c r="V109" i="7" s="1"/>
  <c r="Q109" i="7"/>
  <c r="R137" i="7"/>
  <c r="V137" i="7" s="1"/>
  <c r="Q137" i="7"/>
  <c r="Q188" i="7"/>
  <c r="R188" i="7"/>
  <c r="G28" i="126"/>
  <c r="N23" i="126"/>
  <c r="N28" i="126" s="1"/>
  <c r="S38" i="7"/>
  <c r="AC38" i="7"/>
  <c r="R98" i="7"/>
  <c r="V98" i="7" s="1"/>
  <c r="Q98" i="7"/>
  <c r="R123" i="7"/>
  <c r="V123" i="7" s="1"/>
  <c r="Q123" i="7"/>
  <c r="R146" i="7"/>
  <c r="Q146" i="7"/>
  <c r="R160" i="7"/>
  <c r="V160" i="7" s="1"/>
  <c r="Q160" i="7"/>
  <c r="R207" i="7"/>
  <c r="V207" i="7" s="1"/>
  <c r="Q207" i="7"/>
  <c r="R97" i="7"/>
  <c r="V97" i="7" s="1"/>
  <c r="Q97" i="7"/>
  <c r="Q180" i="7"/>
  <c r="R180" i="7"/>
  <c r="V180" i="7" s="1"/>
  <c r="Q184" i="7"/>
  <c r="R184" i="7"/>
  <c r="V184" i="7" s="1"/>
  <c r="M28" i="82"/>
  <c r="N18" i="7" s="1"/>
  <c r="Q83" i="7"/>
  <c r="R117" i="7"/>
  <c r="V117" i="7" s="1"/>
  <c r="Q117" i="7"/>
  <c r="R102" i="7"/>
  <c r="V102" i="7" s="1"/>
  <c r="Q102" i="7"/>
  <c r="R153" i="7"/>
  <c r="Q153" i="7"/>
  <c r="R151" i="7"/>
  <c r="V151" i="7" s="1"/>
  <c r="Q151" i="7"/>
  <c r="R82" i="7"/>
  <c r="Q82" i="7"/>
  <c r="R86" i="7"/>
  <c r="Q86" i="7"/>
  <c r="Q204" i="7"/>
  <c r="R204" i="7"/>
  <c r="V84" i="7"/>
  <c r="R67" i="7"/>
  <c r="AD67" i="7"/>
  <c r="R143" i="7"/>
  <c r="V143" i="7" s="1"/>
  <c r="Q143" i="7"/>
  <c r="R186" i="7"/>
  <c r="V186" i="7" s="1"/>
  <c r="Q186" i="7"/>
  <c r="R169" i="7"/>
  <c r="Q169" i="7"/>
  <c r="R118" i="7"/>
  <c r="Q118" i="7"/>
  <c r="R170" i="7"/>
  <c r="V170" i="7" s="1"/>
  <c r="Q170" i="7"/>
  <c r="R183" i="7"/>
  <c r="Q183" i="7"/>
  <c r="R213" i="7"/>
  <c r="V213" i="7" s="1"/>
  <c r="Q213" i="7"/>
  <c r="V83" i="7"/>
  <c r="T33" i="7"/>
  <c r="AF33" i="7"/>
  <c r="T21" i="7"/>
  <c r="AF21" i="7"/>
  <c r="R175" i="7"/>
  <c r="V175" i="7" s="1"/>
  <c r="Q175" i="7"/>
  <c r="R127" i="7"/>
  <c r="Q127" i="7"/>
  <c r="R194" i="7"/>
  <c r="V194" i="7" s="1"/>
  <c r="Q194" i="7"/>
  <c r="R176" i="7"/>
  <c r="V176" i="7" s="1"/>
  <c r="Q176" i="7"/>
  <c r="Q88" i="7"/>
  <c r="R88" i="7"/>
  <c r="V88" i="7" s="1"/>
  <c r="R113" i="7"/>
  <c r="V113" i="7" s="1"/>
  <c r="Q113" i="7"/>
  <c r="R148" i="7"/>
  <c r="V148" i="7" s="1"/>
  <c r="Q148" i="7"/>
  <c r="Q200" i="7"/>
  <c r="R200" i="7"/>
  <c r="R26" i="7"/>
  <c r="AD26" i="7"/>
  <c r="T30" i="7"/>
  <c r="AF30" i="7"/>
  <c r="Q108" i="7"/>
  <c r="R108" i="7"/>
  <c r="S19" i="7"/>
  <c r="AC19" i="7"/>
  <c r="R163" i="7"/>
  <c r="V163" i="7" s="1"/>
  <c r="Q163" i="7"/>
  <c r="R128" i="7"/>
  <c r="V128" i="7" s="1"/>
  <c r="Q128" i="7"/>
  <c r="S17" i="7"/>
  <c r="AC17" i="7"/>
  <c r="R150" i="7"/>
  <c r="V150" i="7" s="1"/>
  <c r="Q150" i="7"/>
  <c r="R14" i="7"/>
  <c r="AD14" i="7"/>
  <c r="S7" i="7"/>
  <c r="AC7" i="7"/>
  <c r="R197" i="7"/>
  <c r="Q197" i="7"/>
  <c r="K24" i="3"/>
  <c r="L24" i="3" s="1"/>
  <c r="K22" i="3"/>
  <c r="L22" i="3" s="1"/>
  <c r="D51" i="140" s="1"/>
  <c r="K23" i="3"/>
  <c r="L23" i="3" s="1"/>
  <c r="K6" i="3"/>
  <c r="L6" i="3" s="1"/>
  <c r="K11" i="3"/>
  <c r="L11" i="3" s="1"/>
  <c r="K10" i="3"/>
  <c r="L10" i="3" s="1"/>
  <c r="K5" i="3"/>
  <c r="L5" i="3" s="1"/>
  <c r="D51" i="132" s="1"/>
  <c r="K19" i="3"/>
  <c r="L19" i="3" s="1"/>
  <c r="T22" i="7"/>
  <c r="AF22" i="7"/>
  <c r="G60" i="144"/>
  <c r="G61" i="144"/>
  <c r="G62" i="144"/>
  <c r="R87" i="7"/>
  <c r="V87" i="7" s="1"/>
  <c r="Q87" i="7"/>
  <c r="Q145" i="7"/>
  <c r="R145" i="7"/>
  <c r="S66" i="7"/>
  <c r="AC66" i="7"/>
  <c r="V79" i="7"/>
  <c r="R214" i="7"/>
  <c r="V214" i="7" s="1"/>
  <c r="Q214" i="7"/>
  <c r="R91" i="7"/>
  <c r="V91" i="7" s="1"/>
  <c r="Q91" i="7"/>
  <c r="R179" i="7"/>
  <c r="V179" i="7" s="1"/>
  <c r="Q179" i="7"/>
  <c r="R122" i="7"/>
  <c r="V122" i="7" s="1"/>
  <c r="Q122" i="7"/>
  <c r="R215" i="7"/>
  <c r="V215" i="7" s="1"/>
  <c r="Q215" i="7"/>
  <c r="G62" i="150"/>
  <c r="G61" i="150"/>
  <c r="G60" i="150"/>
  <c r="R126" i="7"/>
  <c r="V126" i="7" s="1"/>
  <c r="Q126" i="7"/>
  <c r="S47" i="7"/>
  <c r="AC47" i="7"/>
  <c r="R131" i="7"/>
  <c r="Q131" i="7"/>
  <c r="V75" i="7"/>
  <c r="U80" i="7"/>
  <c r="Q80" i="7"/>
  <c r="Q77" i="7"/>
  <c r="R89" i="7"/>
  <c r="V89" i="7" s="1"/>
  <c r="Q89" i="7"/>
  <c r="G60" i="149"/>
  <c r="G62" i="149"/>
  <c r="G61" i="149"/>
  <c r="R95" i="7"/>
  <c r="V95" i="7" s="1"/>
  <c r="Q95" i="7"/>
  <c r="Q136" i="7"/>
  <c r="R136" i="7"/>
  <c r="V136" i="7" s="1"/>
  <c r="R193" i="7"/>
  <c r="V193" i="7" s="1"/>
  <c r="Q193" i="7"/>
  <c r="R111" i="7"/>
  <c r="Q111" i="7"/>
  <c r="R168" i="7"/>
  <c r="V168" i="7" s="1"/>
  <c r="Q168" i="7"/>
  <c r="V78" i="7"/>
  <c r="S14" i="7"/>
  <c r="AC14" i="7"/>
  <c r="R158" i="7"/>
  <c r="V158" i="7" s="1"/>
  <c r="Q158" i="7"/>
  <c r="R115" i="7"/>
  <c r="V115" i="7" s="1"/>
  <c r="Q115" i="7"/>
  <c r="Q124" i="7"/>
  <c r="R124" i="7"/>
  <c r="V124" i="7" s="1"/>
  <c r="R121" i="7"/>
  <c r="Q121" i="7"/>
  <c r="R149" i="7"/>
  <c r="Q149" i="7"/>
  <c r="R195" i="7"/>
  <c r="V195" i="7" s="1"/>
  <c r="Q195" i="7"/>
  <c r="R189" i="7"/>
  <c r="V189" i="7" s="1"/>
  <c r="Q189" i="7"/>
  <c r="R182" i="7"/>
  <c r="V182" i="7" s="1"/>
  <c r="Q182" i="7"/>
  <c r="R196" i="7"/>
  <c r="Q196" i="7"/>
  <c r="AF61" i="7"/>
  <c r="T61" i="7"/>
  <c r="S29" i="7"/>
  <c r="AC29" i="7"/>
  <c r="Q84" i="7"/>
  <c r="N23" i="72"/>
  <c r="G28" i="72"/>
  <c r="R138" i="7"/>
  <c r="V138" i="7" s="1"/>
  <c r="Q138" i="7"/>
  <c r="R133" i="7"/>
  <c r="V133" i="7" s="1"/>
  <c r="Q133" i="7"/>
  <c r="Q171" i="7"/>
  <c r="R171" i="7"/>
  <c r="V171" i="7" s="1"/>
  <c r="T28" i="7"/>
  <c r="AF28" i="7"/>
  <c r="R174" i="7"/>
  <c r="V174" i="7" s="1"/>
  <c r="Q174" i="7"/>
  <c r="S13" i="7"/>
  <c r="AC13" i="7"/>
  <c r="R134" i="7"/>
  <c r="Q134" i="7"/>
  <c r="R43" i="7"/>
  <c r="AD43" i="7"/>
  <c r="V77" i="7"/>
  <c r="R165" i="7"/>
  <c r="V165" i="7" s="1"/>
  <c r="Q165" i="7"/>
  <c r="R178" i="7"/>
  <c r="V178" i="7" s="1"/>
  <c r="Q178" i="7"/>
  <c r="R164" i="7"/>
  <c r="V164" i="7" s="1"/>
  <c r="Q164" i="7"/>
  <c r="R190" i="7"/>
  <c r="Q190" i="7"/>
  <c r="Q120" i="7"/>
  <c r="R120" i="7"/>
  <c r="S23" i="7"/>
  <c r="AC23" i="7"/>
  <c r="N23" i="122"/>
  <c r="G28" i="122"/>
  <c r="R105" i="7"/>
  <c r="V105" i="7" s="1"/>
  <c r="Q105" i="7"/>
  <c r="S62" i="7"/>
  <c r="AC62" i="7"/>
  <c r="R29" i="7"/>
  <c r="AD29" i="7"/>
  <c r="G61" i="147"/>
  <c r="G60" i="147"/>
  <c r="G62" i="147"/>
  <c r="R203" i="7"/>
  <c r="Q203" i="7"/>
  <c r="R154" i="7"/>
  <c r="Q154" i="7"/>
  <c r="Q144" i="7"/>
  <c r="R144" i="7"/>
  <c r="V144" i="7" s="1"/>
  <c r="Q147" i="7"/>
  <c r="R147" i="7"/>
  <c r="V147" i="7" s="1"/>
  <c r="Q192" i="7"/>
  <c r="R192" i="7"/>
  <c r="V192" i="7" s="1"/>
  <c r="R139" i="7"/>
  <c r="V139" i="7" s="1"/>
  <c r="Q139" i="7"/>
  <c r="R198" i="7"/>
  <c r="V198" i="7" s="1"/>
  <c r="Q198" i="7"/>
  <c r="R202" i="7"/>
  <c r="V202" i="7" s="1"/>
  <c r="Q202" i="7"/>
  <c r="R212" i="7"/>
  <c r="Q212" i="7"/>
  <c r="Q81" i="7"/>
  <c r="R81" i="7"/>
  <c r="V81" i="7" s="1"/>
  <c r="N23" i="82"/>
  <c r="S22" i="7"/>
  <c r="AC22" i="7"/>
  <c r="S36" i="7"/>
  <c r="AC36" i="7"/>
  <c r="R173" i="7"/>
  <c r="V173" i="7" s="1"/>
  <c r="Q173" i="7"/>
  <c r="R125" i="7"/>
  <c r="Q125" i="7"/>
  <c r="R205" i="7"/>
  <c r="V205" i="7" s="1"/>
  <c r="Q205" i="7"/>
  <c r="R210" i="7"/>
  <c r="Q210" i="7"/>
  <c r="T12" i="7"/>
  <c r="AF12" i="7"/>
  <c r="R135" i="7"/>
  <c r="V135" i="7" s="1"/>
  <c r="Q135" i="7"/>
  <c r="T25" i="7"/>
  <c r="AF25" i="7"/>
  <c r="R142" i="7"/>
  <c r="V142" i="7" s="1"/>
  <c r="Q142" i="7"/>
  <c r="Q104" i="7"/>
  <c r="R104" i="7"/>
  <c r="T16" i="7"/>
  <c r="AF16" i="7"/>
  <c r="R96" i="7"/>
  <c r="Q96" i="7"/>
  <c r="R206" i="7"/>
  <c r="V206" i="7" s="1"/>
  <c r="Q206" i="7"/>
  <c r="R112" i="7"/>
  <c r="V112" i="7" s="1"/>
  <c r="Q112" i="7"/>
  <c r="R185" i="7"/>
  <c r="Q185" i="7"/>
  <c r="R155" i="7"/>
  <c r="Q155" i="7"/>
  <c r="R103" i="7"/>
  <c r="V103" i="7" s="1"/>
  <c r="Q103" i="7"/>
  <c r="Q177" i="7"/>
  <c r="R177" i="7"/>
  <c r="V177" i="7" s="1"/>
  <c r="R209" i="7"/>
  <c r="V209" i="7" s="1"/>
  <c r="Q209" i="7"/>
  <c r="R141" i="7"/>
  <c r="Q141" i="7"/>
  <c r="R157" i="7"/>
  <c r="V157" i="7" s="1"/>
  <c r="Q157" i="7"/>
  <c r="Q90" i="7"/>
  <c r="R90" i="7"/>
  <c r="Q152" i="7"/>
  <c r="R152" i="7"/>
  <c r="V152" i="7" s="1"/>
  <c r="R85" i="7"/>
  <c r="Q85" i="7"/>
  <c r="R159" i="7"/>
  <c r="V159" i="7" s="1"/>
  <c r="Q159" i="7"/>
  <c r="Q100" i="7"/>
  <c r="R100" i="7"/>
  <c r="Q208" i="7"/>
  <c r="R208" i="7"/>
  <c r="V208" i="7" s="1"/>
  <c r="Q75" i="7"/>
  <c r="G28" i="82"/>
  <c r="R59" i="7"/>
  <c r="AD59" i="7"/>
  <c r="R187" i="7"/>
  <c r="Q187" i="7"/>
  <c r="R132" i="7"/>
  <c r="V132" i="7" s="1"/>
  <c r="Q132" i="7"/>
  <c r="R201" i="7"/>
  <c r="V201" i="7" s="1"/>
  <c r="Q201" i="7"/>
  <c r="R94" i="7"/>
  <c r="V94" i="7" s="1"/>
  <c r="Q94" i="7"/>
  <c r="R110" i="7"/>
  <c r="V110" i="7" s="1"/>
  <c r="Q110" i="7"/>
  <c r="AF41" i="7"/>
  <c r="T41" i="7"/>
  <c r="Q92" i="7"/>
  <c r="R92" i="7"/>
  <c r="V92" i="7" s="1"/>
  <c r="AC41" i="7"/>
  <c r="S41" i="7"/>
  <c r="R114" i="7"/>
  <c r="Q114" i="7"/>
  <c r="R129" i="7"/>
  <c r="Q129" i="7"/>
  <c r="R191" i="7"/>
  <c r="V191" i="7" s="1"/>
  <c r="Q191" i="7"/>
  <c r="Q181" i="7"/>
  <c r="R181" i="7"/>
  <c r="V181" i="7" s="1"/>
  <c r="R199" i="7"/>
  <c r="V199" i="7" s="1"/>
  <c r="Q199" i="7"/>
  <c r="AF37" i="7"/>
  <c r="T37" i="7"/>
  <c r="N23" i="125"/>
  <c r="G28" i="125"/>
  <c r="R156" i="7"/>
  <c r="V156" i="7" s="1"/>
  <c r="Q156" i="7"/>
  <c r="R140" i="7"/>
  <c r="Q140" i="7"/>
  <c r="R167" i="7"/>
  <c r="V167" i="7" s="1"/>
  <c r="Q167" i="7"/>
  <c r="N28" i="86"/>
  <c r="M22" i="7" s="1"/>
  <c r="T63" i="7"/>
  <c r="AF63" i="7"/>
  <c r="R106" i="7"/>
  <c r="Q106" i="7"/>
  <c r="R99" i="7"/>
  <c r="V99" i="7" s="1"/>
  <c r="Q99" i="7"/>
  <c r="R161" i="7"/>
  <c r="V161" i="7" s="1"/>
  <c r="Q161" i="7"/>
  <c r="Q119" i="7"/>
  <c r="R119" i="7"/>
  <c r="R101" i="7"/>
  <c r="V101" i="7" s="1"/>
  <c r="Q101" i="7"/>
  <c r="R172" i="7"/>
  <c r="V172" i="7" s="1"/>
  <c r="Q172" i="7"/>
  <c r="R116" i="7"/>
  <c r="V116" i="7" s="1"/>
  <c r="Q116" i="7"/>
  <c r="Q211" i="7"/>
  <c r="R211" i="7"/>
  <c r="T40" i="7"/>
  <c r="AF40" i="7"/>
  <c r="AC64" i="7"/>
  <c r="S64" i="7"/>
  <c r="R64" i="7" l="1"/>
  <c r="M58" i="7"/>
  <c r="R58" i="7" s="1"/>
  <c r="S58" i="7"/>
  <c r="R47" i="7"/>
  <c r="R66" i="7"/>
  <c r="AD66" i="7"/>
  <c r="AD61" i="7"/>
  <c r="R61" i="7"/>
  <c r="R69" i="7"/>
  <c r="AD25" i="7"/>
  <c r="R30" i="7"/>
  <c r="AF57" i="7"/>
  <c r="AC57" i="7"/>
  <c r="R28" i="7"/>
  <c r="AD71" i="7"/>
  <c r="M57" i="7"/>
  <c r="R57" i="7" s="1"/>
  <c r="R46" i="7"/>
  <c r="AC21" i="7"/>
  <c r="D51" i="91"/>
  <c r="D51" i="92"/>
  <c r="D52" i="116"/>
  <c r="D52" i="126"/>
  <c r="D50" i="91"/>
  <c r="D50" i="92"/>
  <c r="D54" i="126"/>
  <c r="AD62" i="7"/>
  <c r="R73" i="7"/>
  <c r="R36" i="7"/>
  <c r="AC34" i="7"/>
  <c r="R51" i="7"/>
  <c r="AD31" i="7"/>
  <c r="D50" i="132"/>
  <c r="D53" i="126"/>
  <c r="R63" i="7"/>
  <c r="AD63" i="7"/>
  <c r="D53" i="86"/>
  <c r="D53" i="87"/>
  <c r="D54" i="88"/>
  <c r="D53" i="85"/>
  <c r="R40" i="7"/>
  <c r="AD49" i="7"/>
  <c r="R33" i="7"/>
  <c r="D52" i="117"/>
  <c r="D52" i="132"/>
  <c r="D53" i="142"/>
  <c r="D53" i="143"/>
  <c r="D53" i="141"/>
  <c r="D53" i="134"/>
  <c r="D52" i="119"/>
  <c r="D52" i="130"/>
  <c r="D53" i="125"/>
  <c r="D53" i="99"/>
  <c r="D52" i="83"/>
  <c r="D52" i="80"/>
  <c r="D53" i="124"/>
  <c r="D52" i="84"/>
  <c r="D54" i="82"/>
  <c r="D53" i="123"/>
  <c r="D52" i="131"/>
  <c r="D53" i="122"/>
  <c r="D53" i="121"/>
  <c r="D53" i="98"/>
  <c r="D50" i="94"/>
  <c r="R74" i="7"/>
  <c r="AD74" i="7"/>
  <c r="R72" i="7"/>
  <c r="D50" i="141"/>
  <c r="D50" i="142"/>
  <c r="D50" i="143"/>
  <c r="D51" i="143"/>
  <c r="D51" i="141"/>
  <c r="D51" i="142"/>
  <c r="D52" i="143"/>
  <c r="D52" i="142"/>
  <c r="D52" i="141"/>
  <c r="D90" i="158"/>
  <c r="O26" i="158"/>
  <c r="P26" i="158" s="1"/>
  <c r="Q26" i="158" s="1"/>
  <c r="Y26" i="158"/>
  <c r="Z26" i="158" s="1"/>
  <c r="AA26" i="158" s="1"/>
  <c r="E26" i="158"/>
  <c r="F26" i="158" s="1"/>
  <c r="G26" i="158" s="1"/>
  <c r="AH26" i="158"/>
  <c r="AI26" i="158" s="1"/>
  <c r="AJ26" i="158" s="1"/>
  <c r="AH27" i="158"/>
  <c r="AI27" i="158" s="1"/>
  <c r="AJ27" i="158" s="1"/>
  <c r="Y27" i="158"/>
  <c r="Z27" i="158" s="1"/>
  <c r="AA27" i="158" s="1"/>
  <c r="O27" i="158"/>
  <c r="P27" i="158" s="1"/>
  <c r="Q27" i="158" s="1"/>
  <c r="E27" i="158"/>
  <c r="F27" i="158" s="1"/>
  <c r="G27" i="158" s="1"/>
  <c r="O28" i="158"/>
  <c r="P28" i="158" s="1"/>
  <c r="Q28" i="158" s="1"/>
  <c r="AH28" i="158"/>
  <c r="AI28" i="158" s="1"/>
  <c r="AJ28" i="158" s="1"/>
  <c r="E28" i="158"/>
  <c r="F28" i="158" s="1"/>
  <c r="G28" i="158" s="1"/>
  <c r="Y28" i="158"/>
  <c r="Z28" i="158" s="1"/>
  <c r="AA28" i="158" s="1"/>
  <c r="Y13" i="158"/>
  <c r="Z13" i="158" s="1"/>
  <c r="AA13" i="158" s="1"/>
  <c r="E13" i="158"/>
  <c r="F13" i="158" s="1"/>
  <c r="G13" i="158" s="1"/>
  <c r="O13" i="158"/>
  <c r="P13" i="158" s="1"/>
  <c r="Q13" i="158" s="1"/>
  <c r="AH13" i="158"/>
  <c r="AI13" i="158" s="1"/>
  <c r="AJ13" i="158" s="1"/>
  <c r="Y18" i="158"/>
  <c r="Z18" i="158" s="1"/>
  <c r="AA18" i="158" s="1"/>
  <c r="E18" i="158"/>
  <c r="F18" i="158" s="1"/>
  <c r="G18" i="158" s="1"/>
  <c r="AH18" i="158"/>
  <c r="AI18" i="158" s="1"/>
  <c r="AJ18" i="158" s="1"/>
  <c r="O18" i="158"/>
  <c r="P18" i="158" s="1"/>
  <c r="Q18" i="158" s="1"/>
  <c r="AH19" i="158"/>
  <c r="AI19" i="158" s="1"/>
  <c r="AJ19" i="158" s="1"/>
  <c r="O19" i="158"/>
  <c r="P19" i="158" s="1"/>
  <c r="Q19" i="158" s="1"/>
  <c r="Y19" i="158"/>
  <c r="Z19" i="158" s="1"/>
  <c r="AA19" i="158" s="1"/>
  <c r="E19" i="158"/>
  <c r="F19" i="158" s="1"/>
  <c r="G19" i="158" s="1"/>
  <c r="E20" i="158"/>
  <c r="F20" i="158" s="1"/>
  <c r="G20" i="158" s="1"/>
  <c r="O20" i="158"/>
  <c r="P20" i="158" s="1"/>
  <c r="Q20" i="158" s="1"/>
  <c r="Y20" i="158"/>
  <c r="Z20" i="158" s="1"/>
  <c r="AA20" i="158" s="1"/>
  <c r="AH20" i="158"/>
  <c r="AI20" i="158" s="1"/>
  <c r="AJ20" i="158" s="1"/>
  <c r="D90" i="6"/>
  <c r="Y17" i="158"/>
  <c r="Z17" i="158" s="1"/>
  <c r="AA17" i="158" s="1"/>
  <c r="O17" i="158"/>
  <c r="P17" i="158" s="1"/>
  <c r="Q17" i="158" s="1"/>
  <c r="AH17" i="158"/>
  <c r="AI17" i="158" s="1"/>
  <c r="AJ17" i="158" s="1"/>
  <c r="E17" i="158"/>
  <c r="F17" i="158" s="1"/>
  <c r="G17" i="158" s="1"/>
  <c r="AH23" i="158"/>
  <c r="AI23" i="158" s="1"/>
  <c r="AJ23" i="158" s="1"/>
  <c r="Y23" i="158"/>
  <c r="Z23" i="158" s="1"/>
  <c r="AA23" i="158" s="1"/>
  <c r="E23" i="158"/>
  <c r="F23" i="158" s="1"/>
  <c r="G23" i="158" s="1"/>
  <c r="O23" i="158"/>
  <c r="P23" i="158" s="1"/>
  <c r="Q23" i="158" s="1"/>
  <c r="O22" i="158"/>
  <c r="P22" i="158" s="1"/>
  <c r="Q22" i="158" s="1"/>
  <c r="AH22" i="158"/>
  <c r="AI22" i="158" s="1"/>
  <c r="AJ22" i="158" s="1"/>
  <c r="Y22" i="158"/>
  <c r="Z22" i="158" s="1"/>
  <c r="AA22" i="158" s="1"/>
  <c r="E22" i="158"/>
  <c r="F22" i="158" s="1"/>
  <c r="G22" i="158" s="1"/>
  <c r="E31" i="158"/>
  <c r="F31" i="158" s="1"/>
  <c r="G31" i="158" s="1"/>
  <c r="AH31" i="158"/>
  <c r="AI31" i="158" s="1"/>
  <c r="AJ31" i="158" s="1"/>
  <c r="Y31" i="158"/>
  <c r="Z31" i="158" s="1"/>
  <c r="AA31" i="158" s="1"/>
  <c r="O31" i="158"/>
  <c r="P31" i="158" s="1"/>
  <c r="Q31" i="158" s="1"/>
  <c r="E16" i="158"/>
  <c r="F16" i="158" s="1"/>
  <c r="G16" i="158" s="1"/>
  <c r="AH16" i="158"/>
  <c r="AI16" i="158" s="1"/>
  <c r="AJ16" i="158" s="1"/>
  <c r="Y16" i="158"/>
  <c r="Z16" i="158" s="1"/>
  <c r="AA16" i="158" s="1"/>
  <c r="O16" i="158"/>
  <c r="P16" i="158" s="1"/>
  <c r="Q16" i="158" s="1"/>
  <c r="Y30" i="158"/>
  <c r="Z30" i="158" s="1"/>
  <c r="AA30" i="158" s="1"/>
  <c r="E30" i="158"/>
  <c r="F30" i="158" s="1"/>
  <c r="G30" i="158" s="1"/>
  <c r="O30" i="158"/>
  <c r="P30" i="158" s="1"/>
  <c r="Q30" i="158" s="1"/>
  <c r="AH30" i="158"/>
  <c r="AI30" i="158" s="1"/>
  <c r="AJ30" i="158" s="1"/>
  <c r="O29" i="158"/>
  <c r="P29" i="158" s="1"/>
  <c r="Q29" i="158" s="1"/>
  <c r="E29" i="158"/>
  <c r="F29" i="158" s="1"/>
  <c r="G29" i="158" s="1"/>
  <c r="AH29" i="158"/>
  <c r="AI29" i="158" s="1"/>
  <c r="AJ29" i="158" s="1"/>
  <c r="Y29" i="158"/>
  <c r="Z29" i="158" s="1"/>
  <c r="AA29" i="158" s="1"/>
  <c r="M9" i="3"/>
  <c r="O9" i="3" s="1"/>
  <c r="Y33" i="158"/>
  <c r="Z33" i="158" s="1"/>
  <c r="AA33" i="158" s="1"/>
  <c r="E33" i="158"/>
  <c r="F33" i="158" s="1"/>
  <c r="G33" i="158" s="1"/>
  <c r="O33" i="158"/>
  <c r="P33" i="158" s="1"/>
  <c r="Q33" i="158" s="1"/>
  <c r="AH33" i="158"/>
  <c r="AI33" i="158" s="1"/>
  <c r="AJ33" i="158" s="1"/>
  <c r="O33" i="6"/>
  <c r="P33" i="6" s="1"/>
  <c r="Q33" i="6" s="1"/>
  <c r="E33" i="6"/>
  <c r="F33" i="6" s="1"/>
  <c r="G33" i="6" s="1"/>
  <c r="Y33" i="6"/>
  <c r="Z33" i="6" s="1"/>
  <c r="AA33" i="6" s="1"/>
  <c r="AH33" i="6"/>
  <c r="AI33" i="6" s="1"/>
  <c r="AJ33" i="6" s="1"/>
  <c r="AH14" i="158"/>
  <c r="AI14" i="158" s="1"/>
  <c r="AJ14" i="158" s="1"/>
  <c r="E14" i="158"/>
  <c r="F14" i="158" s="1"/>
  <c r="G14" i="158" s="1"/>
  <c r="Y14" i="158"/>
  <c r="Z14" i="158" s="1"/>
  <c r="AA14" i="158" s="1"/>
  <c r="O14" i="158"/>
  <c r="P14" i="158" s="1"/>
  <c r="Q14" i="158" s="1"/>
  <c r="AH15" i="158"/>
  <c r="AI15" i="158" s="1"/>
  <c r="AJ15" i="158" s="1"/>
  <c r="Y15" i="158"/>
  <c r="Z15" i="158" s="1"/>
  <c r="AA15" i="158" s="1"/>
  <c r="O15" i="158"/>
  <c r="P15" i="158" s="1"/>
  <c r="Q15" i="158" s="1"/>
  <c r="E15" i="158"/>
  <c r="F15" i="158" s="1"/>
  <c r="G15" i="158" s="1"/>
  <c r="O24" i="158"/>
  <c r="P24" i="158" s="1"/>
  <c r="Q24" i="158" s="1"/>
  <c r="AH24" i="158"/>
  <c r="AI24" i="158" s="1"/>
  <c r="AJ24" i="158" s="1"/>
  <c r="E24" i="158"/>
  <c r="F24" i="158" s="1"/>
  <c r="G24" i="158" s="1"/>
  <c r="Y24" i="158"/>
  <c r="Z24" i="158" s="1"/>
  <c r="AA24" i="158" s="1"/>
  <c r="Y34" i="158"/>
  <c r="Z34" i="158" s="1"/>
  <c r="AA34" i="158" s="1"/>
  <c r="O34" i="158"/>
  <c r="P34" i="158" s="1"/>
  <c r="Q34" i="158" s="1"/>
  <c r="E34" i="158"/>
  <c r="F34" i="158" s="1"/>
  <c r="G34" i="158" s="1"/>
  <c r="AH34" i="158"/>
  <c r="AI34" i="158" s="1"/>
  <c r="AJ34" i="158" s="1"/>
  <c r="Y34" i="6"/>
  <c r="Z34" i="6" s="1"/>
  <c r="AA34" i="6" s="1"/>
  <c r="O34" i="6"/>
  <c r="P34" i="6" s="1"/>
  <c r="Q34" i="6" s="1"/>
  <c r="AH34" i="6"/>
  <c r="AI34" i="6" s="1"/>
  <c r="AJ34" i="6" s="1"/>
  <c r="E34" i="6"/>
  <c r="F34" i="6" s="1"/>
  <c r="G34" i="6" s="1"/>
  <c r="E25" i="158"/>
  <c r="F25" i="158" s="1"/>
  <c r="G25" i="158" s="1"/>
  <c r="Y25" i="158"/>
  <c r="Z25" i="158" s="1"/>
  <c r="AA25" i="158" s="1"/>
  <c r="O25" i="158"/>
  <c r="P25" i="158" s="1"/>
  <c r="Q25" i="158" s="1"/>
  <c r="AH25" i="158"/>
  <c r="AI25" i="158" s="1"/>
  <c r="AJ25" i="158" s="1"/>
  <c r="O21" i="158"/>
  <c r="P21" i="158" s="1"/>
  <c r="Q21" i="158" s="1"/>
  <c r="AH21" i="158"/>
  <c r="AI21" i="158" s="1"/>
  <c r="AJ21" i="158" s="1"/>
  <c r="E21" i="158"/>
  <c r="F21" i="158" s="1"/>
  <c r="G21" i="158" s="1"/>
  <c r="Y21" i="158"/>
  <c r="Z21" i="158" s="1"/>
  <c r="AA21" i="158" s="1"/>
  <c r="M36" i="3"/>
  <c r="O36" i="3" s="1"/>
  <c r="AH32" i="158"/>
  <c r="AI32" i="158" s="1"/>
  <c r="AJ32" i="158" s="1"/>
  <c r="E32" i="158"/>
  <c r="F32" i="158" s="1"/>
  <c r="G32" i="158" s="1"/>
  <c r="O32" i="158"/>
  <c r="P32" i="158" s="1"/>
  <c r="Q32" i="158" s="1"/>
  <c r="Y32" i="158"/>
  <c r="Z32" i="158" s="1"/>
  <c r="AA32" i="158" s="1"/>
  <c r="O32" i="6"/>
  <c r="P32" i="6" s="1"/>
  <c r="Q32" i="6" s="1"/>
  <c r="Y32" i="6"/>
  <c r="Z32" i="6" s="1"/>
  <c r="AA32" i="6" s="1"/>
  <c r="AH32" i="6"/>
  <c r="AI32" i="6" s="1"/>
  <c r="AJ32" i="6" s="1"/>
  <c r="E32" i="6"/>
  <c r="F32" i="6" s="1"/>
  <c r="G32" i="6" s="1"/>
  <c r="D85" i="157"/>
  <c r="M35" i="3"/>
  <c r="O35" i="3" s="1"/>
  <c r="Y31" i="6"/>
  <c r="Z31" i="6" s="1"/>
  <c r="AA31" i="6" s="1"/>
  <c r="E31" i="6"/>
  <c r="F31" i="6" s="1"/>
  <c r="G31" i="6" s="1"/>
  <c r="O31" i="6"/>
  <c r="P31" i="6" s="1"/>
  <c r="Q31" i="6" s="1"/>
  <c r="AH31" i="6"/>
  <c r="AI31" i="6" s="1"/>
  <c r="AJ31" i="6" s="1"/>
  <c r="M34" i="3"/>
  <c r="O34" i="3" s="1"/>
  <c r="AH30" i="6"/>
  <c r="AI30" i="6" s="1"/>
  <c r="AJ30" i="6" s="1"/>
  <c r="O30" i="6"/>
  <c r="P30" i="6" s="1"/>
  <c r="Q30" i="6" s="1"/>
  <c r="Y30" i="6"/>
  <c r="Z30" i="6" s="1"/>
  <c r="AA30" i="6" s="1"/>
  <c r="E30" i="6"/>
  <c r="F30" i="6" s="1"/>
  <c r="G30" i="6" s="1"/>
  <c r="D50" i="107"/>
  <c r="D50" i="120"/>
  <c r="D50" i="93"/>
  <c r="D50" i="108"/>
  <c r="D51" i="115"/>
  <c r="D50" i="110"/>
  <c r="D51" i="97"/>
  <c r="D50" i="136"/>
  <c r="D52" i="95"/>
  <c r="D50" i="102"/>
  <c r="D50" i="105"/>
  <c r="M12" i="3"/>
  <c r="O12" i="3" s="1"/>
  <c r="E50" i="140" s="1"/>
  <c r="G50" i="140" s="1"/>
  <c r="D50" i="109"/>
  <c r="D50" i="100"/>
  <c r="M19" i="3"/>
  <c r="O19" i="3" s="1"/>
  <c r="Y24" i="157"/>
  <c r="Z24" i="157" s="1"/>
  <c r="AA24" i="157" s="1"/>
  <c r="O24" i="157"/>
  <c r="P24" i="157" s="1"/>
  <c r="Q24" i="157" s="1"/>
  <c r="E24" i="157"/>
  <c r="F24" i="157" s="1"/>
  <c r="G24" i="157" s="1"/>
  <c r="AH24" i="157"/>
  <c r="AI24" i="157" s="1"/>
  <c r="AJ24" i="157" s="1"/>
  <c r="E24" i="6"/>
  <c r="F24" i="6" s="1"/>
  <c r="G24" i="6" s="1"/>
  <c r="Y24" i="6"/>
  <c r="Z24" i="6" s="1"/>
  <c r="AA24" i="6" s="1"/>
  <c r="O24" i="6"/>
  <c r="P24" i="6" s="1"/>
  <c r="Q24" i="6" s="1"/>
  <c r="AH24" i="6"/>
  <c r="AI24" i="6" s="1"/>
  <c r="AJ24" i="6" s="1"/>
  <c r="E26" i="157"/>
  <c r="F26" i="157" s="1"/>
  <c r="G26" i="157" s="1"/>
  <c r="AH26" i="157"/>
  <c r="AI26" i="157" s="1"/>
  <c r="AJ26" i="157" s="1"/>
  <c r="O26" i="157"/>
  <c r="P26" i="157" s="1"/>
  <c r="Q26" i="157" s="1"/>
  <c r="Y26" i="157"/>
  <c r="Z26" i="157" s="1"/>
  <c r="AA26" i="157" s="1"/>
  <c r="Y26" i="6"/>
  <c r="Z26" i="6" s="1"/>
  <c r="AA26" i="6" s="1"/>
  <c r="E26" i="6"/>
  <c r="F26" i="6" s="1"/>
  <c r="G26" i="6" s="1"/>
  <c r="O26" i="6"/>
  <c r="P26" i="6" s="1"/>
  <c r="Q26" i="6" s="1"/>
  <c r="AH26" i="6"/>
  <c r="AI26" i="6" s="1"/>
  <c r="AJ26" i="6" s="1"/>
  <c r="M7" i="3"/>
  <c r="O7" i="3" s="1"/>
  <c r="E17" i="157"/>
  <c r="F17" i="157" s="1"/>
  <c r="G17" i="157" s="1"/>
  <c r="AH17" i="157"/>
  <c r="AI17" i="157" s="1"/>
  <c r="AJ17" i="157" s="1"/>
  <c r="O17" i="157"/>
  <c r="P17" i="157" s="1"/>
  <c r="Q17" i="157" s="1"/>
  <c r="Y17" i="157"/>
  <c r="Z17" i="157" s="1"/>
  <c r="AA17" i="157" s="1"/>
  <c r="AH17" i="6"/>
  <c r="AI17" i="6" s="1"/>
  <c r="AJ17" i="6" s="1"/>
  <c r="O17" i="6"/>
  <c r="P17" i="6" s="1"/>
  <c r="Q17" i="6" s="1"/>
  <c r="E17" i="6"/>
  <c r="F17" i="6" s="1"/>
  <c r="G17" i="6" s="1"/>
  <c r="Y17" i="6"/>
  <c r="Z17" i="6" s="1"/>
  <c r="AA17" i="6" s="1"/>
  <c r="M17" i="3"/>
  <c r="O17" i="3" s="1"/>
  <c r="Y23" i="157"/>
  <c r="Z23" i="157" s="1"/>
  <c r="AA23" i="157" s="1"/>
  <c r="AH23" i="157"/>
  <c r="AI23" i="157" s="1"/>
  <c r="AJ23" i="157" s="1"/>
  <c r="O23" i="157"/>
  <c r="P23" i="157" s="1"/>
  <c r="Q23" i="157" s="1"/>
  <c r="E23" i="157"/>
  <c r="F23" i="157" s="1"/>
  <c r="G23" i="157" s="1"/>
  <c r="E23" i="6"/>
  <c r="F23" i="6" s="1"/>
  <c r="G23" i="6" s="1"/>
  <c r="AH23" i="6"/>
  <c r="AI23" i="6" s="1"/>
  <c r="AJ23" i="6" s="1"/>
  <c r="O23" i="6"/>
  <c r="P23" i="6" s="1"/>
  <c r="Q23" i="6" s="1"/>
  <c r="Y23" i="6"/>
  <c r="Z23" i="6" s="1"/>
  <c r="AA23" i="6" s="1"/>
  <c r="M8" i="3"/>
  <c r="O8" i="3" s="1"/>
  <c r="O13" i="157"/>
  <c r="P13" i="157" s="1"/>
  <c r="Q13" i="157" s="1"/>
  <c r="AH13" i="157"/>
  <c r="AI13" i="157" s="1"/>
  <c r="AJ13" i="157" s="1"/>
  <c r="E13" i="157"/>
  <c r="F13" i="157" s="1"/>
  <c r="G13" i="157" s="1"/>
  <c r="Y13" i="157"/>
  <c r="Z13" i="157" s="1"/>
  <c r="AA13" i="157" s="1"/>
  <c r="Y13" i="6"/>
  <c r="Z13" i="6" s="1"/>
  <c r="AA13" i="6" s="1"/>
  <c r="AH13" i="6"/>
  <c r="AI13" i="6" s="1"/>
  <c r="AJ13" i="6" s="1"/>
  <c r="E13" i="6"/>
  <c r="F13" i="6" s="1"/>
  <c r="G13" i="6" s="1"/>
  <c r="O13" i="6"/>
  <c r="P13" i="6" s="1"/>
  <c r="Q13" i="6" s="1"/>
  <c r="M33" i="3"/>
  <c r="O33" i="3" s="1"/>
  <c r="O29" i="157"/>
  <c r="P29" i="157" s="1"/>
  <c r="Q29" i="157" s="1"/>
  <c r="E29" i="157"/>
  <c r="F29" i="157" s="1"/>
  <c r="G29" i="157" s="1"/>
  <c r="AH29" i="157"/>
  <c r="AI29" i="157" s="1"/>
  <c r="AJ29" i="157" s="1"/>
  <c r="Y29" i="157"/>
  <c r="Z29" i="157" s="1"/>
  <c r="AA29" i="157" s="1"/>
  <c r="Y29" i="6"/>
  <c r="Z29" i="6" s="1"/>
  <c r="AA29" i="6" s="1"/>
  <c r="O29" i="6"/>
  <c r="P29" i="6" s="1"/>
  <c r="Q29" i="6" s="1"/>
  <c r="E29" i="6"/>
  <c r="F29" i="6" s="1"/>
  <c r="G29" i="6" s="1"/>
  <c r="AH29" i="6"/>
  <c r="AI29" i="6" s="1"/>
  <c r="AJ29" i="6" s="1"/>
  <c r="E19" i="157"/>
  <c r="F19" i="157" s="1"/>
  <c r="G19" i="157" s="1"/>
  <c r="O19" i="157"/>
  <c r="P19" i="157" s="1"/>
  <c r="Q19" i="157" s="1"/>
  <c r="Y19" i="157"/>
  <c r="Z19" i="157" s="1"/>
  <c r="AA19" i="157" s="1"/>
  <c r="AH19" i="157"/>
  <c r="AI19" i="157" s="1"/>
  <c r="AJ19" i="157" s="1"/>
  <c r="AH19" i="6"/>
  <c r="AI19" i="6" s="1"/>
  <c r="AJ19" i="6" s="1"/>
  <c r="E19" i="6"/>
  <c r="F19" i="6" s="1"/>
  <c r="G19" i="6" s="1"/>
  <c r="O19" i="6"/>
  <c r="P19" i="6" s="1"/>
  <c r="Q19" i="6" s="1"/>
  <c r="Y19" i="6"/>
  <c r="Z19" i="6" s="1"/>
  <c r="AA19" i="6" s="1"/>
  <c r="M31" i="3"/>
  <c r="O31" i="3" s="1"/>
  <c r="AH27" i="157"/>
  <c r="AI27" i="157" s="1"/>
  <c r="AJ27" i="157" s="1"/>
  <c r="E27" i="157"/>
  <c r="F27" i="157" s="1"/>
  <c r="G27" i="157" s="1"/>
  <c r="O27" i="157"/>
  <c r="P27" i="157" s="1"/>
  <c r="Q27" i="157" s="1"/>
  <c r="Y27" i="157"/>
  <c r="Z27" i="157" s="1"/>
  <c r="AA27" i="157" s="1"/>
  <c r="AH27" i="6"/>
  <c r="AI27" i="6" s="1"/>
  <c r="AJ27" i="6" s="1"/>
  <c r="Y27" i="6"/>
  <c r="Z27" i="6" s="1"/>
  <c r="AA27" i="6" s="1"/>
  <c r="E27" i="6"/>
  <c r="F27" i="6" s="1"/>
  <c r="G27" i="6" s="1"/>
  <c r="O27" i="6"/>
  <c r="P27" i="6" s="1"/>
  <c r="Q27" i="6" s="1"/>
  <c r="M20" i="3"/>
  <c r="O20" i="3" s="1"/>
  <c r="E25" i="157"/>
  <c r="F25" i="157" s="1"/>
  <c r="G25" i="157" s="1"/>
  <c r="Y25" i="157"/>
  <c r="Z25" i="157" s="1"/>
  <c r="AA25" i="157" s="1"/>
  <c r="O25" i="157"/>
  <c r="P25" i="157" s="1"/>
  <c r="Q25" i="157" s="1"/>
  <c r="AH25" i="157"/>
  <c r="AI25" i="157" s="1"/>
  <c r="AJ25" i="157" s="1"/>
  <c r="O25" i="6"/>
  <c r="P25" i="6" s="1"/>
  <c r="Q25" i="6" s="1"/>
  <c r="E25" i="6"/>
  <c r="F25" i="6" s="1"/>
  <c r="G25" i="6" s="1"/>
  <c r="AH25" i="6"/>
  <c r="AI25" i="6" s="1"/>
  <c r="AJ25" i="6" s="1"/>
  <c r="Y25" i="6"/>
  <c r="Z25" i="6" s="1"/>
  <c r="AA25" i="6" s="1"/>
  <c r="M32" i="3"/>
  <c r="O32" i="3" s="1"/>
  <c r="O28" i="157"/>
  <c r="P28" i="157" s="1"/>
  <c r="Q28" i="157" s="1"/>
  <c r="Y28" i="157"/>
  <c r="Z28" i="157" s="1"/>
  <c r="AA28" i="157" s="1"/>
  <c r="E28" i="157"/>
  <c r="F28" i="157" s="1"/>
  <c r="G28" i="157" s="1"/>
  <c r="AH28" i="157"/>
  <c r="AI28" i="157" s="1"/>
  <c r="AJ28" i="157" s="1"/>
  <c r="AH28" i="6"/>
  <c r="AI28" i="6" s="1"/>
  <c r="AJ28" i="6" s="1"/>
  <c r="E28" i="6"/>
  <c r="F28" i="6" s="1"/>
  <c r="G28" i="6" s="1"/>
  <c r="O28" i="6"/>
  <c r="P28" i="6" s="1"/>
  <c r="Q28" i="6" s="1"/>
  <c r="Y28" i="6"/>
  <c r="Z28" i="6" s="1"/>
  <c r="AA28" i="6" s="1"/>
  <c r="M13" i="3"/>
  <c r="O13" i="3" s="1"/>
  <c r="AH22" i="157"/>
  <c r="AI22" i="157" s="1"/>
  <c r="AJ22" i="157" s="1"/>
  <c r="O22" i="157"/>
  <c r="P22" i="157" s="1"/>
  <c r="Q22" i="157" s="1"/>
  <c r="E22" i="157"/>
  <c r="F22" i="157" s="1"/>
  <c r="G22" i="157" s="1"/>
  <c r="Y22" i="157"/>
  <c r="Z22" i="157" s="1"/>
  <c r="AA22" i="157" s="1"/>
  <c r="Y22" i="6"/>
  <c r="Z22" i="6" s="1"/>
  <c r="AA22" i="6" s="1"/>
  <c r="AH22" i="6"/>
  <c r="AI22" i="6" s="1"/>
  <c r="AJ22" i="6" s="1"/>
  <c r="O22" i="6"/>
  <c r="P22" i="6" s="1"/>
  <c r="Q22" i="6" s="1"/>
  <c r="E22" i="6"/>
  <c r="F22" i="6" s="1"/>
  <c r="G22" i="6" s="1"/>
  <c r="O18" i="157"/>
  <c r="P18" i="157" s="1"/>
  <c r="Q18" i="157" s="1"/>
  <c r="Y18" i="157"/>
  <c r="Z18" i="157" s="1"/>
  <c r="AA18" i="157" s="1"/>
  <c r="AH18" i="157"/>
  <c r="AI18" i="157" s="1"/>
  <c r="AJ18" i="157" s="1"/>
  <c r="E18" i="157"/>
  <c r="F18" i="157" s="1"/>
  <c r="G18" i="157" s="1"/>
  <c r="Y18" i="6"/>
  <c r="Z18" i="6" s="1"/>
  <c r="AA18" i="6" s="1"/>
  <c r="AH18" i="6"/>
  <c r="AI18" i="6" s="1"/>
  <c r="AJ18" i="6" s="1"/>
  <c r="E18" i="6"/>
  <c r="F18" i="6" s="1"/>
  <c r="G18" i="6" s="1"/>
  <c r="O18" i="6"/>
  <c r="P18" i="6" s="1"/>
  <c r="Q18" i="6" s="1"/>
  <c r="M30" i="3"/>
  <c r="O30" i="3" s="1"/>
  <c r="AH20" i="157"/>
  <c r="AI20" i="157" s="1"/>
  <c r="AJ20" i="157" s="1"/>
  <c r="Y20" i="157"/>
  <c r="Z20" i="157" s="1"/>
  <c r="AA20" i="157" s="1"/>
  <c r="E20" i="157"/>
  <c r="F20" i="157" s="1"/>
  <c r="G20" i="157" s="1"/>
  <c r="O20" i="157"/>
  <c r="P20" i="157" s="1"/>
  <c r="Q20" i="157" s="1"/>
  <c r="AH20" i="6"/>
  <c r="AI20" i="6" s="1"/>
  <c r="AJ20" i="6" s="1"/>
  <c r="E20" i="6"/>
  <c r="F20" i="6" s="1"/>
  <c r="G20" i="6" s="1"/>
  <c r="O20" i="6"/>
  <c r="P20" i="6" s="1"/>
  <c r="Q20" i="6" s="1"/>
  <c r="Y20" i="6"/>
  <c r="Z20" i="6" s="1"/>
  <c r="AA20" i="6" s="1"/>
  <c r="M16" i="3"/>
  <c r="O16" i="3" s="1"/>
  <c r="AH21" i="157"/>
  <c r="AI21" i="157" s="1"/>
  <c r="AJ21" i="157" s="1"/>
  <c r="Y21" i="157"/>
  <c r="Z21" i="157" s="1"/>
  <c r="AA21" i="157" s="1"/>
  <c r="E21" i="157"/>
  <c r="F21" i="157" s="1"/>
  <c r="G21" i="157" s="1"/>
  <c r="O21" i="157"/>
  <c r="P21" i="157" s="1"/>
  <c r="Q21" i="157" s="1"/>
  <c r="E21" i="6"/>
  <c r="F21" i="6" s="1"/>
  <c r="G21" i="6" s="1"/>
  <c r="O21" i="6"/>
  <c r="P21" i="6" s="1"/>
  <c r="Q21" i="6" s="1"/>
  <c r="Y21" i="6"/>
  <c r="Z21" i="6" s="1"/>
  <c r="AA21" i="6" s="1"/>
  <c r="AH21" i="6"/>
  <c r="AI21" i="6" s="1"/>
  <c r="AJ21" i="6" s="1"/>
  <c r="M15" i="3"/>
  <c r="O15" i="3" s="1"/>
  <c r="Y16" i="157"/>
  <c r="Z16" i="157" s="1"/>
  <c r="AA16" i="157" s="1"/>
  <c r="E16" i="157"/>
  <c r="F16" i="157" s="1"/>
  <c r="G16" i="157" s="1"/>
  <c r="AH16" i="157"/>
  <c r="AI16" i="157" s="1"/>
  <c r="AJ16" i="157" s="1"/>
  <c r="O16" i="157"/>
  <c r="P16" i="157" s="1"/>
  <c r="Q16" i="157" s="1"/>
  <c r="O16" i="6"/>
  <c r="P16" i="6" s="1"/>
  <c r="Q16" i="6" s="1"/>
  <c r="E16" i="6"/>
  <c r="F16" i="6" s="1"/>
  <c r="G16" i="6" s="1"/>
  <c r="Y16" i="6"/>
  <c r="Z16" i="6" s="1"/>
  <c r="AA16" i="6" s="1"/>
  <c r="AH16" i="6"/>
  <c r="AI16" i="6" s="1"/>
  <c r="AJ16" i="6" s="1"/>
  <c r="M27" i="3"/>
  <c r="O27" i="3" s="1"/>
  <c r="AH14" i="157"/>
  <c r="AI14" i="157" s="1"/>
  <c r="AJ14" i="157" s="1"/>
  <c r="Y14" i="157"/>
  <c r="Z14" i="157" s="1"/>
  <c r="AA14" i="157" s="1"/>
  <c r="E14" i="157"/>
  <c r="F14" i="157" s="1"/>
  <c r="G14" i="157" s="1"/>
  <c r="O14" i="157"/>
  <c r="P14" i="157" s="1"/>
  <c r="Q14" i="157" s="1"/>
  <c r="Y14" i="6"/>
  <c r="Z14" i="6" s="1"/>
  <c r="AA14" i="6" s="1"/>
  <c r="E14" i="6"/>
  <c r="F14" i="6" s="1"/>
  <c r="G14" i="6" s="1"/>
  <c r="AH14" i="6"/>
  <c r="AI14" i="6" s="1"/>
  <c r="AJ14" i="6" s="1"/>
  <c r="O14" i="6"/>
  <c r="P14" i="6" s="1"/>
  <c r="Q14" i="6" s="1"/>
  <c r="M21" i="3"/>
  <c r="O21" i="3" s="1"/>
  <c r="Y15" i="157"/>
  <c r="Z15" i="157" s="1"/>
  <c r="AA15" i="157" s="1"/>
  <c r="O15" i="157"/>
  <c r="P15" i="157" s="1"/>
  <c r="Q15" i="157" s="1"/>
  <c r="E15" i="157"/>
  <c r="F15" i="157" s="1"/>
  <c r="G15" i="157" s="1"/>
  <c r="AH15" i="157"/>
  <c r="AI15" i="157" s="1"/>
  <c r="AJ15" i="157" s="1"/>
  <c r="O15" i="6"/>
  <c r="P15" i="6" s="1"/>
  <c r="Q15" i="6" s="1"/>
  <c r="E15" i="6"/>
  <c r="F15" i="6" s="1"/>
  <c r="G15" i="6" s="1"/>
  <c r="AH15" i="6"/>
  <c r="AI15" i="6" s="1"/>
  <c r="AJ15" i="6" s="1"/>
  <c r="Y15" i="6"/>
  <c r="Z15" i="6" s="1"/>
  <c r="AA15" i="6" s="1"/>
  <c r="N6" i="7"/>
  <c r="S6" i="7" s="1"/>
  <c r="N47" i="70"/>
  <c r="AC15" i="7"/>
  <c r="N28" i="124"/>
  <c r="M55" i="7" s="1"/>
  <c r="AD55" i="7" s="1"/>
  <c r="AC52" i="7"/>
  <c r="AC54" i="7"/>
  <c r="N28" i="79"/>
  <c r="M15" i="7" s="1"/>
  <c r="R15" i="7" s="1"/>
  <c r="N28" i="122"/>
  <c r="M53" i="7" s="1"/>
  <c r="AD53" i="7" s="1"/>
  <c r="AC56" i="7"/>
  <c r="N28" i="123"/>
  <c r="M54" i="7" s="1"/>
  <c r="AD54" i="7" s="1"/>
  <c r="N28" i="121"/>
  <c r="M52" i="7" s="1"/>
  <c r="AD52" i="7" s="1"/>
  <c r="N28" i="125"/>
  <c r="M56" i="7" s="1"/>
  <c r="AD56" i="7" s="1"/>
  <c r="AD27" i="7"/>
  <c r="S11" i="7"/>
  <c r="S55" i="7"/>
  <c r="M39" i="7"/>
  <c r="AD39" i="7" s="1"/>
  <c r="M25" i="3"/>
  <c r="O25" i="3" s="1"/>
  <c r="E55" i="72" s="1"/>
  <c r="G55" i="72" s="1"/>
  <c r="D55" i="72"/>
  <c r="R10" i="7"/>
  <c r="S53" i="7"/>
  <c r="D54" i="72"/>
  <c r="D51" i="104"/>
  <c r="AC9" i="7"/>
  <c r="N28" i="70"/>
  <c r="G63" i="146"/>
  <c r="G65" i="146" s="1"/>
  <c r="F77" i="7" s="1"/>
  <c r="H77" i="7" s="1"/>
  <c r="R35" i="7"/>
  <c r="R7" i="7"/>
  <c r="G63" i="9"/>
  <c r="G65" i="9" s="1"/>
  <c r="N28" i="73"/>
  <c r="M9" i="7" s="1"/>
  <c r="R9" i="7" s="1"/>
  <c r="G63" i="154"/>
  <c r="G65" i="154" s="1"/>
  <c r="F84" i="7" s="1"/>
  <c r="H84" i="7" s="1"/>
  <c r="R17" i="7"/>
  <c r="N28" i="75"/>
  <c r="M11" i="7" s="1"/>
  <c r="AD11" i="7" s="1"/>
  <c r="N28" i="82"/>
  <c r="M18" i="7" s="1"/>
  <c r="AD18" i="7" s="1"/>
  <c r="G63" i="151"/>
  <c r="G65" i="151" s="1"/>
  <c r="F82" i="7" s="1"/>
  <c r="H82" i="7" s="1"/>
  <c r="R34" i="7"/>
  <c r="G63" i="152"/>
  <c r="G65" i="152" s="1"/>
  <c r="AC8" i="7"/>
  <c r="G63" i="153"/>
  <c r="G65" i="153" s="1"/>
  <c r="F83" i="7" s="1"/>
  <c r="H83" i="7" s="1"/>
  <c r="AD58" i="7"/>
  <c r="R32" i="7"/>
  <c r="G63" i="148"/>
  <c r="G65" i="148" s="1"/>
  <c r="F79" i="7" s="1"/>
  <c r="H79" i="7" s="1"/>
  <c r="AD38" i="7"/>
  <c r="R21" i="7"/>
  <c r="G63" i="145"/>
  <c r="G65" i="145" s="1"/>
  <c r="F76" i="7" s="1"/>
  <c r="H76" i="7" s="1"/>
  <c r="N28" i="72"/>
  <c r="M8" i="7" s="1"/>
  <c r="AD8" i="7" s="1"/>
  <c r="V80" i="7"/>
  <c r="G63" i="150"/>
  <c r="G65" i="150" s="1"/>
  <c r="F81" i="7" s="1"/>
  <c r="H81" i="7" s="1"/>
  <c r="V169" i="7"/>
  <c r="G63" i="144"/>
  <c r="G65" i="144" s="1"/>
  <c r="F75" i="7" s="1"/>
  <c r="H75" i="7" s="1"/>
  <c r="T216" i="7"/>
  <c r="Y41" i="7" s="1"/>
  <c r="G63" i="149"/>
  <c r="G65" i="149" s="1"/>
  <c r="F80" i="7" s="1"/>
  <c r="H80" i="7" s="1"/>
  <c r="V141" i="7"/>
  <c r="V204" i="7"/>
  <c r="V146" i="7"/>
  <c r="D50" i="131"/>
  <c r="D51" i="128"/>
  <c r="D51" i="135"/>
  <c r="D50" i="125"/>
  <c r="D50" i="130"/>
  <c r="D51" i="136"/>
  <c r="D51" i="129"/>
  <c r="D51" i="110"/>
  <c r="D51" i="108"/>
  <c r="D50" i="124"/>
  <c r="D50" i="121"/>
  <c r="D51" i="119"/>
  <c r="D51" i="133"/>
  <c r="D51" i="126"/>
  <c r="D51" i="117"/>
  <c r="D50" i="99"/>
  <c r="D51" i="103"/>
  <c r="D51" i="134"/>
  <c r="D51" i="127"/>
  <c r="D51" i="116"/>
  <c r="D51" i="107"/>
  <c r="D51" i="105"/>
  <c r="D50" i="115"/>
  <c r="D51" i="109"/>
  <c r="D51" i="120"/>
  <c r="D50" i="106"/>
  <c r="D52" i="97"/>
  <c r="D50" i="82"/>
  <c r="D53" i="79"/>
  <c r="D51" i="88"/>
  <c r="D51" i="118"/>
  <c r="D50" i="95"/>
  <c r="D50" i="122"/>
  <c r="D50" i="96"/>
  <c r="D51" i="89"/>
  <c r="D50" i="98"/>
  <c r="D51" i="85"/>
  <c r="D51" i="78"/>
  <c r="D52" i="73"/>
  <c r="D50" i="71"/>
  <c r="D50" i="84"/>
  <c r="D51" i="72"/>
  <c r="D52" i="77"/>
  <c r="D53" i="70"/>
  <c r="D50" i="80"/>
  <c r="D50" i="83"/>
  <c r="D51" i="87"/>
  <c r="D50" i="75"/>
  <c r="D50" i="73"/>
  <c r="D50" i="81"/>
  <c r="D50" i="123"/>
  <c r="D52" i="76"/>
  <c r="D51" i="86"/>
  <c r="M10" i="3"/>
  <c r="O10" i="3" s="1"/>
  <c r="V187" i="7"/>
  <c r="S18" i="7"/>
  <c r="AC18" i="7"/>
  <c r="V134" i="7"/>
  <c r="D51" i="71"/>
  <c r="M24" i="3"/>
  <c r="O24" i="3" s="1"/>
  <c r="E51" i="71" s="1"/>
  <c r="G51" i="71" s="1"/>
  <c r="V96" i="7"/>
  <c r="V190" i="7"/>
  <c r="V114" i="7"/>
  <c r="G63" i="147"/>
  <c r="G65" i="147" s="1"/>
  <c r="F78" i="7" s="1"/>
  <c r="H78" i="7" s="1"/>
  <c r="R22" i="7"/>
  <c r="AD22" i="7"/>
  <c r="V131" i="7"/>
  <c r="V211" i="7"/>
  <c r="D50" i="126"/>
  <c r="D51" i="121"/>
  <c r="D51" i="124"/>
  <c r="D51" i="123"/>
  <c r="D51" i="122"/>
  <c r="D51" i="125"/>
  <c r="D52" i="127"/>
  <c r="D52" i="81"/>
  <c r="D51" i="79"/>
  <c r="D51" i="70"/>
  <c r="D53" i="97"/>
  <c r="D52" i="75"/>
  <c r="D52" i="82"/>
  <c r="D53" i="73"/>
  <c r="M11" i="3"/>
  <c r="O11" i="3" s="1"/>
  <c r="V196" i="7"/>
  <c r="V183" i="7"/>
  <c r="V212" i="7"/>
  <c r="V82" i="7"/>
  <c r="V108" i="7"/>
  <c r="V118" i="7"/>
  <c r="V85" i="7"/>
  <c r="V154" i="7"/>
  <c r="R24" i="7"/>
  <c r="AD24" i="7"/>
  <c r="V153" i="7"/>
  <c r="V90" i="7"/>
  <c r="V155" i="7"/>
  <c r="D52" i="133"/>
  <c r="D50" i="135"/>
  <c r="D52" i="104"/>
  <c r="D52" i="88"/>
  <c r="D52" i="86"/>
  <c r="D52" i="87"/>
  <c r="D50" i="70"/>
  <c r="D53" i="75"/>
  <c r="D50" i="79"/>
  <c r="D52" i="85"/>
  <c r="D54" i="73"/>
  <c r="D52" i="103"/>
  <c r="M6" i="3"/>
  <c r="O6" i="3" s="1"/>
  <c r="V86" i="7"/>
  <c r="V140" i="7"/>
  <c r="V119" i="7"/>
  <c r="D51" i="139"/>
  <c r="D50" i="129"/>
  <c r="D50" i="134"/>
  <c r="D50" i="128"/>
  <c r="D51" i="138"/>
  <c r="D50" i="97"/>
  <c r="D51" i="100"/>
  <c r="D51" i="137"/>
  <c r="D53" i="82"/>
  <c r="D50" i="90"/>
  <c r="D51" i="102"/>
  <c r="D52" i="98"/>
  <c r="D53" i="88"/>
  <c r="D53" i="81"/>
  <c r="D50" i="78"/>
  <c r="D52" i="99"/>
  <c r="D50" i="76"/>
  <c r="D52" i="79"/>
  <c r="D54" i="75"/>
  <c r="D52" i="72"/>
  <c r="D50" i="77"/>
  <c r="D51" i="74"/>
  <c r="D52" i="70"/>
  <c r="M22" i="3"/>
  <c r="O22" i="3" s="1"/>
  <c r="E51" i="140" s="1"/>
  <c r="G51" i="140" s="1"/>
  <c r="V127" i="7"/>
  <c r="V100" i="7"/>
  <c r="V145" i="7"/>
  <c r="D51" i="130"/>
  <c r="D50" i="137"/>
  <c r="D50" i="138"/>
  <c r="D50" i="133"/>
  <c r="D52" i="123"/>
  <c r="D52" i="122"/>
  <c r="D50" i="118"/>
  <c r="D52" i="128"/>
  <c r="D50" i="116"/>
  <c r="D50" i="139"/>
  <c r="D52" i="125"/>
  <c r="D50" i="119"/>
  <c r="D51" i="131"/>
  <c r="D50" i="117"/>
  <c r="D52" i="121"/>
  <c r="D52" i="134"/>
  <c r="D52" i="124"/>
  <c r="D51" i="95"/>
  <c r="D50" i="127"/>
  <c r="D51" i="80"/>
  <c r="D52" i="78"/>
  <c r="D51" i="90"/>
  <c r="D52" i="129"/>
  <c r="D50" i="87"/>
  <c r="D51" i="83"/>
  <c r="D51" i="96"/>
  <c r="D50" i="88"/>
  <c r="D51" i="84"/>
  <c r="D50" i="103"/>
  <c r="D51" i="98"/>
  <c r="D51" i="82"/>
  <c r="D51" i="99"/>
  <c r="D50" i="85"/>
  <c r="D51" i="76"/>
  <c r="D51" i="73"/>
  <c r="D51" i="81"/>
  <c r="D50" i="89"/>
  <c r="D50" i="104"/>
  <c r="D51" i="77"/>
  <c r="D53" i="72"/>
  <c r="D50" i="86"/>
  <c r="D52" i="74"/>
  <c r="D51" i="75"/>
  <c r="M5" i="3"/>
  <c r="O5" i="3" s="1"/>
  <c r="E51" i="132" s="1"/>
  <c r="G51" i="132" s="1"/>
  <c r="V149" i="7"/>
  <c r="V200" i="7"/>
  <c r="V129" i="7"/>
  <c r="V121" i="7"/>
  <c r="V106" i="7"/>
  <c r="V188" i="7"/>
  <c r="V210" i="7"/>
  <c r="V125" i="7"/>
  <c r="V185" i="7"/>
  <c r="D50" i="72"/>
  <c r="M23" i="3"/>
  <c r="O23" i="3" s="1"/>
  <c r="E50" i="72" s="1"/>
  <c r="G50" i="72" s="1"/>
  <c r="V197" i="7"/>
  <c r="V111" i="7"/>
  <c r="V203" i="7"/>
  <c r="V120" i="7"/>
  <c r="V104" i="7"/>
  <c r="G55" i="140" l="1"/>
  <c r="AD57" i="7"/>
  <c r="E52" i="116"/>
  <c r="G52" i="116" s="1"/>
  <c r="E52" i="126"/>
  <c r="G52" i="126" s="1"/>
  <c r="E54" i="72"/>
  <c r="G54" i="72" s="1"/>
  <c r="E51" i="91"/>
  <c r="G51" i="91" s="1"/>
  <c r="E51" i="92"/>
  <c r="G51" i="92" s="1"/>
  <c r="E50" i="132"/>
  <c r="G50" i="132" s="1"/>
  <c r="E53" i="126"/>
  <c r="E50" i="91"/>
  <c r="G50" i="91" s="1"/>
  <c r="E50" i="92"/>
  <c r="G50" i="92" s="1"/>
  <c r="E54" i="126"/>
  <c r="E52" i="117"/>
  <c r="G52" i="117" s="1"/>
  <c r="E53" i="142"/>
  <c r="G53" i="142" s="1"/>
  <c r="E53" i="141"/>
  <c r="G53" i="141" s="1"/>
  <c r="E53" i="143"/>
  <c r="G53" i="143" s="1"/>
  <c r="E52" i="132"/>
  <c r="G52" i="132" s="1"/>
  <c r="E53" i="134"/>
  <c r="G53" i="134" s="1"/>
  <c r="E52" i="119"/>
  <c r="G52" i="119" s="1"/>
  <c r="E52" i="130"/>
  <c r="G52" i="130" s="1"/>
  <c r="E53" i="121"/>
  <c r="G53" i="121" s="1"/>
  <c r="E53" i="125"/>
  <c r="G53" i="125" s="1"/>
  <c r="E53" i="99"/>
  <c r="G53" i="99" s="1"/>
  <c r="E52" i="83"/>
  <c r="G52" i="83" s="1"/>
  <c r="E53" i="122"/>
  <c r="G53" i="122" s="1"/>
  <c r="E52" i="84"/>
  <c r="G52" i="84" s="1"/>
  <c r="E52" i="80"/>
  <c r="G52" i="80" s="1"/>
  <c r="E52" i="131"/>
  <c r="G52" i="131" s="1"/>
  <c r="E53" i="124"/>
  <c r="G53" i="124" s="1"/>
  <c r="E54" i="82"/>
  <c r="G54" i="82" s="1"/>
  <c r="E53" i="123"/>
  <c r="G53" i="123" s="1"/>
  <c r="E53" i="98"/>
  <c r="G53" i="98" s="1"/>
  <c r="E53" i="86"/>
  <c r="G53" i="86" s="1"/>
  <c r="E54" i="88"/>
  <c r="G54" i="88" s="1"/>
  <c r="E53" i="87"/>
  <c r="E53" i="85"/>
  <c r="G53" i="85" s="1"/>
  <c r="E50" i="94"/>
  <c r="G50" i="94" s="1"/>
  <c r="G55" i="94" s="1"/>
  <c r="G57" i="94" s="1"/>
  <c r="E50" i="141"/>
  <c r="G50" i="141" s="1"/>
  <c r="E50" i="142"/>
  <c r="G50" i="142" s="1"/>
  <c r="E50" i="143"/>
  <c r="G50" i="143" s="1"/>
  <c r="E51" i="142"/>
  <c r="G51" i="142" s="1"/>
  <c r="E51" i="143"/>
  <c r="G51" i="143" s="1"/>
  <c r="E51" i="141"/>
  <c r="G51" i="141" s="1"/>
  <c r="E52" i="143"/>
  <c r="G52" i="143" s="1"/>
  <c r="E52" i="141"/>
  <c r="G52" i="141" s="1"/>
  <c r="E52" i="142"/>
  <c r="G52" i="142" s="1"/>
  <c r="E50" i="105"/>
  <c r="G50" i="105" s="1"/>
  <c r="G35" i="158"/>
  <c r="C72" i="158" s="1"/>
  <c r="AJ35" i="158"/>
  <c r="C75" i="158" s="1"/>
  <c r="F75" i="158" s="1"/>
  <c r="Q35" i="158"/>
  <c r="C73" i="158" s="1"/>
  <c r="F73" i="158" s="1"/>
  <c r="AA35" i="158"/>
  <c r="C74" i="158" s="1"/>
  <c r="F74" i="158" s="1"/>
  <c r="E50" i="120"/>
  <c r="G50" i="120" s="1"/>
  <c r="E50" i="102"/>
  <c r="G50" i="102" s="1"/>
  <c r="E50" i="107"/>
  <c r="G50" i="107" s="1"/>
  <c r="E50" i="93"/>
  <c r="G50" i="93" s="1"/>
  <c r="G55" i="93" s="1"/>
  <c r="G57" i="93" s="1"/>
  <c r="E50" i="108"/>
  <c r="G50" i="108" s="1"/>
  <c r="E50" i="110"/>
  <c r="G50" i="110" s="1"/>
  <c r="E50" i="136"/>
  <c r="G50" i="136" s="1"/>
  <c r="E52" i="95"/>
  <c r="G52" i="95" s="1"/>
  <c r="E51" i="97"/>
  <c r="G51" i="97" s="1"/>
  <c r="E50" i="100"/>
  <c r="G50" i="100" s="1"/>
  <c r="E50" i="109"/>
  <c r="G50" i="109" s="1"/>
  <c r="E51" i="115"/>
  <c r="G51" i="115" s="1"/>
  <c r="AC6" i="7"/>
  <c r="M6" i="7"/>
  <c r="R6" i="7" s="1"/>
  <c r="AD15" i="7"/>
  <c r="AA31" i="157"/>
  <c r="C69" i="157" s="1"/>
  <c r="F69" i="157" s="1"/>
  <c r="G31" i="157"/>
  <c r="C67" i="157" s="1"/>
  <c r="F67" i="157" s="1"/>
  <c r="Q35" i="6"/>
  <c r="C73" i="6" s="1"/>
  <c r="F73" i="6" s="1"/>
  <c r="G35" i="6"/>
  <c r="C72" i="6" s="1"/>
  <c r="AJ35" i="6"/>
  <c r="C75" i="6" s="1"/>
  <c r="F75" i="6" s="1"/>
  <c r="AA35" i="6"/>
  <c r="C74" i="6" s="1"/>
  <c r="F74" i="6" s="1"/>
  <c r="AJ31" i="157"/>
  <c r="C70" i="157" s="1"/>
  <c r="F70" i="157" s="1"/>
  <c r="Q31" i="157"/>
  <c r="C68" i="157" s="1"/>
  <c r="F68" i="157" s="1"/>
  <c r="R56" i="7"/>
  <c r="R39" i="7"/>
  <c r="R54" i="7"/>
  <c r="R52" i="7"/>
  <c r="R55" i="7"/>
  <c r="R53" i="7"/>
  <c r="AD9" i="7"/>
  <c r="R11" i="7"/>
  <c r="R18" i="7"/>
  <c r="R8" i="7"/>
  <c r="Y16" i="7"/>
  <c r="Y37" i="7"/>
  <c r="Y61" i="7"/>
  <c r="Y8" i="7"/>
  <c r="Y30" i="7"/>
  <c r="Y12" i="7"/>
  <c r="Y63" i="7"/>
  <c r="Y33" i="7"/>
  <c r="Y21" i="7"/>
  <c r="Y28" i="7"/>
  <c r="Y40" i="7"/>
  <c r="Y82" i="7"/>
  <c r="Y68" i="7"/>
  <c r="Y23" i="7"/>
  <c r="Y83" i="7"/>
  <c r="Y9" i="7"/>
  <c r="Y77" i="7"/>
  <c r="Y79" i="7"/>
  <c r="Y70" i="7"/>
  <c r="Y14" i="7"/>
  <c r="Y80" i="7"/>
  <c r="Y44" i="7"/>
  <c r="Y65" i="7"/>
  <c r="Y60" i="7"/>
  <c r="Y27" i="7"/>
  <c r="Y26" i="7"/>
  <c r="Y42" i="7"/>
  <c r="Y11" i="7"/>
  <c r="Y75" i="7"/>
  <c r="Y50" i="7"/>
  <c r="Y20" i="7"/>
  <c r="Y51" i="7"/>
  <c r="Y47" i="7"/>
  <c r="Y10" i="7"/>
  <c r="Y74" i="7"/>
  <c r="Y71" i="7"/>
  <c r="Y35" i="7"/>
  <c r="Y73" i="7"/>
  <c r="Y76" i="7"/>
  <c r="Y43" i="7"/>
  <c r="Y59" i="7"/>
  <c r="Y15" i="7"/>
  <c r="Y78" i="7"/>
  <c r="Y72" i="7"/>
  <c r="Y36" i="7"/>
  <c r="Y13" i="7"/>
  <c r="Y7" i="7"/>
  <c r="Y52" i="7"/>
  <c r="Y56" i="7"/>
  <c r="Y32" i="7"/>
  <c r="Y119" i="7"/>
  <c r="Y140" i="7"/>
  <c r="Y213" i="7"/>
  <c r="Y151" i="7"/>
  <c r="Y86" i="7"/>
  <c r="Y155" i="7"/>
  <c r="Y48" i="7"/>
  <c r="Y98" i="7"/>
  <c r="Y67" i="7"/>
  <c r="Y90" i="7"/>
  <c r="Y130" i="7"/>
  <c r="Y139" i="7"/>
  <c r="Y153" i="7"/>
  <c r="Y200" i="7"/>
  <c r="Y85" i="7"/>
  <c r="Y171" i="7"/>
  <c r="Y88" i="7"/>
  <c r="Y53" i="7"/>
  <c r="Y156" i="7"/>
  <c r="Y198" i="7"/>
  <c r="Y135" i="7"/>
  <c r="Y108" i="7"/>
  <c r="Y45" i="7"/>
  <c r="Y100" i="7"/>
  <c r="Y110" i="7"/>
  <c r="Y191" i="7"/>
  <c r="Y137" i="7"/>
  <c r="Y157" i="7"/>
  <c r="Y147" i="7"/>
  <c r="Y102" i="7"/>
  <c r="Y29" i="7"/>
  <c r="Y111" i="7"/>
  <c r="Y31" i="7"/>
  <c r="Y212" i="7"/>
  <c r="Y183" i="7"/>
  <c r="Y196" i="7"/>
  <c r="Y93" i="7"/>
  <c r="Y58" i="7"/>
  <c r="Y211" i="7"/>
  <c r="Y131" i="7"/>
  <c r="Y101" i="7"/>
  <c r="Y188" i="7"/>
  <c r="Y170" i="7"/>
  <c r="Y19" i="7"/>
  <c r="Y204" i="7"/>
  <c r="Y145" i="7"/>
  <c r="Y95" i="7"/>
  <c r="Y182" i="7"/>
  <c r="Y66" i="7"/>
  <c r="Y122" i="7"/>
  <c r="Y107" i="7"/>
  <c r="Y134" i="7"/>
  <c r="Y195" i="7"/>
  <c r="Y115" i="7"/>
  <c r="Y187" i="7"/>
  <c r="Y81" i="7"/>
  <c r="Y176" i="7"/>
  <c r="Y146" i="7"/>
  <c r="Y154" i="7"/>
  <c r="Y6" i="7"/>
  <c r="Y114" i="7"/>
  <c r="Y149" i="7"/>
  <c r="Y190" i="7"/>
  <c r="Y124" i="7"/>
  <c r="Y118" i="7"/>
  <c r="Y96" i="7"/>
  <c r="Y201" i="7"/>
  <c r="Y193" i="7"/>
  <c r="Y165" i="7"/>
  <c r="Y179" i="7"/>
  <c r="Y141" i="7"/>
  <c r="Y189" i="7"/>
  <c r="Y180" i="7"/>
  <c r="Y106" i="7"/>
  <c r="Y138" i="7"/>
  <c r="Y202" i="7"/>
  <c r="Y178" i="7"/>
  <c r="Y128" i="7"/>
  <c r="Y103" i="7"/>
  <c r="Y166" i="7"/>
  <c r="Y208" i="7"/>
  <c r="Y142" i="7"/>
  <c r="Y160" i="7"/>
  <c r="Y207" i="7"/>
  <c r="Y148" i="7"/>
  <c r="Y64" i="7"/>
  <c r="Y206" i="7"/>
  <c r="Y214" i="7"/>
  <c r="Y113" i="7"/>
  <c r="Y168" i="7"/>
  <c r="Y87" i="7"/>
  <c r="Y39" i="7"/>
  <c r="Y132" i="7"/>
  <c r="Y94" i="7"/>
  <c r="Y203" i="7"/>
  <c r="Y197" i="7"/>
  <c r="Y125" i="7"/>
  <c r="Y129" i="7"/>
  <c r="Y112" i="7"/>
  <c r="Y181" i="7"/>
  <c r="Y109" i="7"/>
  <c r="Y162" i="7"/>
  <c r="Y174" i="7"/>
  <c r="Y167" i="7"/>
  <c r="Y91" i="7"/>
  <c r="Y194" i="7"/>
  <c r="Y97" i="7"/>
  <c r="Y209" i="7"/>
  <c r="Y38" i="7"/>
  <c r="Y205" i="7"/>
  <c r="Y89" i="7"/>
  <c r="Y175" i="7"/>
  <c r="Y54" i="7"/>
  <c r="Y159" i="7"/>
  <c r="Y84" i="7"/>
  <c r="Y92" i="7"/>
  <c r="Y117" i="7"/>
  <c r="Y127" i="7"/>
  <c r="Y69" i="7"/>
  <c r="Y17" i="7"/>
  <c r="Y185" i="7"/>
  <c r="Y99" i="7"/>
  <c r="Y169" i="7"/>
  <c r="Y150" i="7"/>
  <c r="Y24" i="7"/>
  <c r="Y136" i="7"/>
  <c r="Y164" i="7"/>
  <c r="Y55" i="7"/>
  <c r="Y152" i="7"/>
  <c r="Y158" i="7"/>
  <c r="Y199" i="7"/>
  <c r="Y144" i="7"/>
  <c r="Y104" i="7"/>
  <c r="Y210" i="7"/>
  <c r="Y121" i="7"/>
  <c r="Y177" i="7"/>
  <c r="Y123" i="7"/>
  <c r="Y161" i="7"/>
  <c r="Y18" i="7"/>
  <c r="Y172" i="7"/>
  <c r="Y163" i="7"/>
  <c r="Y57" i="7"/>
  <c r="Y133" i="7"/>
  <c r="Y126" i="7"/>
  <c r="Y49" i="7"/>
  <c r="Y173" i="7"/>
  <c r="Y116" i="7"/>
  <c r="Y215" i="7"/>
  <c r="Y105" i="7"/>
  <c r="Y192" i="7"/>
  <c r="Y62" i="7"/>
  <c r="Y143" i="7"/>
  <c r="Y184" i="7"/>
  <c r="Y186" i="7"/>
  <c r="Y120" i="7"/>
  <c r="Y46" i="7"/>
  <c r="Y22" i="7"/>
  <c r="E52" i="128"/>
  <c r="G52" i="128" s="1"/>
  <c r="E50" i="139"/>
  <c r="G50" i="139" s="1"/>
  <c r="E50" i="137"/>
  <c r="G50" i="137" s="1"/>
  <c r="E52" i="129"/>
  <c r="G52" i="129" s="1"/>
  <c r="E52" i="123"/>
  <c r="G52" i="123" s="1"/>
  <c r="E52" i="122"/>
  <c r="G52" i="122" s="1"/>
  <c r="E50" i="118"/>
  <c r="G50" i="118" s="1"/>
  <c r="E50" i="138"/>
  <c r="G50" i="138" s="1"/>
  <c r="E50" i="116"/>
  <c r="G50" i="116" s="1"/>
  <c r="E52" i="125"/>
  <c r="G52" i="125" s="1"/>
  <c r="E52" i="121"/>
  <c r="G52" i="121" s="1"/>
  <c r="E52" i="134"/>
  <c r="G52" i="134" s="1"/>
  <c r="E52" i="124"/>
  <c r="G52" i="124" s="1"/>
  <c r="E50" i="103"/>
  <c r="G50" i="103" s="1"/>
  <c r="E51" i="98"/>
  <c r="G51" i="98" s="1"/>
  <c r="E50" i="127"/>
  <c r="G50" i="127" s="1"/>
  <c r="E51" i="130"/>
  <c r="G51" i="130" s="1"/>
  <c r="E51" i="90"/>
  <c r="G51" i="90" s="1"/>
  <c r="E50" i="87"/>
  <c r="G50" i="87" s="1"/>
  <c r="E51" i="83"/>
  <c r="G51" i="83" s="1"/>
  <c r="E50" i="85"/>
  <c r="G50" i="85" s="1"/>
  <c r="E51" i="96"/>
  <c r="G51" i="96" s="1"/>
  <c r="E51" i="95"/>
  <c r="G51" i="95" s="1"/>
  <c r="E50" i="86"/>
  <c r="G50" i="86" s="1"/>
  <c r="E50" i="133"/>
  <c r="G50" i="133" s="1"/>
  <c r="E51" i="82"/>
  <c r="G51" i="82" s="1"/>
  <c r="E50" i="119"/>
  <c r="G50" i="119" s="1"/>
  <c r="E51" i="99"/>
  <c r="G51" i="99" s="1"/>
  <c r="E51" i="76"/>
  <c r="G51" i="76" s="1"/>
  <c r="E51" i="80"/>
  <c r="G51" i="80" s="1"/>
  <c r="E51" i="73"/>
  <c r="G51" i="73" s="1"/>
  <c r="E51" i="81"/>
  <c r="G51" i="81" s="1"/>
  <c r="E50" i="89"/>
  <c r="G50" i="89" s="1"/>
  <c r="E52" i="74"/>
  <c r="G52" i="74" s="1"/>
  <c r="E50" i="88"/>
  <c r="G50" i="88" s="1"/>
  <c r="E51" i="131"/>
  <c r="G51" i="131" s="1"/>
  <c r="E50" i="117"/>
  <c r="G50" i="117" s="1"/>
  <c r="E51" i="77"/>
  <c r="G51" i="77" s="1"/>
  <c r="E53" i="72"/>
  <c r="G53" i="72" s="1"/>
  <c r="E51" i="84"/>
  <c r="G51" i="84" s="1"/>
  <c r="E50" i="104"/>
  <c r="G50" i="104" s="1"/>
  <c r="E52" i="78"/>
  <c r="G52" i="78" s="1"/>
  <c r="E51" i="75"/>
  <c r="G51" i="75" s="1"/>
  <c r="E52" i="133"/>
  <c r="G52" i="133" s="1"/>
  <c r="E52" i="104"/>
  <c r="G52" i="104" s="1"/>
  <c r="E52" i="86"/>
  <c r="G52" i="86" s="1"/>
  <c r="E52" i="103"/>
  <c r="G52" i="103" s="1"/>
  <c r="E52" i="87"/>
  <c r="G52" i="87" s="1"/>
  <c r="E50" i="135"/>
  <c r="G50" i="135" s="1"/>
  <c r="E53" i="75"/>
  <c r="G53" i="75" s="1"/>
  <c r="E52" i="88"/>
  <c r="G52" i="88" s="1"/>
  <c r="E50" i="79"/>
  <c r="G50" i="79" s="1"/>
  <c r="E52" i="85"/>
  <c r="G52" i="85" s="1"/>
  <c r="E54" i="73"/>
  <c r="G54" i="73" s="1"/>
  <c r="E50" i="70"/>
  <c r="G50" i="70" s="1"/>
  <c r="E51" i="137"/>
  <c r="G51" i="137" s="1"/>
  <c r="E51" i="138"/>
  <c r="G51" i="138" s="1"/>
  <c r="E50" i="134"/>
  <c r="G50" i="134" s="1"/>
  <c r="E50" i="129"/>
  <c r="G50" i="129" s="1"/>
  <c r="E51" i="139"/>
  <c r="G51" i="139" s="1"/>
  <c r="E52" i="98"/>
  <c r="G52" i="98" s="1"/>
  <c r="E51" i="100"/>
  <c r="G51" i="100" s="1"/>
  <c r="E50" i="97"/>
  <c r="G50" i="97" s="1"/>
  <c r="E50" i="90"/>
  <c r="G50" i="90" s="1"/>
  <c r="E51" i="102"/>
  <c r="G51" i="102" s="1"/>
  <c r="E52" i="99"/>
  <c r="G52" i="99" s="1"/>
  <c r="E50" i="78"/>
  <c r="G50" i="78" s="1"/>
  <c r="E50" i="76"/>
  <c r="G50" i="76" s="1"/>
  <c r="E52" i="79"/>
  <c r="G52" i="79" s="1"/>
  <c r="E53" i="81"/>
  <c r="G53" i="81" s="1"/>
  <c r="E50" i="77"/>
  <c r="G50" i="77" s="1"/>
  <c r="E52" i="72"/>
  <c r="G52" i="72" s="1"/>
  <c r="E54" i="75"/>
  <c r="G54" i="75" s="1"/>
  <c r="E53" i="88"/>
  <c r="G53" i="88" s="1"/>
  <c r="E50" i="128"/>
  <c r="G50" i="128" s="1"/>
  <c r="E53" i="82"/>
  <c r="G53" i="82" s="1"/>
  <c r="E52" i="70"/>
  <c r="G52" i="70" s="1"/>
  <c r="E51" i="74"/>
  <c r="G51" i="74" s="1"/>
  <c r="E51" i="134"/>
  <c r="G51" i="134" s="1"/>
  <c r="E50" i="124"/>
  <c r="G50" i="124" s="1"/>
  <c r="E51" i="128"/>
  <c r="G51" i="128" s="1"/>
  <c r="E51" i="135"/>
  <c r="G51" i="135" s="1"/>
  <c r="E50" i="125"/>
  <c r="G50" i="125" s="1"/>
  <c r="E50" i="130"/>
  <c r="G50" i="130" s="1"/>
  <c r="E51" i="133"/>
  <c r="G51" i="133" s="1"/>
  <c r="E51" i="126"/>
  <c r="E51" i="108"/>
  <c r="G51" i="108" s="1"/>
  <c r="E50" i="121"/>
  <c r="G50" i="121" s="1"/>
  <c r="E51" i="119"/>
  <c r="G51" i="119" s="1"/>
  <c r="E51" i="117"/>
  <c r="G51" i="117" s="1"/>
  <c r="E50" i="123"/>
  <c r="G50" i="123" s="1"/>
  <c r="E50" i="122"/>
  <c r="G50" i="122" s="1"/>
  <c r="E51" i="120"/>
  <c r="G51" i="120" s="1"/>
  <c r="E50" i="115"/>
  <c r="G50" i="115" s="1"/>
  <c r="E50" i="131"/>
  <c r="G50" i="131" s="1"/>
  <c r="E51" i="110"/>
  <c r="G51" i="110" s="1"/>
  <c r="E50" i="99"/>
  <c r="G50" i="99" s="1"/>
  <c r="E51" i="103"/>
  <c r="G51" i="103" s="1"/>
  <c r="E51" i="136"/>
  <c r="G51" i="136" s="1"/>
  <c r="E51" i="127"/>
  <c r="G51" i="127" s="1"/>
  <c r="E51" i="116"/>
  <c r="G51" i="116" s="1"/>
  <c r="E51" i="107"/>
  <c r="G51" i="107" s="1"/>
  <c r="E51" i="105"/>
  <c r="G51" i="105" s="1"/>
  <c r="E51" i="109"/>
  <c r="G51" i="109" s="1"/>
  <c r="E50" i="106"/>
  <c r="G50" i="106" s="1"/>
  <c r="G55" i="106" s="1"/>
  <c r="E53" i="79"/>
  <c r="G53" i="79" s="1"/>
  <c r="E51" i="88"/>
  <c r="G51" i="88" s="1"/>
  <c r="E51" i="129"/>
  <c r="G51" i="129" s="1"/>
  <c r="E51" i="118"/>
  <c r="G51" i="118" s="1"/>
  <c r="E50" i="95"/>
  <c r="G50" i="95" s="1"/>
  <c r="E51" i="86"/>
  <c r="G51" i="86" s="1"/>
  <c r="E50" i="83"/>
  <c r="G50" i="83" s="1"/>
  <c r="E51" i="104"/>
  <c r="G51" i="104" s="1"/>
  <c r="E51" i="89"/>
  <c r="G51" i="89" s="1"/>
  <c r="E50" i="71"/>
  <c r="G50" i="71" s="1"/>
  <c r="G55" i="71" s="1"/>
  <c r="E50" i="84"/>
  <c r="G50" i="84" s="1"/>
  <c r="E51" i="72"/>
  <c r="G51" i="72" s="1"/>
  <c r="E52" i="77"/>
  <c r="G52" i="77" s="1"/>
  <c r="E53" i="70"/>
  <c r="G53" i="70" s="1"/>
  <c r="E50" i="82"/>
  <c r="G50" i="82" s="1"/>
  <c r="E50" i="80"/>
  <c r="G50" i="80" s="1"/>
  <c r="E50" i="81"/>
  <c r="G50" i="81" s="1"/>
  <c r="E51" i="78"/>
  <c r="G51" i="78" s="1"/>
  <c r="E50" i="75"/>
  <c r="G50" i="75" s="1"/>
  <c r="E52" i="73"/>
  <c r="G52" i="73" s="1"/>
  <c r="E50" i="73"/>
  <c r="G50" i="73" s="1"/>
  <c r="E50" i="98"/>
  <c r="G50" i="98" s="1"/>
  <c r="E50" i="96"/>
  <c r="G50" i="96" s="1"/>
  <c r="E51" i="85"/>
  <c r="G51" i="85" s="1"/>
  <c r="E52" i="76"/>
  <c r="G52" i="76" s="1"/>
  <c r="E51" i="87"/>
  <c r="G51" i="87" s="1"/>
  <c r="E52" i="97"/>
  <c r="G52" i="97" s="1"/>
  <c r="Y25" i="7"/>
  <c r="Y34" i="7"/>
  <c r="E51" i="124"/>
  <c r="G51" i="124" s="1"/>
  <c r="E51" i="123"/>
  <c r="G51" i="123" s="1"/>
  <c r="E51" i="122"/>
  <c r="G51" i="122" s="1"/>
  <c r="E52" i="127"/>
  <c r="G52" i="127" s="1"/>
  <c r="E51" i="125"/>
  <c r="G51" i="125" s="1"/>
  <c r="E50" i="126"/>
  <c r="G50" i="126" s="1"/>
  <c r="E51" i="121"/>
  <c r="G51" i="121" s="1"/>
  <c r="E52" i="81"/>
  <c r="G52" i="81" s="1"/>
  <c r="E53" i="97"/>
  <c r="G53" i="97" s="1"/>
  <c r="E51" i="70"/>
  <c r="G51" i="70" s="1"/>
  <c r="E52" i="75"/>
  <c r="G52" i="75" s="1"/>
  <c r="E51" i="79"/>
  <c r="G51" i="79" s="1"/>
  <c r="E52" i="82"/>
  <c r="G52" i="82" s="1"/>
  <c r="E53" i="73"/>
  <c r="G53" i="73" s="1"/>
  <c r="S216" i="7"/>
  <c r="X18" i="7" s="1"/>
  <c r="G55" i="92" l="1"/>
  <c r="G57" i="92" s="1"/>
  <c r="G55" i="91"/>
  <c r="G55" i="132"/>
  <c r="G51" i="126"/>
  <c r="G55" i="126" s="1"/>
  <c r="G57" i="126" s="1"/>
  <c r="I41" i="126"/>
  <c r="I42" i="126" s="1"/>
  <c r="G55" i="136"/>
  <c r="G57" i="136" s="1"/>
  <c r="G55" i="120"/>
  <c r="G57" i="120" s="1"/>
  <c r="P71" i="7"/>
  <c r="AE71" i="7" s="1"/>
  <c r="G55" i="102"/>
  <c r="G57" i="102" s="1"/>
  <c r="G55" i="110"/>
  <c r="G57" i="110" s="1"/>
  <c r="G55" i="107"/>
  <c r="G57" i="107" s="1"/>
  <c r="G55" i="105"/>
  <c r="G57" i="105" s="1"/>
  <c r="G55" i="143"/>
  <c r="G55" i="142"/>
  <c r="G55" i="141"/>
  <c r="F72" i="158"/>
  <c r="F90" i="158" s="1"/>
  <c r="C90" i="158"/>
  <c r="P29" i="7"/>
  <c r="U29" i="7" s="1"/>
  <c r="G55" i="108"/>
  <c r="G57" i="108" s="1"/>
  <c r="G55" i="115"/>
  <c r="G57" i="115" s="1"/>
  <c r="G55" i="109"/>
  <c r="G57" i="109" s="1"/>
  <c r="G55" i="100"/>
  <c r="G57" i="100" s="1"/>
  <c r="P30" i="7"/>
  <c r="AE30" i="7" s="1"/>
  <c r="AD6" i="7"/>
  <c r="C85" i="157"/>
  <c r="F85" i="157"/>
  <c r="F72" i="6"/>
  <c r="F90" i="6" s="1"/>
  <c r="C90" i="6"/>
  <c r="R216" i="7"/>
  <c r="W8" i="7" s="1"/>
  <c r="G55" i="80"/>
  <c r="G57" i="80" s="1"/>
  <c r="G55" i="131"/>
  <c r="P62" i="7" s="1"/>
  <c r="G55" i="95"/>
  <c r="G57" i="95" s="1"/>
  <c r="G56" i="87"/>
  <c r="G58" i="87" s="1"/>
  <c r="G55" i="116"/>
  <c r="P47" i="7" s="1"/>
  <c r="G55" i="99"/>
  <c r="G57" i="99" s="1"/>
  <c r="G55" i="133"/>
  <c r="G57" i="133" s="1"/>
  <c r="G55" i="98"/>
  <c r="G57" i="98" s="1"/>
  <c r="G55" i="97"/>
  <c r="G57" i="97" s="1"/>
  <c r="G55" i="90"/>
  <c r="G57" i="90" s="1"/>
  <c r="G56" i="74"/>
  <c r="P10" i="7" s="1"/>
  <c r="G55" i="104"/>
  <c r="G57" i="104" s="1"/>
  <c r="G55" i="124"/>
  <c r="G57" i="124" s="1"/>
  <c r="G55" i="83"/>
  <c r="G57" i="83" s="1"/>
  <c r="G55" i="117"/>
  <c r="P48" i="7" s="1"/>
  <c r="G55" i="135"/>
  <c r="P66" i="7" s="1"/>
  <c r="G55" i="73"/>
  <c r="G57" i="73" s="1"/>
  <c r="G56" i="72"/>
  <c r="G58" i="72" s="1"/>
  <c r="G55" i="130"/>
  <c r="P61" i="7" s="1"/>
  <c r="G55" i="103"/>
  <c r="P38" i="7" s="1"/>
  <c r="G55" i="77"/>
  <c r="P13" i="7" s="1"/>
  <c r="G55" i="119"/>
  <c r="G57" i="119" s="1"/>
  <c r="G55" i="122"/>
  <c r="G55" i="76"/>
  <c r="G55" i="79"/>
  <c r="G56" i="70"/>
  <c r="G55" i="81"/>
  <c r="G55" i="123"/>
  <c r="G55" i="78"/>
  <c r="G55" i="86"/>
  <c r="X71" i="7"/>
  <c r="X60" i="7"/>
  <c r="X16" i="7"/>
  <c r="X31" i="7"/>
  <c r="X84" i="7"/>
  <c r="X72" i="7"/>
  <c r="X40" i="7"/>
  <c r="X33" i="7"/>
  <c r="X51" i="7"/>
  <c r="X81" i="7"/>
  <c r="X35" i="7"/>
  <c r="X74" i="7"/>
  <c r="X61" i="7"/>
  <c r="X80" i="7"/>
  <c r="X59" i="7"/>
  <c r="X75" i="7"/>
  <c r="X24" i="7"/>
  <c r="X12" i="7"/>
  <c r="X67" i="7"/>
  <c r="X26" i="7"/>
  <c r="X65" i="7"/>
  <c r="X49" i="7"/>
  <c r="X76" i="7"/>
  <c r="X82" i="7"/>
  <c r="X10" i="7"/>
  <c r="X70" i="7"/>
  <c r="X42" i="7"/>
  <c r="X52" i="7"/>
  <c r="X44" i="7"/>
  <c r="X78" i="7"/>
  <c r="X63" i="7"/>
  <c r="X110" i="7"/>
  <c r="X177" i="7"/>
  <c r="X136" i="7"/>
  <c r="X195" i="7"/>
  <c r="X214" i="7"/>
  <c r="X54" i="7"/>
  <c r="X156" i="7"/>
  <c r="X188" i="7"/>
  <c r="X57" i="7"/>
  <c r="X39" i="7"/>
  <c r="X73" i="7"/>
  <c r="X160" i="7"/>
  <c r="X128" i="7"/>
  <c r="X162" i="7"/>
  <c r="X167" i="7"/>
  <c r="X20" i="7"/>
  <c r="X150" i="7"/>
  <c r="X146" i="7"/>
  <c r="X205" i="7"/>
  <c r="X168" i="7"/>
  <c r="X27" i="7"/>
  <c r="X133" i="7"/>
  <c r="X200" i="7"/>
  <c r="X209" i="7"/>
  <c r="X79" i="7"/>
  <c r="X210" i="7"/>
  <c r="X102" i="7"/>
  <c r="X208" i="7"/>
  <c r="X58" i="7"/>
  <c r="X25" i="7"/>
  <c r="X15" i="7"/>
  <c r="X127" i="7"/>
  <c r="X199" i="7"/>
  <c r="X88" i="7"/>
  <c r="X106" i="7"/>
  <c r="X163" i="7"/>
  <c r="X182" i="7"/>
  <c r="X201" i="7"/>
  <c r="X186" i="7"/>
  <c r="X174" i="7"/>
  <c r="X169" i="7"/>
  <c r="X115" i="7"/>
  <c r="X164" i="7"/>
  <c r="X207" i="7"/>
  <c r="X95" i="7"/>
  <c r="X118" i="7"/>
  <c r="X28" i="7"/>
  <c r="X43" i="7"/>
  <c r="X121" i="7"/>
  <c r="X141" i="7"/>
  <c r="X94" i="7"/>
  <c r="X132" i="7"/>
  <c r="X108" i="7"/>
  <c r="X175" i="7"/>
  <c r="X124" i="7"/>
  <c r="X77" i="7"/>
  <c r="X32" i="7"/>
  <c r="X89" i="7"/>
  <c r="X138" i="7"/>
  <c r="X130" i="7"/>
  <c r="X45" i="7"/>
  <c r="X176" i="7"/>
  <c r="X165" i="7"/>
  <c r="X179" i="7"/>
  <c r="X215" i="7"/>
  <c r="X68" i="7"/>
  <c r="X206" i="7"/>
  <c r="X187" i="7"/>
  <c r="X144" i="7"/>
  <c r="X105" i="7"/>
  <c r="X116" i="7"/>
  <c r="X139" i="7"/>
  <c r="X83" i="7"/>
  <c r="X104" i="7"/>
  <c r="X181" i="7"/>
  <c r="X173" i="7"/>
  <c r="X157" i="7"/>
  <c r="X107" i="7"/>
  <c r="X111" i="7"/>
  <c r="X120" i="7"/>
  <c r="X131" i="7"/>
  <c r="X178" i="7"/>
  <c r="X98" i="7"/>
  <c r="X153" i="7"/>
  <c r="X196" i="7"/>
  <c r="X166" i="7"/>
  <c r="X147" i="7"/>
  <c r="X91" i="7"/>
  <c r="X117" i="7"/>
  <c r="X197" i="7"/>
  <c r="X193" i="7"/>
  <c r="X149" i="7"/>
  <c r="X114" i="7"/>
  <c r="X69" i="7"/>
  <c r="X140" i="7"/>
  <c r="X185" i="7"/>
  <c r="X21" i="7"/>
  <c r="X142" i="7"/>
  <c r="X46" i="7"/>
  <c r="X30" i="7"/>
  <c r="X109" i="7"/>
  <c r="X126" i="7"/>
  <c r="X86" i="7"/>
  <c r="X103" i="7"/>
  <c r="X154" i="7"/>
  <c r="X101" i="7"/>
  <c r="X137" i="7"/>
  <c r="X113" i="7"/>
  <c r="X148" i="7"/>
  <c r="X90" i="7"/>
  <c r="X184" i="7"/>
  <c r="X192" i="7"/>
  <c r="X129" i="7"/>
  <c r="X212" i="7"/>
  <c r="X152" i="7"/>
  <c r="X189" i="7"/>
  <c r="X85" i="7"/>
  <c r="X155" i="7"/>
  <c r="X202" i="7"/>
  <c r="X161" i="7"/>
  <c r="X97" i="7"/>
  <c r="X48" i="7"/>
  <c r="X171" i="7"/>
  <c r="X190" i="7"/>
  <c r="X172" i="7"/>
  <c r="X50" i="7"/>
  <c r="X151" i="7"/>
  <c r="X87" i="7"/>
  <c r="X100" i="7"/>
  <c r="X170" i="7"/>
  <c r="X203" i="7"/>
  <c r="X123" i="7"/>
  <c r="X213" i="7"/>
  <c r="X134" i="7"/>
  <c r="X119" i="7"/>
  <c r="X56" i="7"/>
  <c r="X92" i="7"/>
  <c r="X158" i="7"/>
  <c r="X143" i="7"/>
  <c r="X99" i="7"/>
  <c r="X183" i="7"/>
  <c r="X191" i="7"/>
  <c r="X145" i="7"/>
  <c r="X96" i="7"/>
  <c r="X122" i="7"/>
  <c r="X211" i="7"/>
  <c r="X159" i="7"/>
  <c r="X198" i="7"/>
  <c r="X180" i="7"/>
  <c r="X112" i="7"/>
  <c r="X8" i="7"/>
  <c r="X204" i="7"/>
  <c r="X93" i="7"/>
  <c r="X125" i="7"/>
  <c r="X194" i="7"/>
  <c r="X135" i="7"/>
  <c r="X66" i="7"/>
  <c r="X7" i="7"/>
  <c r="X14" i="7"/>
  <c r="X47" i="7"/>
  <c r="X23" i="7"/>
  <c r="X62" i="7"/>
  <c r="X22" i="7"/>
  <c r="X53" i="7"/>
  <c r="X36" i="7"/>
  <c r="X19" i="7"/>
  <c r="X34" i="7"/>
  <c r="X37" i="7"/>
  <c r="X64" i="7"/>
  <c r="X13" i="7"/>
  <c r="X6" i="7"/>
  <c r="X38" i="7"/>
  <c r="X41" i="7"/>
  <c r="X9" i="7"/>
  <c r="X29" i="7"/>
  <c r="X17" i="7"/>
  <c r="X11" i="7"/>
  <c r="X55" i="7"/>
  <c r="G55" i="82"/>
  <c r="G55" i="138"/>
  <c r="G55" i="75"/>
  <c r="G55" i="121"/>
  <c r="G55" i="88"/>
  <c r="G55" i="84"/>
  <c r="G55" i="89"/>
  <c r="G55" i="87"/>
  <c r="G55" i="137"/>
  <c r="G62" i="93"/>
  <c r="G61" i="93"/>
  <c r="G60" i="93"/>
  <c r="G57" i="106"/>
  <c r="P41" i="7"/>
  <c r="G57" i="71"/>
  <c r="P7" i="7"/>
  <c r="G55" i="118"/>
  <c r="G55" i="125"/>
  <c r="G55" i="128"/>
  <c r="G55" i="129"/>
  <c r="G55" i="139"/>
  <c r="G62" i="94"/>
  <c r="G61" i="94"/>
  <c r="G60" i="94"/>
  <c r="G55" i="85"/>
  <c r="G55" i="96"/>
  <c r="G55" i="134"/>
  <c r="G55" i="127"/>
  <c r="H91" i="6" l="1"/>
  <c r="G90" i="6"/>
  <c r="P51" i="7"/>
  <c r="U51" i="7" s="1"/>
  <c r="P67" i="7"/>
  <c r="U67" i="7" s="1"/>
  <c r="P37" i="7"/>
  <c r="U37" i="7" s="1"/>
  <c r="P42" i="7"/>
  <c r="U42" i="7" s="1"/>
  <c r="U71" i="7"/>
  <c r="V71" i="7" s="1"/>
  <c r="Q71" i="7"/>
  <c r="AB71" i="7" s="1"/>
  <c r="G57" i="140"/>
  <c r="G62" i="140" s="1"/>
  <c r="P45" i="7"/>
  <c r="U45" i="7" s="1"/>
  <c r="P40" i="7"/>
  <c r="AE40" i="7" s="1"/>
  <c r="U30" i="7"/>
  <c r="V30" i="7" s="1"/>
  <c r="Q30" i="7"/>
  <c r="AB30" i="7" s="1"/>
  <c r="Q29" i="7"/>
  <c r="AB29" i="7" s="1"/>
  <c r="AE29" i="7"/>
  <c r="P36" i="7"/>
  <c r="U36" i="7" s="1"/>
  <c r="P46" i="7"/>
  <c r="Q46" i="7" s="1"/>
  <c r="AB46" i="7" s="1"/>
  <c r="P72" i="7"/>
  <c r="G57" i="141"/>
  <c r="P73" i="7"/>
  <c r="G57" i="142"/>
  <c r="P74" i="7"/>
  <c r="G57" i="143"/>
  <c r="P43" i="7"/>
  <c r="U43" i="7" s="1"/>
  <c r="E116" i="158"/>
  <c r="H91" i="158"/>
  <c r="P44" i="7"/>
  <c r="AE44" i="7" s="1"/>
  <c r="P57" i="7"/>
  <c r="Q57" i="7" s="1"/>
  <c r="AB57" i="7" s="1"/>
  <c r="H86" i="157"/>
  <c r="E111" i="157"/>
  <c r="G111" i="157" s="1"/>
  <c r="W61" i="7"/>
  <c r="W69" i="7"/>
  <c r="W79" i="7"/>
  <c r="W51" i="7"/>
  <c r="W74" i="7"/>
  <c r="W57" i="7"/>
  <c r="W188" i="7"/>
  <c r="W60" i="7"/>
  <c r="W84" i="7"/>
  <c r="W16" i="7"/>
  <c r="W138" i="7"/>
  <c r="W137" i="7"/>
  <c r="W97" i="7"/>
  <c r="W132" i="7"/>
  <c r="W27" i="7"/>
  <c r="W87" i="7"/>
  <c r="W53" i="7"/>
  <c r="W111" i="7"/>
  <c r="W192" i="7"/>
  <c r="W26" i="7"/>
  <c r="W163" i="7"/>
  <c r="W211" i="7"/>
  <c r="W170" i="7"/>
  <c r="W113" i="7"/>
  <c r="W123" i="7"/>
  <c r="W210" i="7"/>
  <c r="W143" i="7"/>
  <c r="W82" i="7"/>
  <c r="W153" i="7"/>
  <c r="W120" i="7"/>
  <c r="W148" i="7"/>
  <c r="W6" i="7"/>
  <c r="W42" i="7"/>
  <c r="W99" i="7"/>
  <c r="W114" i="7"/>
  <c r="W64" i="7"/>
  <c r="W66" i="7"/>
  <c r="W174" i="7"/>
  <c r="W32" i="7"/>
  <c r="W135" i="7"/>
  <c r="W117" i="7"/>
  <c r="W146" i="7"/>
  <c r="W67" i="7"/>
  <c r="W213" i="7"/>
  <c r="W38" i="7"/>
  <c r="W150" i="7"/>
  <c r="W134" i="7"/>
  <c r="W39" i="7"/>
  <c r="W196" i="7"/>
  <c r="W142" i="7"/>
  <c r="W129" i="7"/>
  <c r="W28" i="7"/>
  <c r="W173" i="7"/>
  <c r="W186" i="7"/>
  <c r="W136" i="7"/>
  <c r="W25" i="7"/>
  <c r="W172" i="7"/>
  <c r="W89" i="7"/>
  <c r="W177" i="7"/>
  <c r="W58" i="7"/>
  <c r="W98" i="7"/>
  <c r="W131" i="7"/>
  <c r="W164" i="7"/>
  <c r="W104" i="7"/>
  <c r="W162" i="7"/>
  <c r="W76" i="7"/>
  <c r="W185" i="7"/>
  <c r="W63" i="7"/>
  <c r="W161" i="7"/>
  <c r="W20" i="7"/>
  <c r="W55" i="7"/>
  <c r="W182" i="7"/>
  <c r="W118" i="7"/>
  <c r="W191" i="7"/>
  <c r="W130" i="7"/>
  <c r="W10" i="7"/>
  <c r="W127" i="7"/>
  <c r="W75" i="7"/>
  <c r="W80" i="7"/>
  <c r="W29" i="7"/>
  <c r="W43" i="7"/>
  <c r="W92" i="7"/>
  <c r="W119" i="7"/>
  <c r="W155" i="7"/>
  <c r="W86" i="7"/>
  <c r="W145" i="7"/>
  <c r="W33" i="7"/>
  <c r="W72" i="7"/>
  <c r="W44" i="7"/>
  <c r="W7" i="7"/>
  <c r="W209" i="7"/>
  <c r="W103" i="7"/>
  <c r="W65" i="7"/>
  <c r="W50" i="7"/>
  <c r="W115" i="7"/>
  <c r="W187" i="7"/>
  <c r="W140" i="7"/>
  <c r="W203" i="7"/>
  <c r="W110" i="7"/>
  <c r="W21" i="7"/>
  <c r="W31" i="7"/>
  <c r="W23" i="7"/>
  <c r="W158" i="7"/>
  <c r="W195" i="7"/>
  <c r="W70" i="7"/>
  <c r="W34" i="7"/>
  <c r="W59" i="7"/>
  <c r="W156" i="7"/>
  <c r="W73" i="7"/>
  <c r="W15" i="7"/>
  <c r="W207" i="7"/>
  <c r="W102" i="7"/>
  <c r="W141" i="7"/>
  <c r="W122" i="7"/>
  <c r="W128" i="7"/>
  <c r="W206" i="7"/>
  <c r="W78" i="7"/>
  <c r="W18" i="7"/>
  <c r="W106" i="7"/>
  <c r="W91" i="7"/>
  <c r="W121" i="7"/>
  <c r="W193" i="7"/>
  <c r="W175" i="7"/>
  <c r="W116" i="7"/>
  <c r="W176" i="7"/>
  <c r="W154" i="7"/>
  <c r="W202" i="7"/>
  <c r="W169" i="7"/>
  <c r="W133" i="7"/>
  <c r="W96" i="7"/>
  <c r="W144" i="7"/>
  <c r="W62" i="7"/>
  <c r="W41" i="7"/>
  <c r="W71" i="7"/>
  <c r="W47" i="7"/>
  <c r="W94" i="7"/>
  <c r="W168" i="7"/>
  <c r="W12" i="7"/>
  <c r="W205" i="7"/>
  <c r="W157" i="7"/>
  <c r="W19" i="7"/>
  <c r="W77" i="7"/>
  <c r="W112" i="7"/>
  <c r="W204" i="7"/>
  <c r="W17" i="7"/>
  <c r="W147" i="7"/>
  <c r="W36" i="7"/>
  <c r="W149" i="7"/>
  <c r="W14" i="7"/>
  <c r="W194" i="7"/>
  <c r="W54" i="7"/>
  <c r="W88" i="7"/>
  <c r="W48" i="7"/>
  <c r="W13" i="7"/>
  <c r="W179" i="7"/>
  <c r="W208" i="7"/>
  <c r="W180" i="7"/>
  <c r="W46" i="7"/>
  <c r="W101" i="7"/>
  <c r="W93" i="7"/>
  <c r="W108" i="7"/>
  <c r="W166" i="7"/>
  <c r="W184" i="7"/>
  <c r="W151" i="7"/>
  <c r="W83" i="7"/>
  <c r="W37" i="7"/>
  <c r="W105" i="7"/>
  <c r="W125" i="7"/>
  <c r="W95" i="7"/>
  <c r="W30" i="7"/>
  <c r="W165" i="7"/>
  <c r="W215" i="7"/>
  <c r="W52" i="7"/>
  <c r="W100" i="7"/>
  <c r="W35" i="7"/>
  <c r="W212" i="7"/>
  <c r="W190" i="7"/>
  <c r="W198" i="7"/>
  <c r="W124" i="7"/>
  <c r="W152" i="7"/>
  <c r="W85" i="7"/>
  <c r="W109" i="7"/>
  <c r="W160" i="7"/>
  <c r="W49" i="7"/>
  <c r="W40" i="7"/>
  <c r="W24" i="7"/>
  <c r="W22" i="7"/>
  <c r="W126" i="7"/>
  <c r="W214" i="7"/>
  <c r="W181" i="7"/>
  <c r="W9" i="7"/>
  <c r="W197" i="7"/>
  <c r="W90" i="7"/>
  <c r="W200" i="7"/>
  <c r="W189" i="7"/>
  <c r="W107" i="7"/>
  <c r="W171" i="7"/>
  <c r="W81" i="7"/>
  <c r="W159" i="7"/>
  <c r="W183" i="7"/>
  <c r="W167" i="7"/>
  <c r="W139" i="7"/>
  <c r="W201" i="7"/>
  <c r="W199" i="7"/>
  <c r="W178" i="7"/>
  <c r="W45" i="7"/>
  <c r="W68" i="7"/>
  <c r="W11" i="7"/>
  <c r="W56" i="7"/>
  <c r="P31" i="7"/>
  <c r="U31" i="7" s="1"/>
  <c r="G57" i="131"/>
  <c r="G60" i="131" s="1"/>
  <c r="P16" i="7"/>
  <c r="AE16" i="7" s="1"/>
  <c r="G57" i="117"/>
  <c r="G61" i="117" s="1"/>
  <c r="P33" i="7"/>
  <c r="AE33" i="7" s="1"/>
  <c r="P50" i="7"/>
  <c r="U50" i="7" s="1"/>
  <c r="P28" i="7"/>
  <c r="Q28" i="7" s="1"/>
  <c r="AB28" i="7" s="1"/>
  <c r="P9" i="7"/>
  <c r="U9" i="7" s="1"/>
  <c r="P26" i="7"/>
  <c r="U26" i="7" s="1"/>
  <c r="P39" i="7"/>
  <c r="U39" i="7" s="1"/>
  <c r="G57" i="116"/>
  <c r="G62" i="116" s="1"/>
  <c r="G57" i="103"/>
  <c r="G62" i="103" s="1"/>
  <c r="G57" i="130"/>
  <c r="G60" i="130" s="1"/>
  <c r="G58" i="74"/>
  <c r="G62" i="74" s="1"/>
  <c r="P35" i="7"/>
  <c r="Q35" i="7" s="1"/>
  <c r="AB35" i="7" s="1"/>
  <c r="P34" i="7"/>
  <c r="U34" i="7" s="1"/>
  <c r="P8" i="7"/>
  <c r="AE8" i="7" s="1"/>
  <c r="P55" i="7"/>
  <c r="Q55" i="7" s="1"/>
  <c r="AB55" i="7" s="1"/>
  <c r="P64" i="7"/>
  <c r="AE64" i="7" s="1"/>
  <c r="P19" i="7"/>
  <c r="AE19" i="7" s="1"/>
  <c r="G63" i="93"/>
  <c r="G65" i="93" s="1"/>
  <c r="F29" i="7" s="1"/>
  <c r="G29" i="7" s="1"/>
  <c r="G57" i="77"/>
  <c r="G62" i="77" s="1"/>
  <c r="G57" i="135"/>
  <c r="G61" i="135" s="1"/>
  <c r="G58" i="70"/>
  <c r="P6" i="7"/>
  <c r="G57" i="138"/>
  <c r="P69" i="7"/>
  <c r="G60" i="119"/>
  <c r="G62" i="119"/>
  <c r="G61" i="119"/>
  <c r="G57" i="122"/>
  <c r="P53" i="7"/>
  <c r="G57" i="125"/>
  <c r="P56" i="7"/>
  <c r="P23" i="7"/>
  <c r="G57" i="118"/>
  <c r="P49" i="7"/>
  <c r="G62" i="98"/>
  <c r="G61" i="98"/>
  <c r="G60" i="98"/>
  <c r="G62" i="106"/>
  <c r="G61" i="106"/>
  <c r="G60" i="106"/>
  <c r="G57" i="129"/>
  <c r="P60" i="7"/>
  <c r="G57" i="96"/>
  <c r="P32" i="7"/>
  <c r="U38" i="7"/>
  <c r="AE38" i="7"/>
  <c r="Q38" i="7"/>
  <c r="AB38" i="7" s="1"/>
  <c r="G63" i="94"/>
  <c r="G65" i="94" s="1"/>
  <c r="F30" i="7" s="1"/>
  <c r="G57" i="91"/>
  <c r="P27" i="7"/>
  <c r="G57" i="137"/>
  <c r="P68" i="7"/>
  <c r="G61" i="92"/>
  <c r="G60" i="92"/>
  <c r="G62" i="92"/>
  <c r="U47" i="7"/>
  <c r="AE47" i="7"/>
  <c r="Q47" i="7"/>
  <c r="AB47" i="7" s="1"/>
  <c r="G62" i="99"/>
  <c r="G61" i="99"/>
  <c r="G60" i="99"/>
  <c r="G62" i="107"/>
  <c r="G61" i="107"/>
  <c r="G60" i="107"/>
  <c r="G57" i="76"/>
  <c r="P12" i="7"/>
  <c r="G57" i="127"/>
  <c r="P58" i="7"/>
  <c r="G60" i="73"/>
  <c r="G62" i="73"/>
  <c r="G61" i="73"/>
  <c r="G57" i="132"/>
  <c r="P63" i="7"/>
  <c r="G57" i="86"/>
  <c r="P22" i="7"/>
  <c r="G62" i="120"/>
  <c r="G61" i="120"/>
  <c r="G60" i="120"/>
  <c r="G62" i="109"/>
  <c r="G61" i="109"/>
  <c r="G60" i="109"/>
  <c r="U61" i="7"/>
  <c r="AE61" i="7"/>
  <c r="Q61" i="7"/>
  <c r="AB61" i="7" s="1"/>
  <c r="G57" i="84"/>
  <c r="P20" i="7"/>
  <c r="G62" i="97"/>
  <c r="G61" i="97"/>
  <c r="G60" i="97"/>
  <c r="G57" i="78"/>
  <c r="P14" i="7"/>
  <c r="G57" i="75"/>
  <c r="P11" i="7"/>
  <c r="G57" i="82"/>
  <c r="P18" i="7"/>
  <c r="G57" i="134"/>
  <c r="P65" i="7"/>
  <c r="AE41" i="7"/>
  <c r="U41" i="7"/>
  <c r="Q41" i="7"/>
  <c r="AB41" i="7" s="1"/>
  <c r="G57" i="128"/>
  <c r="P59" i="7"/>
  <c r="G60" i="95"/>
  <c r="G62" i="95"/>
  <c r="G61" i="95"/>
  <c r="U62" i="7"/>
  <c r="AE62" i="7"/>
  <c r="Q62" i="7"/>
  <c r="AB62" i="7" s="1"/>
  <c r="G57" i="89"/>
  <c r="P25" i="7"/>
  <c r="U10" i="7"/>
  <c r="AE10" i="7"/>
  <c r="Q10" i="7"/>
  <c r="AB10" i="7" s="1"/>
  <c r="G57" i="123"/>
  <c r="P54" i="7"/>
  <c r="G62" i="104"/>
  <c r="G61" i="104"/>
  <c r="G60" i="104"/>
  <c r="V29" i="7"/>
  <c r="G61" i="100"/>
  <c r="G60" i="100"/>
  <c r="G62" i="100"/>
  <c r="G57" i="139"/>
  <c r="P70" i="7"/>
  <c r="G61" i="105"/>
  <c r="G60" i="105"/>
  <c r="G62" i="105"/>
  <c r="G62" i="115"/>
  <c r="G61" i="115"/>
  <c r="G60" i="115"/>
  <c r="U13" i="7"/>
  <c r="AE13" i="7"/>
  <c r="Q13" i="7"/>
  <c r="AB13" i="7" s="1"/>
  <c r="G62" i="108"/>
  <c r="G61" i="108"/>
  <c r="G60" i="108"/>
  <c r="G62" i="136"/>
  <c r="G61" i="136"/>
  <c r="G60" i="136"/>
  <c r="U7" i="7"/>
  <c r="AE7" i="7"/>
  <c r="Q7" i="7"/>
  <c r="AB7" i="7" s="1"/>
  <c r="G62" i="90"/>
  <c r="G61" i="90"/>
  <c r="G60" i="90"/>
  <c r="G62" i="71"/>
  <c r="G61" i="71"/>
  <c r="G60" i="71"/>
  <c r="G56" i="88"/>
  <c r="P24" i="7"/>
  <c r="U66" i="7"/>
  <c r="AE66" i="7"/>
  <c r="Q66" i="7"/>
  <c r="AB66" i="7" s="1"/>
  <c r="G63" i="72"/>
  <c r="G61" i="72"/>
  <c r="G62" i="72"/>
  <c r="G62" i="83"/>
  <c r="G61" i="83"/>
  <c r="G60" i="83"/>
  <c r="G57" i="85"/>
  <c r="P21" i="7"/>
  <c r="G62" i="102"/>
  <c r="G61" i="102"/>
  <c r="G60" i="102"/>
  <c r="G60" i="124"/>
  <c r="G62" i="124"/>
  <c r="G61" i="124"/>
  <c r="G61" i="126"/>
  <c r="G60" i="126"/>
  <c r="G62" i="126"/>
  <c r="U48" i="7"/>
  <c r="AE48" i="7"/>
  <c r="Q48" i="7"/>
  <c r="AB48" i="7" s="1"/>
  <c r="G57" i="121"/>
  <c r="P52" i="7"/>
  <c r="G61" i="80"/>
  <c r="G60" i="80"/>
  <c r="G62" i="80"/>
  <c r="G62" i="133"/>
  <c r="G61" i="133"/>
  <c r="G60" i="133"/>
  <c r="G57" i="81"/>
  <c r="P17" i="7"/>
  <c r="G57" i="79"/>
  <c r="P15" i="7"/>
  <c r="G62" i="110"/>
  <c r="G61" i="110"/>
  <c r="G60" i="110"/>
  <c r="Q67" i="7" l="1"/>
  <c r="AB67" i="7" s="1"/>
  <c r="AE67" i="7"/>
  <c r="Q51" i="7"/>
  <c r="AB51" i="7" s="1"/>
  <c r="AE51" i="7"/>
  <c r="Q40" i="7"/>
  <c r="AB40" i="7" s="1"/>
  <c r="U40" i="7"/>
  <c r="V40" i="7" s="1"/>
  <c r="AE37" i="7"/>
  <c r="Q37" i="7"/>
  <c r="AB37" i="7" s="1"/>
  <c r="Q42" i="7"/>
  <c r="AB42" i="7" s="1"/>
  <c r="AE42" i="7"/>
  <c r="G60" i="140"/>
  <c r="G61" i="140"/>
  <c r="AE45" i="7"/>
  <c r="Q45" i="7"/>
  <c r="AB45" i="7" s="1"/>
  <c r="U46" i="7"/>
  <c r="V46" i="7" s="1"/>
  <c r="Q44" i="7"/>
  <c r="AB44" i="7" s="1"/>
  <c r="AE46" i="7"/>
  <c r="AE36" i="7"/>
  <c r="Q36" i="7"/>
  <c r="AB36" i="7" s="1"/>
  <c r="Q43" i="7"/>
  <c r="AB43" i="7" s="1"/>
  <c r="AE43" i="7"/>
  <c r="U16" i="7"/>
  <c r="V16" i="7" s="1"/>
  <c r="U44" i="7"/>
  <c r="V44" i="7" s="1"/>
  <c r="AE57" i="7"/>
  <c r="U57" i="7"/>
  <c r="V57" i="7" s="1"/>
  <c r="G62" i="143"/>
  <c r="G61" i="143"/>
  <c r="G60" i="143"/>
  <c r="U74" i="7"/>
  <c r="V74" i="7" s="1"/>
  <c r="AE74" i="7"/>
  <c r="Q74" i="7"/>
  <c r="AB74" i="7" s="1"/>
  <c r="G62" i="142"/>
  <c r="G61" i="142"/>
  <c r="G60" i="142"/>
  <c r="Q73" i="7"/>
  <c r="AB73" i="7" s="1"/>
  <c r="U73" i="7"/>
  <c r="V73" i="7" s="1"/>
  <c r="AE73" i="7"/>
  <c r="G62" i="141"/>
  <c r="G60" i="141"/>
  <c r="G61" i="141"/>
  <c r="U72" i="7"/>
  <c r="V72" i="7" s="1"/>
  <c r="AE72" i="7"/>
  <c r="Q72" i="7"/>
  <c r="AB72" i="7" s="1"/>
  <c r="U28" i="7"/>
  <c r="V28" i="7" s="1"/>
  <c r="E118" i="158"/>
  <c r="G116" i="158"/>
  <c r="U33" i="7"/>
  <c r="V33" i="7" s="1"/>
  <c r="Q33" i="7"/>
  <c r="AB33" i="7" s="1"/>
  <c r="Q31" i="7"/>
  <c r="AB31" i="7" s="1"/>
  <c r="AE31" i="7"/>
  <c r="G61" i="131"/>
  <c r="G62" i="131"/>
  <c r="G62" i="117"/>
  <c r="Q16" i="7"/>
  <c r="AB16" i="7" s="1"/>
  <c r="G60" i="117"/>
  <c r="AE28" i="7"/>
  <c r="AE50" i="7"/>
  <c r="Q50" i="7"/>
  <c r="AB50" i="7" s="1"/>
  <c r="U55" i="7"/>
  <c r="V55" i="7" s="1"/>
  <c r="G61" i="116"/>
  <c r="G60" i="116"/>
  <c r="Q34" i="7"/>
  <c r="AB34" i="7" s="1"/>
  <c r="Q9" i="7"/>
  <c r="AB9" i="7" s="1"/>
  <c r="Q26" i="7"/>
  <c r="AB26" i="7" s="1"/>
  <c r="Q39" i="7"/>
  <c r="AB39" i="7" s="1"/>
  <c r="AE9" i="7"/>
  <c r="AE26" i="7"/>
  <c r="AE39" i="7"/>
  <c r="G61" i="103"/>
  <c r="G60" i="103"/>
  <c r="U19" i="7"/>
  <c r="V19" i="7" s="1"/>
  <c r="U64" i="7"/>
  <c r="V64" i="7" s="1"/>
  <c r="G61" i="74"/>
  <c r="G61" i="130"/>
  <c r="J29" i="7"/>
  <c r="G62" i="130"/>
  <c r="Q19" i="7"/>
  <c r="AB19" i="7" s="1"/>
  <c r="Q64" i="7"/>
  <c r="AB64" i="7" s="1"/>
  <c r="G63" i="74"/>
  <c r="AE34" i="7"/>
  <c r="U35" i="7"/>
  <c r="V35" i="7" s="1"/>
  <c r="AE55" i="7"/>
  <c r="AE35" i="7"/>
  <c r="U8" i="7"/>
  <c r="V8" i="7" s="1"/>
  <c r="Q8" i="7"/>
  <c r="AB8" i="7" s="1"/>
  <c r="G63" i="115"/>
  <c r="G65" i="115" s="1"/>
  <c r="F46" i="7" s="1"/>
  <c r="G46" i="7" s="1"/>
  <c r="G61" i="77"/>
  <c r="G60" i="77"/>
  <c r="G63" i="102"/>
  <c r="G65" i="102" s="1"/>
  <c r="F37" i="7" s="1"/>
  <c r="G37" i="7" s="1"/>
  <c r="G63" i="136"/>
  <c r="G65" i="136" s="1"/>
  <c r="F67" i="7" s="1"/>
  <c r="G63" i="120"/>
  <c r="G65" i="120" s="1"/>
  <c r="F51" i="7" s="1"/>
  <c r="G51" i="7" s="1"/>
  <c r="G63" i="106"/>
  <c r="G65" i="106" s="1"/>
  <c r="F41" i="7" s="1"/>
  <c r="G41" i="7" s="1"/>
  <c r="G62" i="135"/>
  <c r="G60" i="135"/>
  <c r="G63" i="107"/>
  <c r="G65" i="107" s="1"/>
  <c r="F42" i="7" s="1"/>
  <c r="G42" i="7" s="1"/>
  <c r="G63" i="108"/>
  <c r="G65" i="108" s="1"/>
  <c r="F43" i="7" s="1"/>
  <c r="J43" i="7" s="1"/>
  <c r="G63" i="97"/>
  <c r="G65" i="97" s="1"/>
  <c r="F33" i="7" s="1"/>
  <c r="G33" i="7" s="1"/>
  <c r="G63" i="104"/>
  <c r="G65" i="104" s="1"/>
  <c r="F39" i="7" s="1"/>
  <c r="G39" i="7" s="1"/>
  <c r="G63" i="83"/>
  <c r="G65" i="83" s="1"/>
  <c r="F19" i="7" s="1"/>
  <c r="J19" i="7" s="1"/>
  <c r="G63" i="133"/>
  <c r="G65" i="133" s="1"/>
  <c r="F64" i="7" s="1"/>
  <c r="G64" i="7" s="1"/>
  <c r="G63" i="71"/>
  <c r="G65" i="71" s="1"/>
  <c r="F7" i="7" s="1"/>
  <c r="G7" i="7" s="1"/>
  <c r="G63" i="98"/>
  <c r="G65" i="98" s="1"/>
  <c r="F34" i="7" s="1"/>
  <c r="G34" i="7" s="1"/>
  <c r="G63" i="109"/>
  <c r="G65" i="109" s="1"/>
  <c r="F44" i="7" s="1"/>
  <c r="G44" i="7" s="1"/>
  <c r="G63" i="100"/>
  <c r="G65" i="100" s="1"/>
  <c r="F36" i="7" s="1"/>
  <c r="J36" i="7" s="1"/>
  <c r="G63" i="90"/>
  <c r="G65" i="90" s="1"/>
  <c r="AE21" i="7"/>
  <c r="U21" i="7"/>
  <c r="Q21" i="7"/>
  <c r="AB21" i="7" s="1"/>
  <c r="U59" i="7"/>
  <c r="AE59" i="7"/>
  <c r="Q59" i="7"/>
  <c r="AB59" i="7" s="1"/>
  <c r="G61" i="128"/>
  <c r="G62" i="128"/>
  <c r="G60" i="128"/>
  <c r="G60" i="79"/>
  <c r="G62" i="79"/>
  <c r="G61" i="79"/>
  <c r="V48" i="7"/>
  <c r="V50" i="7"/>
  <c r="V37" i="7"/>
  <c r="V31" i="7"/>
  <c r="G62" i="75"/>
  <c r="G60" i="75"/>
  <c r="G61" i="75"/>
  <c r="AE17" i="7"/>
  <c r="U17" i="7"/>
  <c r="Q17" i="7"/>
  <c r="AB17" i="7" s="1"/>
  <c r="V13" i="7"/>
  <c r="U24" i="7"/>
  <c r="AE24" i="7"/>
  <c r="Q24" i="7"/>
  <c r="AB24" i="7" s="1"/>
  <c r="V38" i="7"/>
  <c r="AE53" i="7"/>
  <c r="U53" i="7"/>
  <c r="Q53" i="7"/>
  <c r="AB53" i="7" s="1"/>
  <c r="G62" i="121"/>
  <c r="G61" i="121"/>
  <c r="G60" i="121"/>
  <c r="U15" i="7"/>
  <c r="AE15" i="7"/>
  <c r="Q15" i="7"/>
  <c r="AB15" i="7" s="1"/>
  <c r="V7" i="7"/>
  <c r="V10" i="7"/>
  <c r="U56" i="7"/>
  <c r="AE56" i="7"/>
  <c r="Q56" i="7"/>
  <c r="AB56" i="7" s="1"/>
  <c r="V47" i="7"/>
  <c r="G59" i="88"/>
  <c r="G61" i="88"/>
  <c r="G60" i="88"/>
  <c r="V67" i="7"/>
  <c r="U14" i="7"/>
  <c r="AE14" i="7"/>
  <c r="Q14" i="7"/>
  <c r="AB14" i="7" s="1"/>
  <c r="G61" i="78"/>
  <c r="G60" i="78"/>
  <c r="G62" i="78"/>
  <c r="G61" i="122"/>
  <c r="G60" i="122"/>
  <c r="G62" i="122"/>
  <c r="G61" i="96"/>
  <c r="G62" i="96"/>
  <c r="G60" i="96"/>
  <c r="G60" i="76"/>
  <c r="G62" i="76"/>
  <c r="G61" i="76"/>
  <c r="G62" i="129"/>
  <c r="G61" i="129"/>
  <c r="G60" i="129"/>
  <c r="U49" i="7"/>
  <c r="AE49" i="7"/>
  <c r="Q49" i="7"/>
  <c r="AB49" i="7" s="1"/>
  <c r="G63" i="119"/>
  <c r="G65" i="119" s="1"/>
  <c r="F50" i="7" s="1"/>
  <c r="G62" i="127"/>
  <c r="G61" i="127"/>
  <c r="G60" i="127"/>
  <c r="G64" i="72"/>
  <c r="G66" i="72" s="1"/>
  <c r="F8" i="7" s="1"/>
  <c r="V51" i="7"/>
  <c r="U60" i="7"/>
  <c r="AE60" i="7"/>
  <c r="Q60" i="7"/>
  <c r="AB60" i="7" s="1"/>
  <c r="U20" i="7"/>
  <c r="AE20" i="7"/>
  <c r="Q20" i="7"/>
  <c r="AB20" i="7" s="1"/>
  <c r="U27" i="7"/>
  <c r="AE27" i="7"/>
  <c r="Q27" i="7"/>
  <c r="AB27" i="7" s="1"/>
  <c r="G62" i="118"/>
  <c r="G61" i="118"/>
  <c r="G60" i="118"/>
  <c r="U69" i="7"/>
  <c r="AE69" i="7"/>
  <c r="Q69" i="7"/>
  <c r="AB69" i="7" s="1"/>
  <c r="V43" i="7"/>
  <c r="G62" i="87"/>
  <c r="G61" i="87"/>
  <c r="G63" i="87"/>
  <c r="G62" i="125"/>
  <c r="G61" i="125"/>
  <c r="G60" i="125"/>
  <c r="V9" i="7"/>
  <c r="V34" i="7"/>
  <c r="G63" i="126"/>
  <c r="G65" i="126" s="1"/>
  <c r="V26" i="7"/>
  <c r="U22" i="7"/>
  <c r="AE22" i="7"/>
  <c r="Q22" i="7"/>
  <c r="AB22" i="7" s="1"/>
  <c r="V42" i="7"/>
  <c r="V41" i="7"/>
  <c r="G62" i="137"/>
  <c r="G61" i="137"/>
  <c r="G60" i="137"/>
  <c r="G60" i="134"/>
  <c r="G62" i="134"/>
  <c r="G61" i="134"/>
  <c r="U70" i="7"/>
  <c r="AE70" i="7"/>
  <c r="Q70" i="7"/>
  <c r="AB70" i="7" s="1"/>
  <c r="AE54" i="7"/>
  <c r="U54" i="7"/>
  <c r="Q54" i="7"/>
  <c r="AB54" i="7" s="1"/>
  <c r="U18" i="7"/>
  <c r="AE18" i="7"/>
  <c r="Q18" i="7"/>
  <c r="AB18" i="7" s="1"/>
  <c r="G62" i="84"/>
  <c r="G60" i="84"/>
  <c r="G61" i="84"/>
  <c r="G60" i="132"/>
  <c r="G61" i="132"/>
  <c r="G62" i="132"/>
  <c r="G62" i="91"/>
  <c r="G61" i="91"/>
  <c r="G60" i="91"/>
  <c r="G62" i="138"/>
  <c r="G61" i="138"/>
  <c r="G60" i="138"/>
  <c r="U23" i="7"/>
  <c r="AE23" i="7"/>
  <c r="Q23" i="7"/>
  <c r="AB23" i="7" s="1"/>
  <c r="V66" i="7"/>
  <c r="G63" i="73"/>
  <c r="G65" i="73" s="1"/>
  <c r="F9" i="7" s="1"/>
  <c r="G61" i="81"/>
  <c r="G62" i="81"/>
  <c r="G60" i="81"/>
  <c r="V39" i="7"/>
  <c r="V45" i="7"/>
  <c r="AE25" i="7"/>
  <c r="U25" i="7"/>
  <c r="Q25" i="7"/>
  <c r="AB25" i="7" s="1"/>
  <c r="G63" i="92"/>
  <c r="G65" i="92" s="1"/>
  <c r="F28" i="7" s="1"/>
  <c r="G61" i="86"/>
  <c r="G60" i="86"/>
  <c r="G62" i="86"/>
  <c r="G63" i="124"/>
  <c r="G65" i="124" s="1"/>
  <c r="G63" i="80"/>
  <c r="G65" i="80" s="1"/>
  <c r="F16" i="7" s="1"/>
  <c r="V36" i="7"/>
  <c r="V62" i="7"/>
  <c r="G62" i="139"/>
  <c r="G61" i="139"/>
  <c r="G60" i="139"/>
  <c r="G61" i="123"/>
  <c r="G60" i="123"/>
  <c r="G62" i="123"/>
  <c r="G60" i="82"/>
  <c r="G62" i="82"/>
  <c r="G61" i="82"/>
  <c r="G63" i="99"/>
  <c r="G65" i="99" s="1"/>
  <c r="F35" i="7" s="1"/>
  <c r="J30" i="7"/>
  <c r="G30" i="7"/>
  <c r="U6" i="7"/>
  <c r="AE6" i="7"/>
  <c r="Q6" i="7"/>
  <c r="AB6" i="7" s="1"/>
  <c r="V61" i="7"/>
  <c r="G62" i="85"/>
  <c r="G61" i="85"/>
  <c r="G60" i="85"/>
  <c r="G62" i="89"/>
  <c r="G61" i="89"/>
  <c r="G60" i="89"/>
  <c r="U58" i="7"/>
  <c r="AE58" i="7"/>
  <c r="Q58" i="7"/>
  <c r="AB58" i="7" s="1"/>
  <c r="G63" i="105"/>
  <c r="G65" i="105" s="1"/>
  <c r="F40" i="7" s="1"/>
  <c r="U32" i="7"/>
  <c r="AE32" i="7"/>
  <c r="Q32" i="7"/>
  <c r="AB32" i="7" s="1"/>
  <c r="U12" i="7"/>
  <c r="AE12" i="7"/>
  <c r="Q12" i="7"/>
  <c r="AB12" i="7" s="1"/>
  <c r="U68" i="7"/>
  <c r="AE68" i="7"/>
  <c r="Q68" i="7"/>
  <c r="AB68" i="7" s="1"/>
  <c r="U65" i="7"/>
  <c r="AE65" i="7"/>
  <c r="Q65" i="7"/>
  <c r="AB65" i="7" s="1"/>
  <c r="U63" i="7"/>
  <c r="AE63" i="7"/>
  <c r="Q63" i="7"/>
  <c r="AB63" i="7" s="1"/>
  <c r="G63" i="110"/>
  <c r="G65" i="110" s="1"/>
  <c r="F45" i="7" s="1"/>
  <c r="U52" i="7"/>
  <c r="AE52" i="7"/>
  <c r="Q52" i="7"/>
  <c r="AB52" i="7" s="1"/>
  <c r="G63" i="95"/>
  <c r="G65" i="95" s="1"/>
  <c r="F31" i="7" s="1"/>
  <c r="U11" i="7"/>
  <c r="AE11" i="7"/>
  <c r="Q11" i="7"/>
  <c r="AB11" i="7" s="1"/>
  <c r="G63" i="70"/>
  <c r="G62" i="70"/>
  <c r="G61" i="70"/>
  <c r="G63" i="140" l="1"/>
  <c r="G65" i="140" s="1"/>
  <c r="F71" i="7" s="1"/>
  <c r="G71" i="7" s="1"/>
  <c r="J65" i="124"/>
  <c r="F55" i="7"/>
  <c r="F57" i="7"/>
  <c r="G57" i="7" s="1"/>
  <c r="G63" i="141"/>
  <c r="G65" i="141" s="1"/>
  <c r="G63" i="143"/>
  <c r="G65" i="143" s="1"/>
  <c r="F26" i="7"/>
  <c r="G26" i="7" s="1"/>
  <c r="G63" i="142"/>
  <c r="G65" i="142" s="1"/>
  <c r="G63" i="117"/>
  <c r="G65" i="117" s="1"/>
  <c r="F48" i="7" s="1"/>
  <c r="G63" i="131"/>
  <c r="G65" i="131" s="1"/>
  <c r="F62" i="7" s="1"/>
  <c r="G62" i="7" s="1"/>
  <c r="G63" i="116"/>
  <c r="G65" i="116" s="1"/>
  <c r="F47" i="7" s="1"/>
  <c r="G47" i="7" s="1"/>
  <c r="G63" i="103"/>
  <c r="G65" i="103" s="1"/>
  <c r="F38" i="7" s="1"/>
  <c r="J38" i="7" s="1"/>
  <c r="G63" i="77"/>
  <c r="G65" i="77" s="1"/>
  <c r="F13" i="7" s="1"/>
  <c r="G13" i="7" s="1"/>
  <c r="G64" i="74"/>
  <c r="G66" i="74" s="1"/>
  <c r="F10" i="7" s="1"/>
  <c r="I10" i="7" s="1"/>
  <c r="J10" i="7" s="1"/>
  <c r="G63" i="130"/>
  <c r="G65" i="130" s="1"/>
  <c r="F61" i="7" s="1"/>
  <c r="G61" i="7" s="1"/>
  <c r="G43" i="7"/>
  <c r="G67" i="7"/>
  <c r="J37" i="7"/>
  <c r="G63" i="135"/>
  <c r="G65" i="135" s="1"/>
  <c r="F66" i="7" s="1"/>
  <c r="J41" i="7"/>
  <c r="J42" i="7"/>
  <c r="G36" i="7"/>
  <c r="J34" i="7"/>
  <c r="J33" i="7"/>
  <c r="G63" i="85"/>
  <c r="G65" i="85" s="1"/>
  <c r="F21" i="7" s="1"/>
  <c r="J21" i="7" s="1"/>
  <c r="G63" i="91"/>
  <c r="G65" i="91" s="1"/>
  <c r="F27" i="7" s="1"/>
  <c r="G27" i="7" s="1"/>
  <c r="G63" i="128"/>
  <c r="G65" i="128" s="1"/>
  <c r="F59" i="7" s="1"/>
  <c r="G64" i="70"/>
  <c r="G66" i="70" s="1"/>
  <c r="F6" i="7" s="1"/>
  <c r="G6" i="7" s="1"/>
  <c r="G63" i="137"/>
  <c r="G65" i="137" s="1"/>
  <c r="F68" i="7" s="1"/>
  <c r="G68" i="7" s="1"/>
  <c r="I7" i="7"/>
  <c r="J7" i="7" s="1"/>
  <c r="G19" i="7"/>
  <c r="G63" i="138"/>
  <c r="G65" i="138" s="1"/>
  <c r="F69" i="7" s="1"/>
  <c r="I69" i="7" s="1"/>
  <c r="J39" i="7"/>
  <c r="G63" i="129"/>
  <c r="G65" i="129" s="1"/>
  <c r="F60" i="7" s="1"/>
  <c r="G63" i="96"/>
  <c r="G65" i="96" s="1"/>
  <c r="F32" i="7" s="1"/>
  <c r="J32" i="7" s="1"/>
  <c r="G63" i="118"/>
  <c r="G65" i="118" s="1"/>
  <c r="F49" i="7" s="1"/>
  <c r="G63" i="127"/>
  <c r="G65" i="127" s="1"/>
  <c r="F58" i="7" s="1"/>
  <c r="G63" i="121"/>
  <c r="G65" i="121" s="1"/>
  <c r="F52" i="7" s="1"/>
  <c r="G52" i="7" s="1"/>
  <c r="J44" i="7"/>
  <c r="G63" i="125"/>
  <c r="G65" i="125" s="1"/>
  <c r="F56" i="7" s="1"/>
  <c r="V63" i="7"/>
  <c r="V69" i="7"/>
  <c r="V56" i="7"/>
  <c r="V60" i="7"/>
  <c r="V54" i="7"/>
  <c r="V20" i="7"/>
  <c r="V17" i="7"/>
  <c r="V12" i="7"/>
  <c r="V14" i="7"/>
  <c r="G63" i="76"/>
  <c r="G65" i="76" s="1"/>
  <c r="F12" i="7" s="1"/>
  <c r="V49" i="7"/>
  <c r="V68" i="7"/>
  <c r="Q216" i="7"/>
  <c r="V70" i="7"/>
  <c r="G63" i="79"/>
  <c r="G65" i="79" s="1"/>
  <c r="F15" i="7" s="1"/>
  <c r="V11" i="7"/>
  <c r="G31" i="7"/>
  <c r="J31" i="7"/>
  <c r="G63" i="84"/>
  <c r="G65" i="84" s="1"/>
  <c r="F20" i="7" s="1"/>
  <c r="V65" i="7"/>
  <c r="G63" i="82"/>
  <c r="G65" i="82" s="1"/>
  <c r="F18" i="7" s="1"/>
  <c r="G63" i="123"/>
  <c r="G65" i="123" s="1"/>
  <c r="F54" i="7" s="1"/>
  <c r="V22" i="7"/>
  <c r="V27" i="7"/>
  <c r="G50" i="7"/>
  <c r="G62" i="88"/>
  <c r="G64" i="88" s="1"/>
  <c r="F24" i="7" s="1"/>
  <c r="V21" i="7"/>
  <c r="U216" i="7"/>
  <c r="Z59" i="7" s="1"/>
  <c r="G63" i="78"/>
  <c r="G65" i="78" s="1"/>
  <c r="F14" i="7" s="1"/>
  <c r="G63" i="86"/>
  <c r="G65" i="86" s="1"/>
  <c r="F22" i="7" s="1"/>
  <c r="V53" i="7"/>
  <c r="J28" i="7"/>
  <c r="G28" i="7"/>
  <c r="G63" i="132"/>
  <c r="G65" i="132" s="1"/>
  <c r="F63" i="7" s="1"/>
  <c r="V25" i="7"/>
  <c r="V24" i="7"/>
  <c r="G40" i="7"/>
  <c r="J40" i="7"/>
  <c r="V59" i="7"/>
  <c r="V52" i="7"/>
  <c r="G45" i="7"/>
  <c r="V58" i="7"/>
  <c r="V18" i="7"/>
  <c r="G64" i="87"/>
  <c r="G66" i="87" s="1"/>
  <c r="F23" i="7" s="1"/>
  <c r="G63" i="122"/>
  <c r="G65" i="122" s="1"/>
  <c r="F53" i="7" s="1"/>
  <c r="I9" i="7"/>
  <c r="J9" i="7" s="1"/>
  <c r="G9" i="7"/>
  <c r="V6" i="7"/>
  <c r="G63" i="75"/>
  <c r="G65" i="75" s="1"/>
  <c r="F11" i="7" s="1"/>
  <c r="G8" i="7"/>
  <c r="I8" i="7"/>
  <c r="J8" i="7" s="1"/>
  <c r="G35" i="7"/>
  <c r="J35" i="7"/>
  <c r="V23" i="7"/>
  <c r="V32" i="7"/>
  <c r="G63" i="134"/>
  <c r="G65" i="134" s="1"/>
  <c r="F65" i="7" s="1"/>
  <c r="G63" i="89"/>
  <c r="G65" i="89" s="1"/>
  <c r="F25" i="7" s="1"/>
  <c r="G63" i="139"/>
  <c r="G65" i="139" s="1"/>
  <c r="F70" i="7" s="1"/>
  <c r="J16" i="7"/>
  <c r="G16" i="7"/>
  <c r="G63" i="81"/>
  <c r="G65" i="81" s="1"/>
  <c r="F17" i="7" s="1"/>
  <c r="V15" i="7"/>
  <c r="G48" i="7" l="1"/>
  <c r="G38" i="7"/>
  <c r="G56" i="7"/>
  <c r="I21" i="125"/>
  <c r="F74" i="7"/>
  <c r="G74" i="7" s="1"/>
  <c r="J20" i="143"/>
  <c r="F73" i="7"/>
  <c r="G73" i="7" s="1"/>
  <c r="J20" i="142"/>
  <c r="F72" i="7"/>
  <c r="G72" i="7" s="1"/>
  <c r="J20" i="141"/>
  <c r="J26" i="7"/>
  <c r="G10" i="7"/>
  <c r="I13" i="7"/>
  <c r="J13" i="7" s="1"/>
  <c r="G66" i="7"/>
  <c r="J27" i="7"/>
  <c r="G21" i="7"/>
  <c r="I6" i="7"/>
  <c r="J6" i="7" s="1"/>
  <c r="G60" i="7"/>
  <c r="G59" i="7"/>
  <c r="G58" i="7"/>
  <c r="G69" i="7"/>
  <c r="G32" i="7"/>
  <c r="G49" i="7"/>
  <c r="Z22" i="7"/>
  <c r="Z20" i="7"/>
  <c r="Z54" i="7"/>
  <c r="Z6" i="7"/>
  <c r="Z14" i="7"/>
  <c r="Z24" i="7"/>
  <c r="Z11" i="7"/>
  <c r="Z63" i="7"/>
  <c r="G12" i="7"/>
  <c r="I12" i="7"/>
  <c r="J12" i="7" s="1"/>
  <c r="I11" i="7"/>
  <c r="J11" i="7" s="1"/>
  <c r="G11" i="7"/>
  <c r="J65" i="122"/>
  <c r="G55" i="7"/>
  <c r="J23" i="7"/>
  <c r="G23" i="7"/>
  <c r="Z25" i="7"/>
  <c r="I14" i="7"/>
  <c r="J14" i="7" s="1"/>
  <c r="G14" i="7"/>
  <c r="Z60" i="7"/>
  <c r="Z23" i="7"/>
  <c r="G24" i="7"/>
  <c r="J24" i="7"/>
  <c r="J25" i="7"/>
  <c r="G25" i="7"/>
  <c r="Z56" i="7"/>
  <c r="I15" i="7"/>
  <c r="J15" i="7" s="1"/>
  <c r="G15" i="7"/>
  <c r="J18" i="7"/>
  <c r="G18" i="7"/>
  <c r="J22" i="7"/>
  <c r="G22" i="7"/>
  <c r="G65" i="7"/>
  <c r="Z12" i="7"/>
  <c r="Z58" i="7"/>
  <c r="J20" i="7"/>
  <c r="G20" i="7"/>
  <c r="Z52" i="7"/>
  <c r="Z68" i="7"/>
  <c r="J65" i="123"/>
  <c r="Z15" i="7"/>
  <c r="Z18" i="7"/>
  <c r="Z65" i="7"/>
  <c r="G63" i="7"/>
  <c r="G17" i="7"/>
  <c r="J17" i="7"/>
  <c r="Z70" i="7"/>
  <c r="Z32" i="7"/>
  <c r="Z21" i="7"/>
  <c r="G70" i="7"/>
  <c r="I70" i="7"/>
  <c r="V216" i="7"/>
  <c r="Z207" i="7"/>
  <c r="Z171" i="7"/>
  <c r="Z165" i="7"/>
  <c r="Z181" i="7"/>
  <c r="Z204" i="7"/>
  <c r="Z214" i="7"/>
  <c r="Z155" i="7"/>
  <c r="Z140" i="7"/>
  <c r="Z182" i="7"/>
  <c r="Z195" i="7"/>
  <c r="Z210" i="7"/>
  <c r="Z198" i="7"/>
  <c r="Z172" i="7"/>
  <c r="Z100" i="7"/>
  <c r="Z86" i="7"/>
  <c r="Z166" i="7"/>
  <c r="Z102" i="7"/>
  <c r="Z120" i="7"/>
  <c r="Z107" i="7"/>
  <c r="Z91" i="7"/>
  <c r="Z118" i="7"/>
  <c r="Z174" i="7"/>
  <c r="Z71" i="7"/>
  <c r="Z211" i="7"/>
  <c r="Z152" i="7"/>
  <c r="Z162" i="7"/>
  <c r="Z123" i="7"/>
  <c r="Z89" i="7"/>
  <c r="Z144" i="7"/>
  <c r="Z76" i="7"/>
  <c r="Z201" i="7"/>
  <c r="Z188" i="7"/>
  <c r="Z74" i="7"/>
  <c r="Z105" i="7"/>
  <c r="Z108" i="7"/>
  <c r="Z137" i="7"/>
  <c r="Z115" i="7"/>
  <c r="Z139" i="7"/>
  <c r="Z215" i="7"/>
  <c r="Z136" i="7"/>
  <c r="Z157" i="7"/>
  <c r="Z133" i="7"/>
  <c r="Z82" i="7"/>
  <c r="Z192" i="7"/>
  <c r="Z187" i="7"/>
  <c r="Z110" i="7"/>
  <c r="Z77" i="7"/>
  <c r="Z169" i="7"/>
  <c r="Z180" i="7"/>
  <c r="Z154" i="7"/>
  <c r="Z104" i="7"/>
  <c r="Z160" i="7"/>
  <c r="Z153" i="7"/>
  <c r="Z150" i="7"/>
  <c r="Z129" i="7"/>
  <c r="Z184" i="7"/>
  <c r="Z183" i="7"/>
  <c r="Z170" i="7"/>
  <c r="Z79" i="7"/>
  <c r="Z143" i="7"/>
  <c r="Z208" i="7"/>
  <c r="Z106" i="7"/>
  <c r="Z88" i="7"/>
  <c r="Z177" i="7"/>
  <c r="Z158" i="7"/>
  <c r="Z147" i="7"/>
  <c r="Z145" i="7"/>
  <c r="Z178" i="7"/>
  <c r="Z209" i="7"/>
  <c r="Z122" i="7"/>
  <c r="Z199" i="7"/>
  <c r="Z72" i="7"/>
  <c r="Z167" i="7"/>
  <c r="Z84" i="7"/>
  <c r="Z93" i="7"/>
  <c r="Z179" i="7"/>
  <c r="Z186" i="7"/>
  <c r="Z189" i="7"/>
  <c r="Z116" i="7"/>
  <c r="Z164" i="7"/>
  <c r="Z112" i="7"/>
  <c r="Z173" i="7"/>
  <c r="Z85" i="7"/>
  <c r="Z96" i="7"/>
  <c r="Z148" i="7"/>
  <c r="Z156" i="7"/>
  <c r="Z119" i="7"/>
  <c r="Z191" i="7"/>
  <c r="Z125" i="7"/>
  <c r="Z92" i="7"/>
  <c r="Z81" i="7"/>
  <c r="Z101" i="7"/>
  <c r="Z94" i="7"/>
  <c r="Z185" i="7"/>
  <c r="Z146" i="7"/>
  <c r="Z194" i="7"/>
  <c r="Z142" i="7"/>
  <c r="Z134" i="7"/>
  <c r="Z206" i="7"/>
  <c r="Z117" i="7"/>
  <c r="Z200" i="7"/>
  <c r="Z159" i="7"/>
  <c r="Z83" i="7"/>
  <c r="Z203" i="7"/>
  <c r="Z197" i="7"/>
  <c r="Z126" i="7"/>
  <c r="Z141" i="7"/>
  <c r="Z135" i="7"/>
  <c r="Z190" i="7"/>
  <c r="Z97" i="7"/>
  <c r="Z212" i="7"/>
  <c r="Z130" i="7"/>
  <c r="Z87" i="7"/>
  <c r="Z202" i="7"/>
  <c r="Z151" i="7"/>
  <c r="Z111" i="7"/>
  <c r="Z127" i="7"/>
  <c r="Z138" i="7"/>
  <c r="Z161" i="7"/>
  <c r="Z98" i="7"/>
  <c r="Z95" i="7"/>
  <c r="Z132" i="7"/>
  <c r="Z113" i="7"/>
  <c r="Z163" i="7"/>
  <c r="Z103" i="7"/>
  <c r="Z114" i="7"/>
  <c r="Z213" i="7"/>
  <c r="Z175" i="7"/>
  <c r="Z90" i="7"/>
  <c r="Z168" i="7"/>
  <c r="Z176" i="7"/>
  <c r="Z99" i="7"/>
  <c r="Z109" i="7"/>
  <c r="Z149" i="7"/>
  <c r="Z193" i="7"/>
  <c r="Z196" i="7"/>
  <c r="Z131" i="7"/>
  <c r="Z128" i="7"/>
  <c r="Z205" i="7"/>
  <c r="Z121" i="7"/>
  <c r="Z124" i="7"/>
  <c r="Z78" i="7"/>
  <c r="Z75" i="7"/>
  <c r="Z73" i="7"/>
  <c r="Z80" i="7"/>
  <c r="Z30" i="7"/>
  <c r="Z29" i="7"/>
  <c r="Z26" i="7"/>
  <c r="Z16" i="7"/>
  <c r="Z64" i="7"/>
  <c r="Z44" i="7"/>
  <c r="Z36" i="7"/>
  <c r="Z34" i="7"/>
  <c r="Z41" i="7"/>
  <c r="Z40" i="7"/>
  <c r="Z13" i="7"/>
  <c r="Z57" i="7"/>
  <c r="Z61" i="7"/>
  <c r="Z7" i="7"/>
  <c r="Z35" i="7"/>
  <c r="Z37" i="7"/>
  <c r="Z42" i="7"/>
  <c r="Z46" i="7"/>
  <c r="Z39" i="7"/>
  <c r="Z28" i="7"/>
  <c r="Z45" i="7"/>
  <c r="Z10" i="7"/>
  <c r="Z9" i="7"/>
  <c r="Z33" i="7"/>
  <c r="Z62" i="7"/>
  <c r="Z8" i="7"/>
  <c r="Z19" i="7"/>
  <c r="Z66" i="7"/>
  <c r="Z43" i="7"/>
  <c r="Z47" i="7"/>
  <c r="Z31" i="7"/>
  <c r="Z38" i="7"/>
  <c r="Z67" i="7"/>
  <c r="Z51" i="7"/>
  <c r="Z48" i="7"/>
  <c r="Z55" i="7"/>
  <c r="Z50" i="7"/>
  <c r="Z53" i="7"/>
  <c r="Z27" i="7"/>
  <c r="Z49" i="7"/>
  <c r="Z17" i="7"/>
  <c r="Z69" i="7"/>
  <c r="G53" i="7" l="1"/>
  <c r="G54" i="7"/>
  <c r="E99" i="6"/>
  <c r="E100" i="6" s="1"/>
  <c r="E116" i="6" s="1"/>
  <c r="F116" i="6" s="1"/>
  <c r="E13" i="63"/>
  <c r="C4" i="63"/>
  <c r="D10" i="63" s="1"/>
  <c r="C8" i="63" l="1"/>
  <c r="E11" i="63" s="1"/>
  <c r="G216" i="7"/>
  <c r="G218" i="7" l="1"/>
  <c r="H218" i="7" s="1"/>
  <c r="H220" i="7" s="1"/>
  <c r="K220" i="7" s="1"/>
  <c r="M220" i="7" s="1"/>
  <c r="G220" i="7"/>
  <c r="H74" i="7"/>
  <c r="H72" i="7"/>
  <c r="H73" i="7"/>
  <c r="C11" i="63"/>
  <c r="C12" i="63" s="1"/>
  <c r="C13" i="63" s="1"/>
  <c r="C14" i="63" s="1"/>
  <c r="H18" i="7"/>
  <c r="H71" i="7"/>
  <c r="H61" i="7"/>
  <c r="H11" i="7"/>
  <c r="H9" i="7"/>
  <c r="H34" i="7"/>
  <c r="H32" i="7"/>
  <c r="H68" i="7"/>
  <c r="H44" i="7"/>
  <c r="H52" i="7"/>
  <c r="H40" i="7"/>
  <c r="H48" i="7"/>
  <c r="H43" i="7"/>
  <c r="H22" i="7"/>
  <c r="H55" i="7"/>
  <c r="H20" i="7"/>
  <c r="H41" i="7"/>
  <c r="H19" i="7"/>
  <c r="H57" i="7"/>
  <c r="H27" i="7"/>
  <c r="H50" i="7"/>
  <c r="H42" i="7"/>
  <c r="H64" i="7"/>
  <c r="H39" i="7"/>
  <c r="H70" i="7"/>
  <c r="H24" i="7"/>
  <c r="H28" i="7"/>
  <c r="H14" i="7"/>
  <c r="H8" i="7"/>
  <c r="H35" i="7"/>
  <c r="H23" i="7"/>
  <c r="H49" i="7"/>
  <c r="H31" i="7"/>
  <c r="H13" i="7"/>
  <c r="H29" i="7"/>
  <c r="H10" i="7"/>
  <c r="H47" i="7"/>
  <c r="H59" i="7"/>
  <c r="H26" i="7"/>
  <c r="H33" i="7"/>
  <c r="H30" i="7"/>
  <c r="G225" i="7"/>
  <c r="H17" i="7"/>
  <c r="H69" i="7"/>
  <c r="H21" i="7"/>
  <c r="H58" i="7"/>
  <c r="H38" i="7"/>
  <c r="H37" i="7"/>
  <c r="H51" i="7"/>
  <c r="H15" i="7"/>
  <c r="H25" i="7"/>
  <c r="H6" i="7"/>
  <c r="H63" i="7"/>
  <c r="H16" i="7"/>
  <c r="H46" i="7"/>
  <c r="H60" i="7"/>
  <c r="H67" i="7"/>
  <c r="H53" i="7"/>
  <c r="H65" i="7"/>
  <c r="H12" i="7"/>
  <c r="H56" i="7"/>
  <c r="H45" i="7"/>
  <c r="H66" i="7"/>
  <c r="H36" i="7"/>
  <c r="H7" i="7"/>
  <c r="H62" i="7"/>
  <c r="H54" i="7"/>
  <c r="C9" i="63" l="1"/>
  <c r="K218"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Juan David</author>
  </authors>
  <commentList>
    <comment ref="E6" authorId="0" shapeId="0" xr:uid="{675C64CF-156B-407B-AD0F-23FC6BD5F215}">
      <text>
        <r>
          <rPr>
            <b/>
            <sz val="9"/>
            <color indexed="81"/>
            <rFont val="Tahoma"/>
            <family val="2"/>
          </rPr>
          <t>Juan David:</t>
        </r>
        <r>
          <rPr>
            <sz val="9"/>
            <color indexed="81"/>
            <rFont val="Tahoma"/>
            <family val="2"/>
          </rPr>
          <t xml:space="preserve">
Insertar pais en el cual se desarrolla el proyecto, importante porque afecta el factor prestacional
</t>
        </r>
      </text>
    </comment>
    <comment ref="E8" authorId="0" shapeId="0" xr:uid="{1596F608-1B3E-46DF-B4D7-8E8E1B1B0422}">
      <text>
        <r>
          <rPr>
            <b/>
            <sz val="9"/>
            <color indexed="81"/>
            <rFont val="Tahoma"/>
            <family val="2"/>
          </rPr>
          <t>Juan David:</t>
        </r>
        <r>
          <rPr>
            <sz val="9"/>
            <color indexed="81"/>
            <rFont val="Tahoma"/>
            <family val="2"/>
          </rPr>
          <t xml:space="preserve">
Este campo esta reservado al tiempo estimado del proyecto, este campo incide directamente en el fatcor prestacional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Juan David</author>
  </authors>
  <commentList>
    <comment ref="B4" authorId="0" shapeId="0" xr:uid="{E3E665BB-AC90-4E8C-934A-8576F23877CC}">
      <text>
        <r>
          <rPr>
            <b/>
            <sz val="9"/>
            <color indexed="81"/>
            <rFont val="Tahoma"/>
            <family val="2"/>
          </rPr>
          <t>Juan David:</t>
        </r>
        <r>
          <rPr>
            <sz val="9"/>
            <color indexed="81"/>
            <rFont val="Tahoma"/>
            <family val="2"/>
          </rPr>
          <t xml:space="preserve">
Este campo corresponde al nombre del equipo o maquinaria</t>
        </r>
      </text>
    </comment>
    <comment ref="C4" authorId="0" shapeId="0" xr:uid="{05EE8E52-B278-4A7E-9DDD-1CBD88979D32}">
      <text>
        <r>
          <rPr>
            <b/>
            <sz val="9"/>
            <color indexed="81"/>
            <rFont val="Tahoma"/>
            <family val="2"/>
          </rPr>
          <t>Juan David:</t>
        </r>
        <r>
          <rPr>
            <sz val="9"/>
            <color indexed="81"/>
            <rFont val="Tahoma"/>
            <family val="2"/>
          </rPr>
          <t xml:space="preserve">
Este campo corresponde a la unidad que se vera reflejada en el APU, es decir si el valor que lleva el APU es un valor por hora la unidad sera VR/HR</t>
        </r>
      </text>
    </comment>
    <comment ref="D4" authorId="0" shapeId="0" xr:uid="{96D24908-9006-4AA1-B10D-706DFEFB4252}">
      <text>
        <r>
          <rPr>
            <b/>
            <sz val="9"/>
            <color rgb="FF000000"/>
            <rFont val="Tahoma"/>
            <family val="2"/>
          </rPr>
          <t>Juan David:</t>
        </r>
        <r>
          <rPr>
            <sz val="9"/>
            <color rgb="FF000000"/>
            <rFont val="Tahoma"/>
            <family val="2"/>
          </rPr>
          <t xml:space="preserve">
</t>
        </r>
        <r>
          <rPr>
            <sz val="9"/>
            <color rgb="FF000000"/>
            <rFont val="Tahoma"/>
            <family val="2"/>
          </rPr>
          <t>Este campo corresponde al valor mensual de la maquinaria o equipo</t>
        </r>
      </text>
    </comment>
    <comment ref="E4" authorId="0" shapeId="0" xr:uid="{78AA6B86-D2C8-4F90-8FC7-856D8E5227DB}">
      <text>
        <r>
          <rPr>
            <b/>
            <sz val="9"/>
            <color indexed="81"/>
            <rFont val="Tahoma"/>
            <family val="2"/>
          </rPr>
          <t>Juan David:</t>
        </r>
        <r>
          <rPr>
            <sz val="9"/>
            <color indexed="81"/>
            <rFont val="Tahoma"/>
            <family val="2"/>
          </rPr>
          <t xml:space="preserve">
Este campo esta dispuesto para las horas mensuales de uso de la maquinaria o equipo, incide directamente en el valor por hora de la maquinaria o equipo</t>
        </r>
      </text>
    </comment>
    <comment ref="F4" authorId="0" shapeId="0" xr:uid="{E51C9832-661E-488C-808C-243E5300000B}">
      <text>
        <r>
          <rPr>
            <b/>
            <sz val="9"/>
            <color indexed="81"/>
            <rFont val="Tahoma"/>
            <family val="2"/>
          </rPr>
          <t>Juan David:</t>
        </r>
        <r>
          <rPr>
            <sz val="9"/>
            <color indexed="81"/>
            <rFont val="Tahoma"/>
            <family val="2"/>
          </rPr>
          <t xml:space="preserve">
Campo calculado del valor mes, sobre las horas de uso 
</t>
        </r>
      </text>
    </comment>
    <comment ref="G4" authorId="0" shapeId="0" xr:uid="{8E192C8A-0B7F-4B89-BB54-3B0CA95301A8}">
      <text>
        <r>
          <rPr>
            <b/>
            <sz val="9"/>
            <color indexed="81"/>
            <rFont val="Tahoma"/>
            <family val="2"/>
          </rPr>
          <t>Juan David:</t>
        </r>
        <r>
          <rPr>
            <sz val="9"/>
            <color indexed="81"/>
            <rFont val="Tahoma"/>
            <family val="2"/>
          </rPr>
          <t xml:space="preserve">
Campo correspondiente al consumo en galones por hora del equipo o maquinaria </t>
        </r>
      </text>
    </comment>
    <comment ref="J4" authorId="0" shapeId="0" xr:uid="{1CAD4B4F-002C-471E-B5F9-7D9E7F77265F}">
      <text>
        <r>
          <rPr>
            <b/>
            <sz val="9"/>
            <color indexed="81"/>
            <rFont val="Tahoma"/>
            <family val="2"/>
          </rPr>
          <t>Juan David:</t>
        </r>
        <r>
          <rPr>
            <sz val="9"/>
            <color indexed="81"/>
            <rFont val="Tahoma"/>
            <family val="2"/>
          </rPr>
          <t xml:space="preserve">
Este valor corresponde al valor de la maquinaria mas combustible por hora, es un campo calculado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Juan David</author>
  </authors>
  <commentList>
    <comment ref="B6" authorId="0" shapeId="0" xr:uid="{61685027-F5CB-48C3-87CE-9C476F0DAEB5}">
      <text>
        <r>
          <rPr>
            <b/>
            <sz val="9"/>
            <color indexed="81"/>
            <rFont val="Tahoma"/>
            <family val="2"/>
          </rPr>
          <t>Juan David:</t>
        </r>
        <r>
          <rPr>
            <sz val="9"/>
            <color indexed="81"/>
            <rFont val="Tahoma"/>
            <family val="2"/>
          </rPr>
          <t xml:space="preserve">
El personal Operativo son todos aquellos que no entran en administracion ; eejmplo:
Obreros /ayudantes
Capataz</t>
        </r>
      </text>
    </comment>
    <comment ref="C8" authorId="0" shapeId="0" xr:uid="{BB6FB0B0-F71F-444B-A6E3-1DBCC5C31EB6}">
      <text>
        <r>
          <rPr>
            <b/>
            <sz val="9"/>
            <color indexed="81"/>
            <rFont val="Tahoma"/>
            <family val="2"/>
          </rPr>
          <t>Juan David:</t>
        </r>
        <r>
          <rPr>
            <sz val="9"/>
            <color indexed="81"/>
            <rFont val="Tahoma"/>
            <family val="2"/>
          </rPr>
          <t xml:space="preserve">
Este espacio es para añadir los elementos de proteccion personal que utilizara el personal operativo</t>
        </r>
      </text>
    </comment>
    <comment ref="D8" authorId="0" shapeId="0" xr:uid="{F4322980-ADA9-477A-98FD-FC91ED750711}">
      <text>
        <r>
          <rPr>
            <b/>
            <sz val="9"/>
            <color indexed="81"/>
            <rFont val="Tahoma"/>
            <family val="2"/>
          </rPr>
          <t>Juan David:</t>
        </r>
        <r>
          <rPr>
            <sz val="9"/>
            <color indexed="81"/>
            <rFont val="Tahoma"/>
            <family val="2"/>
          </rPr>
          <t xml:space="preserve">
Valor unitario del elemento de proteccion personal
</t>
        </r>
      </text>
    </comment>
    <comment ref="E8" authorId="0" shapeId="0" xr:uid="{1D046781-402D-4B64-9C1C-3A3772C7CA1A}">
      <text>
        <r>
          <rPr>
            <b/>
            <sz val="9"/>
            <color indexed="81"/>
            <rFont val="Tahoma"/>
            <family val="2"/>
          </rPr>
          <t xml:space="preserve">Juan David:
</t>
        </r>
        <r>
          <rPr>
            <sz val="9"/>
            <color indexed="81"/>
            <rFont val="Tahoma"/>
            <family val="2"/>
          </rPr>
          <t xml:space="preserve">Esta casilla esta reservada para poner la cantidad  TOTAL de elementos que se usaran en todo el proyecto
</t>
        </r>
      </text>
    </comment>
    <comment ref="E34" authorId="0" shapeId="0" xr:uid="{598D205E-B510-410F-AEDD-3B20350A7674}">
      <text>
        <r>
          <rPr>
            <b/>
            <sz val="9"/>
            <color indexed="81"/>
            <rFont val="Tahoma"/>
            <family val="2"/>
          </rPr>
          <t>Juan David:</t>
        </r>
        <r>
          <rPr>
            <sz val="9"/>
            <color indexed="81"/>
            <rFont val="Tahoma"/>
            <family val="2"/>
          </rPr>
          <t xml:space="preserve">
Campo reservado para ubicar si el proyecto debe terner en cuenta el alojamiento por cada persona</t>
        </r>
      </text>
    </comment>
    <comment ref="E35" authorId="0" shapeId="0" xr:uid="{BB15DEBD-3604-425D-B7D1-80B64A447F05}">
      <text>
        <r>
          <rPr>
            <b/>
            <sz val="9"/>
            <color indexed="81"/>
            <rFont val="Tahoma"/>
            <family val="2"/>
          </rPr>
          <t>Juan David:</t>
        </r>
        <r>
          <rPr>
            <sz val="9"/>
            <color indexed="81"/>
            <rFont val="Tahoma"/>
            <family val="2"/>
          </rPr>
          <t xml:space="preserve">
Campo dedicado a ubicar si el proyecto debe terner en cuenta la alimentacion por cada persona en el proyecto</t>
        </r>
      </text>
    </comment>
    <comment ref="C48" authorId="0" shapeId="0" xr:uid="{2A2152A9-2A8E-470D-B2F8-C6CD7CA0B4F9}">
      <text>
        <r>
          <rPr>
            <b/>
            <sz val="9"/>
            <color indexed="81"/>
            <rFont val="Tahoma"/>
            <family val="2"/>
          </rPr>
          <t>Juan David:</t>
        </r>
        <r>
          <rPr>
            <sz val="9"/>
            <color indexed="81"/>
            <rFont val="Tahoma"/>
            <family val="2"/>
          </rPr>
          <t xml:space="preserve">
En examenes medicos van los examenes realizados al trabajador al ser contratado, asi mismo las pruebas covid o cualquier otra prueba que sea exigida por el cliente.</t>
        </r>
      </text>
    </comment>
    <comment ref="C61" authorId="0" shapeId="0" xr:uid="{9FB03901-2FFF-49D4-BA28-B0FF0BBA4FB6}">
      <text>
        <r>
          <rPr>
            <b/>
            <sz val="9"/>
            <color indexed="81"/>
            <rFont val="Tahoma"/>
            <family val="2"/>
          </rPr>
          <t>Juan David:</t>
        </r>
        <r>
          <rPr>
            <sz val="9"/>
            <color indexed="81"/>
            <rFont val="Tahoma"/>
            <family val="2"/>
          </rPr>
          <t xml:space="preserve">
Los descuentos legales cambian conforme al pais,Chile tiene otrso descuentos legales que deben evaluarse, ver proyectos como sierra gorda</t>
        </r>
      </text>
    </comment>
    <comment ref="C79" authorId="0" shapeId="0" xr:uid="{5FDA32BA-555C-4AA5-B605-1216827AC0E7}">
      <text>
        <r>
          <rPr>
            <b/>
            <sz val="9"/>
            <color indexed="81"/>
            <rFont val="Tahoma"/>
            <family val="2"/>
          </rPr>
          <t>Juan David:</t>
        </r>
        <r>
          <rPr>
            <sz val="9"/>
            <color indexed="81"/>
            <rFont val="Tahoma"/>
            <family val="2"/>
          </rPr>
          <t xml:space="preserve">
Este campoe sta incluido para tener ne cuenta el transporte del personal hasta la obra, es decir si se debe terner en cuenta tiquetes y transporte aereo o terrestre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Juan David</author>
  </authors>
  <commentList>
    <comment ref="A4" authorId="0" shapeId="0" xr:uid="{B749749F-38FD-4C58-BAC3-F7A44D92EF95}">
      <text>
        <r>
          <rPr>
            <b/>
            <sz val="9"/>
            <color indexed="81"/>
            <rFont val="Tahoma"/>
            <family val="2"/>
          </rPr>
          <t>Juan David:</t>
        </r>
        <r>
          <rPr>
            <sz val="9"/>
            <color indexed="81"/>
            <rFont val="Tahoma"/>
            <family val="2"/>
          </rPr>
          <t xml:space="preserve">
Espacio reservado para el cargo , es decir, ingeniero,administrador,HSE,conductor, etc</t>
        </r>
      </text>
    </comment>
    <comment ref="C4" authorId="0" shapeId="0" xr:uid="{8741826E-04F9-49A8-81EA-819016507319}">
      <text>
        <r>
          <rPr>
            <b/>
            <sz val="9"/>
            <color indexed="81"/>
            <rFont val="Tahoma"/>
            <family val="2"/>
          </rPr>
          <t>Juan David:</t>
        </r>
        <r>
          <rPr>
            <sz val="9"/>
            <color indexed="81"/>
            <rFont val="Tahoma"/>
            <family val="2"/>
          </rPr>
          <t xml:space="preserve">
Espacio reservado para el sueldo Base de cada personal</t>
        </r>
      </text>
    </comment>
    <comment ref="E4" authorId="0" shapeId="0" xr:uid="{345A1CF8-4281-4A93-8073-663B9934A313}">
      <text>
        <r>
          <rPr>
            <b/>
            <sz val="9"/>
            <color indexed="81"/>
            <rFont val="Tahoma"/>
            <family val="2"/>
          </rPr>
          <t>Juan David:</t>
        </r>
        <r>
          <rPr>
            <sz val="9"/>
            <color indexed="81"/>
            <rFont val="Tahoma"/>
            <family val="2"/>
          </rPr>
          <t xml:space="preserve">
Espacio reservado a indicar si el personal es operativo o no operativo, es decir si entra o no en la administracion</t>
        </r>
      </text>
    </comment>
    <comment ref="F4" authorId="0" shapeId="0" xr:uid="{726298D2-3549-4305-A178-A18286341A55}">
      <text>
        <r>
          <rPr>
            <b/>
            <sz val="9"/>
            <color indexed="81"/>
            <rFont val="Tahoma"/>
            <family val="2"/>
          </rPr>
          <t>Juan David:</t>
        </r>
        <r>
          <rPr>
            <sz val="9"/>
            <color indexed="81"/>
            <rFont val="Tahoma"/>
            <family val="2"/>
          </rPr>
          <t xml:space="preserve">
Espacio calculado del factor prestacional, que correpsonde a los descuentos de ley, como arl, eps,afp, etc.</t>
        </r>
      </text>
    </comment>
    <comment ref="G4" authorId="0" shapeId="0" xr:uid="{A253A37B-09AE-43C4-9F0F-38DDDE711AD0}">
      <text>
        <r>
          <rPr>
            <b/>
            <sz val="9"/>
            <color indexed="81"/>
            <rFont val="Tahoma"/>
            <family val="2"/>
          </rPr>
          <t>Juan David:</t>
        </r>
        <r>
          <rPr>
            <sz val="9"/>
            <color indexed="81"/>
            <rFont val="Tahoma"/>
            <family val="2"/>
          </rPr>
          <t xml:space="preserve">
Los espacios en color amarillo corresponden a valores que se tienen en cuenta en CHILE , asi mismo si es otro pais debe ternerse en cuenta el factor prestacional de cada pais</t>
        </r>
      </text>
    </comment>
    <comment ref="H4" authorId="0" shapeId="0" xr:uid="{1D7E40F7-31C8-49E4-889A-4E3258EBAD8F}">
      <text>
        <r>
          <rPr>
            <b/>
            <sz val="9"/>
            <color indexed="81"/>
            <rFont val="Tahoma"/>
            <family val="2"/>
          </rPr>
          <t>Juan David:</t>
        </r>
        <r>
          <rPr>
            <sz val="9"/>
            <color indexed="81"/>
            <rFont val="Tahoma"/>
            <family val="2"/>
          </rPr>
          <t xml:space="preserve">
Los espacios en color amarillo corresponden a valores que se tienen en cuenta en CHILE , asi mismo si es otro pais debe ternerse en cuenta el factor prestacional de cada pais</t>
        </r>
      </text>
    </comment>
    <comment ref="I4" authorId="0" shapeId="0" xr:uid="{B3887EC6-78A3-40E9-AB5D-68F518BBD8F1}">
      <text>
        <r>
          <rPr>
            <b/>
            <sz val="9"/>
            <color indexed="81"/>
            <rFont val="Tahoma"/>
            <family val="2"/>
          </rPr>
          <t>Juan David:</t>
        </r>
        <r>
          <rPr>
            <sz val="9"/>
            <color indexed="81"/>
            <rFont val="Tahoma"/>
            <family val="2"/>
          </rPr>
          <t xml:space="preserve">
Los espacios en color amarillo corresponden a valores que se tienen en cuenta en CHILE , asi mismo si es otro pais debe ternerse en cuenta el factor prestacional de cada pais</t>
        </r>
      </text>
    </comment>
    <comment ref="J4" authorId="0" shapeId="0" xr:uid="{27726E12-D4F0-4423-A679-DCDD270F00E8}">
      <text>
        <r>
          <rPr>
            <b/>
            <sz val="9"/>
            <color indexed="81"/>
            <rFont val="Tahoma"/>
            <family val="2"/>
          </rPr>
          <t>Juan David:</t>
        </r>
        <r>
          <rPr>
            <sz val="9"/>
            <color indexed="81"/>
            <rFont val="Tahoma"/>
            <family val="2"/>
          </rPr>
          <t xml:space="preserve">
Campo calculado de todas las otras obligaciones que se deben contemplar para el calculo del factor prestacional</t>
        </r>
      </text>
    </comment>
    <comment ref="L4" authorId="0" shapeId="0" xr:uid="{20C4BEC3-9FCF-4CD1-921C-1BD0617F34B5}">
      <text>
        <r>
          <rPr>
            <b/>
            <sz val="9"/>
            <color indexed="81"/>
            <rFont val="Tahoma"/>
            <family val="2"/>
          </rPr>
          <t>Juan David:</t>
        </r>
        <r>
          <rPr>
            <sz val="9"/>
            <color indexed="81"/>
            <rFont val="Tahoma"/>
            <family val="2"/>
          </rPr>
          <t xml:space="preserve">
Campo calculado que indica que factor tiene el trabajador sumando todas las obligacione sy prestacione ssociales, este valor es llevado al APU en forma de dato no es parte de ninguna operacion</t>
        </r>
      </text>
    </comment>
    <comment ref="M4" authorId="0" shapeId="0" xr:uid="{191E6D09-160E-4D3B-AB37-7782F95A8D83}">
      <text>
        <r>
          <rPr>
            <b/>
            <sz val="9"/>
            <color indexed="81"/>
            <rFont val="Tahoma"/>
            <family val="2"/>
          </rPr>
          <t>Juan David:</t>
        </r>
        <r>
          <rPr>
            <sz val="9"/>
            <color indexed="81"/>
            <rFont val="Tahoma"/>
            <family val="2"/>
          </rPr>
          <t xml:space="preserve">
Este campo corresponde al valor real de cada trabajador, es decir el valor real por el cual la empresa paga por ese trabajador sumando pretsacione ssociales y otras obligaciones junto con el sueldo base</t>
        </r>
      </text>
    </comment>
    <comment ref="N4" authorId="0" shapeId="0" xr:uid="{7739C686-B765-4087-A223-F48BD8458B49}">
      <text>
        <r>
          <rPr>
            <b/>
            <sz val="9"/>
            <color indexed="81"/>
            <rFont val="Tahoma"/>
            <family val="2"/>
          </rPr>
          <t>Juan David:</t>
        </r>
        <r>
          <rPr>
            <sz val="9"/>
            <color indexed="81"/>
            <rFont val="Tahoma"/>
            <family val="2"/>
          </rPr>
          <t xml:space="preserve">
Horas hombre al mes</t>
        </r>
      </text>
    </comment>
    <comment ref="O4" authorId="0" shapeId="0" xr:uid="{2F93C5F9-ABD3-4201-8B38-B2BB8C69A7F5}">
      <text>
        <r>
          <rPr>
            <b/>
            <sz val="9"/>
            <color indexed="81"/>
            <rFont val="Tahoma"/>
            <family val="2"/>
          </rPr>
          <t>Juan David:</t>
        </r>
        <r>
          <rPr>
            <sz val="9"/>
            <color indexed="81"/>
            <rFont val="Tahoma"/>
            <family val="2"/>
          </rPr>
          <t xml:space="preserve">
Valor de las hora hombre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Juan David</author>
  </authors>
  <commentList>
    <comment ref="B4" authorId="0" shapeId="0" xr:uid="{064E6D1A-CD03-4642-B26E-C0CA9503DF9F}">
      <text>
        <r>
          <rPr>
            <b/>
            <sz val="9"/>
            <color indexed="81"/>
            <rFont val="Tahoma"/>
            <family val="2"/>
          </rPr>
          <t>Juan David:</t>
        </r>
        <r>
          <rPr>
            <sz val="9"/>
            <color indexed="81"/>
            <rFont val="Tahoma"/>
            <family val="2"/>
          </rPr>
          <t xml:space="preserve">
Espacio para el nombre del material o herramienta</t>
        </r>
      </text>
    </comment>
    <comment ref="C4" authorId="0" shapeId="0" xr:uid="{092A8429-D158-4E54-8AF0-E363E24FAF96}">
      <text>
        <r>
          <rPr>
            <b/>
            <sz val="9"/>
            <color indexed="81"/>
            <rFont val="Tahoma"/>
            <family val="2"/>
          </rPr>
          <t>Juan David:</t>
        </r>
        <r>
          <rPr>
            <sz val="9"/>
            <color indexed="81"/>
            <rFont val="Tahoma"/>
            <family val="2"/>
          </rPr>
          <t xml:space="preserve">
Espacio para unidad del material
</t>
        </r>
      </text>
    </comment>
    <comment ref="D4" authorId="0" shapeId="0" xr:uid="{C39531C2-BE51-4E13-8EBE-3D3EE98B3880}">
      <text>
        <r>
          <rPr>
            <b/>
            <sz val="9"/>
            <color indexed="81"/>
            <rFont val="Tahoma"/>
            <family val="2"/>
          </rPr>
          <t>Juan David:</t>
        </r>
        <r>
          <rPr>
            <sz val="9"/>
            <color indexed="81"/>
            <rFont val="Tahoma"/>
            <family val="2"/>
          </rPr>
          <t xml:space="preserve">
Valor unitario del material</t>
        </r>
      </text>
    </comment>
    <comment ref="E4" authorId="0" shapeId="0" xr:uid="{8541A92D-DB09-4F87-9C2C-E74210825B03}">
      <text>
        <r>
          <rPr>
            <b/>
            <sz val="9"/>
            <color indexed="81"/>
            <rFont val="Tahoma"/>
            <family val="2"/>
          </rPr>
          <t>Juan David:</t>
        </r>
        <r>
          <rPr>
            <sz val="9"/>
            <color indexed="81"/>
            <rFont val="Tahoma"/>
            <family val="2"/>
          </rPr>
          <t xml:space="preserve">
marca del material</t>
        </r>
      </text>
    </comment>
    <comment ref="F4" authorId="0" shapeId="0" xr:uid="{FC98CD85-6654-426F-97E2-19EAC741EB96}">
      <text>
        <r>
          <rPr>
            <b/>
            <sz val="9"/>
            <color indexed="81"/>
            <rFont val="Tahoma"/>
            <family val="2"/>
          </rPr>
          <t>Juan David:</t>
        </r>
        <r>
          <rPr>
            <sz val="9"/>
            <color indexed="81"/>
            <rFont val="Tahoma"/>
            <family val="2"/>
          </rPr>
          <t xml:space="preserve">
Proveedor al cual se realiza la cotizacion</t>
        </r>
      </text>
    </comment>
    <comment ref="G4" authorId="0" shapeId="0" xr:uid="{BE604BC7-A9B0-41A2-8A95-DB50F89A5F1D}">
      <text>
        <r>
          <rPr>
            <b/>
            <sz val="9"/>
            <color indexed="81"/>
            <rFont val="Tahoma"/>
            <family val="2"/>
          </rPr>
          <t>Juan David:</t>
        </r>
        <r>
          <rPr>
            <sz val="9"/>
            <color indexed="81"/>
            <rFont val="Tahoma"/>
            <family val="2"/>
          </rPr>
          <t xml:space="preserve">
Categoria a la cual pertenece, madera,concretos, o actividad</t>
        </r>
      </text>
    </comment>
    <comment ref="H4" authorId="0" shapeId="0" xr:uid="{124F3614-E1C3-4501-B6E2-970FB3C6BE0D}">
      <text>
        <r>
          <rPr>
            <b/>
            <sz val="9"/>
            <color indexed="81"/>
            <rFont val="Tahoma"/>
            <family val="2"/>
          </rPr>
          <t>Juan David:</t>
        </r>
        <r>
          <rPr>
            <sz val="9"/>
            <color indexed="81"/>
            <rFont val="Tahoma"/>
            <family val="2"/>
          </rPr>
          <t xml:space="preserve">
Cotizacion que se realizo, en este lugar se pone el link que dirige a adobe cloud</t>
        </r>
      </text>
    </comment>
    <comment ref="I4" authorId="0" shapeId="0" xr:uid="{4C3BDE68-B7C6-4E6E-A584-5C3D424CCCB8}">
      <text>
        <r>
          <rPr>
            <b/>
            <sz val="9"/>
            <color indexed="81"/>
            <rFont val="Tahoma"/>
            <family val="2"/>
          </rPr>
          <t>Juan David:</t>
        </r>
        <r>
          <rPr>
            <sz val="9"/>
            <color indexed="81"/>
            <rFont val="Tahoma"/>
            <family val="2"/>
          </rPr>
          <t xml:space="preserve">
Ficha tecnica del material , con el link que dirige a adobe cloud</t>
        </r>
      </text>
    </comment>
    <comment ref="J4" authorId="0" shapeId="0" xr:uid="{7A628619-6C74-40C5-85AB-FC0B420684FF}">
      <text>
        <r>
          <rPr>
            <b/>
            <sz val="9"/>
            <color indexed="81"/>
            <rFont val="Tahoma"/>
            <family val="2"/>
          </rPr>
          <t>Juan David:</t>
        </r>
        <r>
          <rPr>
            <sz val="9"/>
            <color indexed="81"/>
            <rFont val="Tahoma"/>
            <family val="2"/>
          </rPr>
          <t xml:space="preserve">
Cualquier tipo de observacion, como si se le agrego algun valor adicional a la cotizacion al precio final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Juan David</author>
  </authors>
  <commentList>
    <comment ref="G10" authorId="0" shapeId="0" xr:uid="{CF962012-D047-47A3-89EE-C2C64C8215D6}">
      <text>
        <r>
          <rPr>
            <b/>
            <sz val="9"/>
            <color indexed="81"/>
            <rFont val="Tahoma"/>
            <family val="2"/>
          </rPr>
          <t>Juan David:</t>
        </r>
        <r>
          <rPr>
            <sz val="9"/>
            <color indexed="81"/>
            <rFont val="Tahoma"/>
            <family val="2"/>
          </rPr>
          <t xml:space="preserve">
</t>
        </r>
        <r>
          <rPr>
            <sz val="15"/>
            <color indexed="81"/>
            <rFont val="Tahoma"/>
            <family val="2"/>
          </rPr>
          <t>mes de administracion , tener en cuenta que si el tiempo estimado son 6 meses, el programa no contara lo que se evalue despues de ese tiempo</t>
        </r>
      </text>
    </comment>
    <comment ref="B12" authorId="0" shapeId="0" xr:uid="{B1F9B09F-EFA8-4A9D-9973-36B09463A418}">
      <text>
        <r>
          <rPr>
            <b/>
            <sz val="9"/>
            <color indexed="81"/>
            <rFont val="Tahoma"/>
            <family val="2"/>
          </rPr>
          <t>Juan David:</t>
        </r>
        <r>
          <rPr>
            <sz val="9"/>
            <color indexed="81"/>
            <rFont val="Tahoma"/>
            <family val="2"/>
          </rPr>
          <t xml:space="preserve">
Personal a utilizar en la administracion</t>
        </r>
      </text>
    </comment>
    <comment ref="C12" authorId="0" shapeId="0" xr:uid="{FCBDDA9B-DF80-4968-AAC6-17FF50A520FA}">
      <text>
        <r>
          <rPr>
            <b/>
            <sz val="9"/>
            <color indexed="81"/>
            <rFont val="Tahoma"/>
            <family val="2"/>
          </rPr>
          <t>Juan David:</t>
        </r>
        <r>
          <rPr>
            <sz val="9"/>
            <color indexed="81"/>
            <rFont val="Tahoma"/>
            <family val="2"/>
          </rPr>
          <t xml:space="preserve">
Cantidad de ese personal por mes</t>
        </r>
      </text>
    </comment>
    <comment ref="D12" authorId="0" shapeId="0" xr:uid="{A6F1A636-741B-4D45-9CC8-55619C9F5E12}">
      <text>
        <r>
          <rPr>
            <b/>
            <sz val="9"/>
            <color indexed="81"/>
            <rFont val="Tahoma"/>
            <family val="2"/>
          </rPr>
          <t>Juan David:</t>
        </r>
        <r>
          <rPr>
            <sz val="9"/>
            <color indexed="81"/>
            <rFont val="Tahoma"/>
            <family val="2"/>
          </rPr>
          <t xml:space="preserve">
Este valor lo trae de la tabal de mano de obra</t>
        </r>
      </text>
    </comment>
    <comment ref="E12" authorId="0" shapeId="0" xr:uid="{9EC67C57-CC87-4898-91B2-E7C021822BC1}">
      <text>
        <r>
          <rPr>
            <b/>
            <sz val="9"/>
            <color indexed="81"/>
            <rFont val="Tahoma"/>
            <family val="2"/>
          </rPr>
          <t>Juan David:</t>
        </r>
        <r>
          <rPr>
            <sz val="9"/>
            <color indexed="81"/>
            <rFont val="Tahoma"/>
            <family val="2"/>
          </rPr>
          <t xml:space="preserve">
Factor prestacional correspondiente a ese personal</t>
        </r>
      </text>
    </comment>
    <comment ref="F12" authorId="0" shapeId="0" xr:uid="{E4BE7CEB-25D5-41A9-BAF3-0497706BEBAD}">
      <text>
        <r>
          <rPr>
            <b/>
            <sz val="9"/>
            <color indexed="81"/>
            <rFont val="Tahoma"/>
            <family val="2"/>
          </rPr>
          <t>Juan David:</t>
        </r>
        <r>
          <rPr>
            <sz val="9"/>
            <color indexed="81"/>
            <rFont val="Tahoma"/>
            <family val="2"/>
          </rPr>
          <t xml:space="preserve">
Valor real de ese personal mas las prestaciones y otras obligaciones sumadas</t>
        </r>
      </text>
    </comment>
    <comment ref="G12" authorId="0" shapeId="0" xr:uid="{24B88C6F-A153-4E8F-87D7-F4D17FB650A1}">
      <text>
        <r>
          <rPr>
            <b/>
            <sz val="9"/>
            <color indexed="81"/>
            <rFont val="Tahoma"/>
            <family val="2"/>
          </rPr>
          <t>Juan David:</t>
        </r>
        <r>
          <rPr>
            <sz val="9"/>
            <color indexed="81"/>
            <rFont val="Tahoma"/>
            <family val="2"/>
          </rPr>
          <t xml:space="preserve">
Subtotal correspondiente a la cantidad de personal por el valor mensual del personal</t>
        </r>
      </text>
    </comment>
    <comment ref="A35" authorId="0" shapeId="0" xr:uid="{DE9838C6-66CF-4B7F-8C43-3D126C985C9C}">
      <text>
        <r>
          <rPr>
            <b/>
            <sz val="9"/>
            <color indexed="81"/>
            <rFont val="Tahoma"/>
            <family val="2"/>
          </rPr>
          <t>Juan David:</t>
        </r>
        <r>
          <rPr>
            <sz val="9"/>
            <color indexed="81"/>
            <rFont val="Tahoma"/>
            <family val="2"/>
          </rPr>
          <t xml:space="preserve">
Equipo o maquinaria para ese mes, este valor se trae de la lista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Juan David</author>
  </authors>
  <commentList>
    <comment ref="G10" authorId="0" shapeId="0" xr:uid="{0CBFD433-A4CF-49E1-8178-17524C6C6CB8}">
      <text>
        <r>
          <rPr>
            <b/>
            <sz val="9"/>
            <color indexed="81"/>
            <rFont val="Tahoma"/>
            <family val="2"/>
          </rPr>
          <t>Juan David:</t>
        </r>
        <r>
          <rPr>
            <sz val="9"/>
            <color indexed="81"/>
            <rFont val="Tahoma"/>
            <family val="2"/>
          </rPr>
          <t xml:space="preserve">
</t>
        </r>
        <r>
          <rPr>
            <sz val="15"/>
            <color indexed="81"/>
            <rFont val="Tahoma"/>
            <family val="2"/>
          </rPr>
          <t>mes de administracion , tener en cuenta que si el tiempo estimado son 6 meses, el programa no contara lo que se evalue despues de ese tiempo</t>
        </r>
      </text>
    </comment>
    <comment ref="B12" authorId="0" shapeId="0" xr:uid="{21273A4D-2BBC-4EBF-B353-E995F4AAB09B}">
      <text>
        <r>
          <rPr>
            <b/>
            <sz val="9"/>
            <color indexed="81"/>
            <rFont val="Tahoma"/>
            <family val="2"/>
          </rPr>
          <t>Juan David:</t>
        </r>
        <r>
          <rPr>
            <sz val="9"/>
            <color indexed="81"/>
            <rFont val="Tahoma"/>
            <family val="2"/>
          </rPr>
          <t xml:space="preserve">
Personal a utilizar en la administracion</t>
        </r>
      </text>
    </comment>
    <comment ref="C12" authorId="0" shapeId="0" xr:uid="{9EB4D508-6697-440C-8143-05877EE8209E}">
      <text>
        <r>
          <rPr>
            <b/>
            <sz val="9"/>
            <color indexed="81"/>
            <rFont val="Tahoma"/>
            <family val="2"/>
          </rPr>
          <t>Juan David:</t>
        </r>
        <r>
          <rPr>
            <sz val="9"/>
            <color indexed="81"/>
            <rFont val="Tahoma"/>
            <family val="2"/>
          </rPr>
          <t xml:space="preserve">
Cantidad de ese personal por mes</t>
        </r>
      </text>
    </comment>
    <comment ref="D12" authorId="0" shapeId="0" xr:uid="{10327CB4-9BB3-4DAF-A98B-D1FA734FE4E2}">
      <text>
        <r>
          <rPr>
            <b/>
            <sz val="9"/>
            <color indexed="81"/>
            <rFont val="Tahoma"/>
            <family val="2"/>
          </rPr>
          <t>Juan David:</t>
        </r>
        <r>
          <rPr>
            <sz val="9"/>
            <color indexed="81"/>
            <rFont val="Tahoma"/>
            <family val="2"/>
          </rPr>
          <t xml:space="preserve">
Este valor lo trae de la tabal de mano de obra</t>
        </r>
      </text>
    </comment>
    <comment ref="E12" authorId="0" shapeId="0" xr:uid="{3D643F01-42E0-49DC-A627-9C6E7787ECCF}">
      <text>
        <r>
          <rPr>
            <b/>
            <sz val="9"/>
            <color indexed="81"/>
            <rFont val="Tahoma"/>
            <family val="2"/>
          </rPr>
          <t>Juan David:</t>
        </r>
        <r>
          <rPr>
            <sz val="9"/>
            <color indexed="81"/>
            <rFont val="Tahoma"/>
            <family val="2"/>
          </rPr>
          <t xml:space="preserve">
Factor prestacional correspondiente a ese personal</t>
        </r>
      </text>
    </comment>
    <comment ref="F12" authorId="0" shapeId="0" xr:uid="{91026C1C-6B77-4F9F-ACCE-469C2200AA0B}">
      <text>
        <r>
          <rPr>
            <b/>
            <sz val="9"/>
            <color indexed="81"/>
            <rFont val="Tahoma"/>
            <family val="2"/>
          </rPr>
          <t>Juan David:</t>
        </r>
        <r>
          <rPr>
            <sz val="9"/>
            <color indexed="81"/>
            <rFont val="Tahoma"/>
            <family val="2"/>
          </rPr>
          <t xml:space="preserve">
Valor real de ese personal mas las prestaciones y otras obligaciones sumadas</t>
        </r>
      </text>
    </comment>
    <comment ref="G12" authorId="0" shapeId="0" xr:uid="{9368041F-BB0A-491C-BD78-F13D3C6F40CF}">
      <text>
        <r>
          <rPr>
            <b/>
            <sz val="9"/>
            <color indexed="81"/>
            <rFont val="Tahoma"/>
            <family val="2"/>
          </rPr>
          <t>Juan David:</t>
        </r>
        <r>
          <rPr>
            <sz val="9"/>
            <color indexed="81"/>
            <rFont val="Tahoma"/>
            <family val="2"/>
          </rPr>
          <t xml:space="preserve">
Subtotal correspondiente a la cantidad de personal por el valor mensual del personal</t>
        </r>
      </text>
    </comment>
    <comment ref="A39" authorId="0" shapeId="0" xr:uid="{3271BF7B-5340-442A-A951-B0F67B94A80A}">
      <text>
        <r>
          <rPr>
            <b/>
            <sz val="9"/>
            <color indexed="81"/>
            <rFont val="Tahoma"/>
            <family val="2"/>
          </rPr>
          <t>Juan David:</t>
        </r>
        <r>
          <rPr>
            <sz val="9"/>
            <color indexed="81"/>
            <rFont val="Tahoma"/>
            <family val="2"/>
          </rPr>
          <t xml:space="preserve">
Equipo o maquinaria para ese mes, este valor se trae de la lista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Juan David</author>
  </authors>
  <commentList>
    <comment ref="G10" authorId="0" shapeId="0" xr:uid="{C1BE0419-4472-4F08-BFB3-BB35E63FF1A1}">
      <text>
        <r>
          <rPr>
            <b/>
            <sz val="9"/>
            <color indexed="81"/>
            <rFont val="Tahoma"/>
            <family val="2"/>
          </rPr>
          <t>Juan David:</t>
        </r>
        <r>
          <rPr>
            <sz val="9"/>
            <color indexed="81"/>
            <rFont val="Tahoma"/>
            <family val="2"/>
          </rPr>
          <t xml:space="preserve">
</t>
        </r>
        <r>
          <rPr>
            <sz val="15"/>
            <color indexed="81"/>
            <rFont val="Tahoma"/>
            <family val="2"/>
          </rPr>
          <t>mes de administracion , tener en cuenta que si el tiempo estimado son 6 meses, el programa no contara lo que se evalue despues de ese tiempo</t>
        </r>
      </text>
    </comment>
    <comment ref="B12" authorId="0" shapeId="0" xr:uid="{A980B212-99BF-4ECC-B7C5-696E96126CA4}">
      <text>
        <r>
          <rPr>
            <b/>
            <sz val="9"/>
            <color indexed="81"/>
            <rFont val="Tahoma"/>
            <family val="2"/>
          </rPr>
          <t>Juan David:</t>
        </r>
        <r>
          <rPr>
            <sz val="9"/>
            <color indexed="81"/>
            <rFont val="Tahoma"/>
            <family val="2"/>
          </rPr>
          <t xml:space="preserve">
Personal a utilizar en la administracion</t>
        </r>
      </text>
    </comment>
    <comment ref="C12" authorId="0" shapeId="0" xr:uid="{F594A16D-EDBE-4922-BCFE-B1D1B62AB5FF}">
      <text>
        <r>
          <rPr>
            <b/>
            <sz val="9"/>
            <color indexed="81"/>
            <rFont val="Tahoma"/>
            <family val="2"/>
          </rPr>
          <t>Juan David:</t>
        </r>
        <r>
          <rPr>
            <sz val="9"/>
            <color indexed="81"/>
            <rFont val="Tahoma"/>
            <family val="2"/>
          </rPr>
          <t xml:space="preserve">
Cantidad de ese personal por mes</t>
        </r>
      </text>
    </comment>
    <comment ref="D12" authorId="0" shapeId="0" xr:uid="{0CF8E069-72EA-47F4-B67D-2E34379D0DEF}">
      <text>
        <r>
          <rPr>
            <b/>
            <sz val="9"/>
            <color indexed="81"/>
            <rFont val="Tahoma"/>
            <family val="2"/>
          </rPr>
          <t>Juan David:</t>
        </r>
        <r>
          <rPr>
            <sz val="9"/>
            <color indexed="81"/>
            <rFont val="Tahoma"/>
            <family val="2"/>
          </rPr>
          <t xml:space="preserve">
Este valor lo trae de la tabal de mano de obra</t>
        </r>
      </text>
    </comment>
    <comment ref="E12" authorId="0" shapeId="0" xr:uid="{3C5BF87C-BC98-4E95-9B7E-A069CEF8BF4E}">
      <text>
        <r>
          <rPr>
            <b/>
            <sz val="9"/>
            <color indexed="81"/>
            <rFont val="Tahoma"/>
            <family val="2"/>
          </rPr>
          <t>Juan David:</t>
        </r>
        <r>
          <rPr>
            <sz val="9"/>
            <color indexed="81"/>
            <rFont val="Tahoma"/>
            <family val="2"/>
          </rPr>
          <t xml:space="preserve">
Factor prestacional correspondiente a ese personal</t>
        </r>
      </text>
    </comment>
    <comment ref="F12" authorId="0" shapeId="0" xr:uid="{1324F7F0-5692-448A-9A51-90F200F13D74}">
      <text>
        <r>
          <rPr>
            <b/>
            <sz val="9"/>
            <color indexed="81"/>
            <rFont val="Tahoma"/>
            <family val="2"/>
          </rPr>
          <t>Juan David:</t>
        </r>
        <r>
          <rPr>
            <sz val="9"/>
            <color indexed="81"/>
            <rFont val="Tahoma"/>
            <family val="2"/>
          </rPr>
          <t xml:space="preserve">
Valor real de ese personal mas las prestaciones y otras obligaciones sumadas</t>
        </r>
      </text>
    </comment>
    <comment ref="G12" authorId="0" shapeId="0" xr:uid="{6040F7F5-906A-43F5-8659-74BE4BA68F5B}">
      <text>
        <r>
          <rPr>
            <b/>
            <sz val="9"/>
            <color indexed="81"/>
            <rFont val="Tahoma"/>
            <family val="2"/>
          </rPr>
          <t>Juan David:</t>
        </r>
        <r>
          <rPr>
            <sz val="9"/>
            <color indexed="81"/>
            <rFont val="Tahoma"/>
            <family val="2"/>
          </rPr>
          <t xml:space="preserve">
Subtotal correspondiente a la cantidad de personal por el valor mensual del personal</t>
        </r>
      </text>
    </comment>
    <comment ref="A39" authorId="0" shapeId="0" xr:uid="{1038832D-BC44-4517-8BFD-91E0207CB17F}">
      <text>
        <r>
          <rPr>
            <b/>
            <sz val="9"/>
            <color indexed="81"/>
            <rFont val="Tahoma"/>
            <family val="2"/>
          </rPr>
          <t>Juan David:</t>
        </r>
        <r>
          <rPr>
            <sz val="9"/>
            <color indexed="81"/>
            <rFont val="Tahoma"/>
            <family val="2"/>
          </rPr>
          <t xml:space="preserve">
Equipo o maquinaria para ese mes, este valor se trae de la lista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<sst xmlns="http://schemas.openxmlformats.org/spreadsheetml/2006/main" count="7556" uniqueCount="597">
  <si>
    <t>PAIS</t>
  </si>
  <si>
    <t>DEPARTAMENTO/ COMUNA</t>
  </si>
  <si>
    <t>NOMBRE DEL PROYECTO</t>
  </si>
  <si>
    <t>FECHA</t>
  </si>
  <si>
    <t>UND</t>
  </si>
  <si>
    <t>VALOR MES</t>
  </si>
  <si>
    <t>COTIZACION</t>
  </si>
  <si>
    <t xml:space="preserve">FICHA TECNICA </t>
  </si>
  <si>
    <t>LISTA DE MAQUINARIA</t>
  </si>
  <si>
    <t>PERSONAL</t>
  </si>
  <si>
    <t xml:space="preserve">UNIDAD </t>
  </si>
  <si>
    <t xml:space="preserve">V MENSUAL </t>
  </si>
  <si>
    <t>FACTOR PRESTACIONAL</t>
  </si>
  <si>
    <t>HORAS TRABAJO AL MES</t>
  </si>
  <si>
    <t>VALOR HORA</t>
  </si>
  <si>
    <t>LISTA DE MATERIALES</t>
  </si>
  <si>
    <t>MATERIAL</t>
  </si>
  <si>
    <t>V UNITARIO</t>
  </si>
  <si>
    <t xml:space="preserve">MARCA </t>
  </si>
  <si>
    <t xml:space="preserve">PROVEEDOR </t>
  </si>
  <si>
    <t>USO-CATEGORIA</t>
  </si>
  <si>
    <t>OBSERVACION</t>
  </si>
  <si>
    <t xml:space="preserve">DURACION DEL PROYECTO </t>
  </si>
  <si>
    <t>Personal</t>
  </si>
  <si>
    <t>Cantidad</t>
  </si>
  <si>
    <t>Sueldo base</t>
  </si>
  <si>
    <t>Factor prestacional</t>
  </si>
  <si>
    <t>Valor mas factor prestacional</t>
  </si>
  <si>
    <t>Valor mensual</t>
  </si>
  <si>
    <t>Sub total Personal</t>
  </si>
  <si>
    <t xml:space="preserve">Equipo </t>
  </si>
  <si>
    <t>Horas mes</t>
  </si>
  <si>
    <t>Valor mensual + Combustible</t>
  </si>
  <si>
    <t>Valor Total</t>
  </si>
  <si>
    <t xml:space="preserve">Combustible Hora </t>
  </si>
  <si>
    <t>Valor galon</t>
  </si>
  <si>
    <t xml:space="preserve">Sub total equipo </t>
  </si>
  <si>
    <t xml:space="preserve">Transporte </t>
  </si>
  <si>
    <t xml:space="preserve">cantidad </t>
  </si>
  <si>
    <t xml:space="preserve">Valor unitario </t>
  </si>
  <si>
    <t>Valor total</t>
  </si>
  <si>
    <t xml:space="preserve">Tiquetes aereos </t>
  </si>
  <si>
    <t xml:space="preserve">Trancporte maquinaria </t>
  </si>
  <si>
    <t xml:space="preserve">Viajes obra </t>
  </si>
  <si>
    <t>Mes</t>
  </si>
  <si>
    <t xml:space="preserve">Sub total Transporte </t>
  </si>
  <si>
    <t>TOTAL MES</t>
  </si>
  <si>
    <t>TOTAL</t>
  </si>
  <si>
    <t>IMPUESTOS</t>
  </si>
  <si>
    <t>CONCEPTO</t>
  </si>
  <si>
    <t>VALOR BASE LIQUIDACION</t>
  </si>
  <si>
    <t>TARIFA</t>
  </si>
  <si>
    <t>VALOR TOTAL</t>
  </si>
  <si>
    <t>GARANTIAS</t>
  </si>
  <si>
    <t>AMPARO</t>
  </si>
  <si>
    <t>VALOR BASE LIQUIDACIÓN</t>
  </si>
  <si>
    <t>% ASEGURADO</t>
  </si>
  <si>
    <t>VIGENCIA (MES)</t>
  </si>
  <si>
    <t>TASA</t>
  </si>
  <si>
    <t>ITEM</t>
  </si>
  <si>
    <t xml:space="preserve">CANTIDAD </t>
  </si>
  <si>
    <t>IVA</t>
  </si>
  <si>
    <t>ALIMENTACION Y ALOJAMIENTO</t>
  </si>
  <si>
    <t>VALOR UNITARIO</t>
  </si>
  <si>
    <t>VALOR DIARIO</t>
  </si>
  <si>
    <t>NO</t>
  </si>
  <si>
    <t xml:space="preserve">IVA </t>
  </si>
  <si>
    <t xml:space="preserve">DESCUENTOS LEGALES </t>
  </si>
  <si>
    <t xml:space="preserve">TOTALES MES POR MES </t>
  </si>
  <si>
    <t>TRAYECTO</t>
  </si>
  <si>
    <t>COSTO TOTAL VUELOS</t>
  </si>
  <si>
    <t>COSTO MES</t>
  </si>
  <si>
    <t>Sub total</t>
  </si>
  <si>
    <t xml:space="preserve">CAPITULO </t>
  </si>
  <si>
    <t xml:space="preserve">ITEM </t>
  </si>
  <si>
    <t>DESCRIPCION</t>
  </si>
  <si>
    <t>CANT</t>
  </si>
  <si>
    <t xml:space="preserve">% MANO DE OBRA </t>
  </si>
  <si>
    <t>OFERTA AJUSTADA 2</t>
  </si>
  <si>
    <t>V. UNIT. MAQUINARIA</t>
  </si>
  <si>
    <t xml:space="preserve">V.TOTAL. MAQUINARIA </t>
  </si>
  <si>
    <t>V. UNIT. MATERIALES</t>
  </si>
  <si>
    <t>V.TOTAL. COMBUSTIBLE</t>
  </si>
  <si>
    <t>V.TOTAL MATERIALES</t>
  </si>
  <si>
    <t>% PESO DEL ITEM EN P.</t>
  </si>
  <si>
    <t>SUBTOTAL</t>
  </si>
  <si>
    <t>IMPREVISTOS</t>
  </si>
  <si>
    <t>UTILIDAD</t>
  </si>
  <si>
    <t xml:space="preserve">ANALISIS DE PRECIOS UNITARIOS </t>
  </si>
  <si>
    <t xml:space="preserve">Unidad </t>
  </si>
  <si>
    <t xml:space="preserve">Rendimiento general </t>
  </si>
  <si>
    <t>I - MAQUINARIA Y EQUIPO</t>
  </si>
  <si>
    <t>VR/VH</t>
  </si>
  <si>
    <t xml:space="preserve">RENIDMINETO </t>
  </si>
  <si>
    <t>III - TRANSPORTE</t>
  </si>
  <si>
    <t>II - MATERIALES</t>
  </si>
  <si>
    <t xml:space="preserve">IV - PERSONAL </t>
  </si>
  <si>
    <t>FAC.PRES</t>
  </si>
  <si>
    <t xml:space="preserve">TOTAL COSTOS DIRECTOS </t>
  </si>
  <si>
    <t>ADMINISTRACION</t>
  </si>
  <si>
    <t>TOTAL COSTOS INDIRECTOS (A+I+U)</t>
  </si>
  <si>
    <t>VALOR TOTALPRECIO UNITARIO</t>
  </si>
  <si>
    <t>NOTAS</t>
  </si>
  <si>
    <t>DESCUENTOS LEGALES</t>
  </si>
  <si>
    <t>OTRAS OBLIGACIONES</t>
  </si>
  <si>
    <t>% OTRAS OBLIGACIONES</t>
  </si>
  <si>
    <t>ADMINISTRATIVO</t>
  </si>
  <si>
    <t>RENDIMIENTO COMBUSTIBLE</t>
  </si>
  <si>
    <t>SUBTOTAL MAQUINARIA SIN COMBUSTIBLE</t>
  </si>
  <si>
    <t xml:space="preserve">VALOR COMBUSTIBLE HORA </t>
  </si>
  <si>
    <t>TRANSPORTE (VUELOS,BUS,ETC)</t>
  </si>
  <si>
    <t>TOTAL ADMINISTRACION</t>
  </si>
  <si>
    <t>UTILIDAD (U)</t>
  </si>
  <si>
    <t xml:space="preserve">DIVISION POR MES </t>
  </si>
  <si>
    <t>TOTAL DE LA OFERTA</t>
  </si>
  <si>
    <t xml:space="preserve">%MAQUINARIA </t>
  </si>
  <si>
    <t xml:space="preserve">%COMBUSTIBLE </t>
  </si>
  <si>
    <t xml:space="preserve">%MATERIALES </t>
  </si>
  <si>
    <t>V.TOTAL MANO OBRA</t>
  </si>
  <si>
    <t>V. UNIT. MANO DE OBRA</t>
  </si>
  <si>
    <t xml:space="preserve">VALOR MES MAS FACTOR PRESTACIONAL </t>
  </si>
  <si>
    <t>%</t>
  </si>
  <si>
    <t>V- COSTOS INDIRECTOS</t>
  </si>
  <si>
    <t xml:space="preserve">OBSERVACIONES: </t>
  </si>
  <si>
    <t xml:space="preserve">Contrato n°: </t>
  </si>
  <si>
    <t>Contratista:</t>
  </si>
  <si>
    <t>Pagina n°:</t>
  </si>
  <si>
    <t>de:</t>
  </si>
  <si>
    <t>Interventor:</t>
  </si>
  <si>
    <t>MATERIALES</t>
  </si>
  <si>
    <t>Aldesa</t>
  </si>
  <si>
    <t>MANO DE OBRA</t>
  </si>
  <si>
    <t>ADMIISTRACION</t>
  </si>
  <si>
    <t>OFERTA</t>
  </si>
  <si>
    <t>CUANTIFICADO</t>
  </si>
  <si>
    <t>LISTADO DE MATERIALES</t>
  </si>
  <si>
    <t>CANTIDAD</t>
  </si>
  <si>
    <t>UNIDAD</t>
  </si>
  <si>
    <t>COSTO UN</t>
  </si>
  <si>
    <t>COSTO TOTAL</t>
  </si>
  <si>
    <t>DURACION EN DIAS</t>
  </si>
  <si>
    <t>V. UNIT.COGBUSTIBLE</t>
  </si>
  <si>
    <t>V.COSTO DIRECTO ITEM</t>
  </si>
  <si>
    <t>V.UNIT.DIRECTO</t>
  </si>
  <si>
    <t>H.DE TRABAJO DIA</t>
  </si>
  <si>
    <t>REND. DEL ITEM HORA</t>
  </si>
  <si>
    <t>REND. ITEM AL DIA</t>
  </si>
  <si>
    <t xml:space="preserve">DURACION EN HORAS </t>
  </si>
  <si>
    <t>DURACION EM MESES</t>
  </si>
  <si>
    <t>COSTO HORA TRABRAJO</t>
  </si>
  <si>
    <t>C.HORA..MAQUINARIA</t>
  </si>
  <si>
    <t>C.HORA.COMBUSTIBLE</t>
  </si>
  <si>
    <t xml:space="preserve">C.HORA..MANO DE OBRA </t>
  </si>
  <si>
    <t xml:space="preserve">Suma de V.TOTAL. MAQUINARIA </t>
  </si>
  <si>
    <t>Suma de V.TOTAL. COMBUSTIBLE</t>
  </si>
  <si>
    <t>Suma de V.TOTAL MATERIALES</t>
  </si>
  <si>
    <t>Suma de V.TOTAL MANO OBRA</t>
  </si>
  <si>
    <t>(Todas)</t>
  </si>
  <si>
    <t>Valores</t>
  </si>
  <si>
    <t>COSTO DIRECTO OPTIMO</t>
  </si>
  <si>
    <t xml:space="preserve">COSTO OFERTA </t>
  </si>
  <si>
    <t>ADMINISTRACION PROYECTADA</t>
  </si>
  <si>
    <t>% DE ADMINISTRACION PROYECTADA</t>
  </si>
  <si>
    <t>% IMPREVISTOS</t>
  </si>
  <si>
    <t>(A+I) PROYECTADO</t>
  </si>
  <si>
    <t>% UTILIDAD PROYECTADA</t>
  </si>
  <si>
    <t>SUBTOTAL GARANTIAS</t>
  </si>
  <si>
    <t>SUBTOTAL IMPUESTO</t>
  </si>
  <si>
    <t xml:space="preserve">Suma de %COMBUSTIBLE </t>
  </si>
  <si>
    <t xml:space="preserve">Suma de %MATERIALES </t>
  </si>
  <si>
    <t xml:space="preserve">Suma de % MANO DE OBRA </t>
  </si>
  <si>
    <t xml:space="preserve">Suma de %MAQUINARIA </t>
  </si>
  <si>
    <t>GRAFICO POR ITEM</t>
  </si>
  <si>
    <t>GRAFICO PARA PROYECTO</t>
  </si>
  <si>
    <t>DEPARTAMENTO</t>
  </si>
  <si>
    <t>Nombre de lproyecto</t>
  </si>
  <si>
    <t>COSTO PROYECTADO OFERTA (AI+CDO)</t>
  </si>
  <si>
    <t>C.HORA..MATERIALES</t>
  </si>
  <si>
    <t>UTILIDAD PROYECTADA</t>
  </si>
  <si>
    <t>Todas las partidas incluyen todos aquellos medios y elementos complementarios para su adecuada ejecución finalización y puesta en servicio para para que desarrolle correctamente el fin para el que ha sido diseñado.</t>
  </si>
  <si>
    <t>Las mediciones, tanto partidas como cantidades, son orientativas, quedando dentro del alcance del contratista su revisión, y modificación si fuese necesario, así como la inclusión de cualquier otro material, trabajo o servicio necesario para la ejecución.</t>
  </si>
  <si>
    <t>ADMINISTRACION (A)</t>
  </si>
  <si>
    <t>IMPREVISTOS (I)</t>
  </si>
  <si>
    <t>-</t>
  </si>
  <si>
    <t>VR/HR</t>
  </si>
  <si>
    <t>CUATRO POR MIL</t>
  </si>
  <si>
    <t>INDUSTRIA Y COMERCIO</t>
  </si>
  <si>
    <t>CREE</t>
  </si>
  <si>
    <t>FIC</t>
  </si>
  <si>
    <t>VUELO IDA Y VUELTA</t>
  </si>
  <si>
    <t>TRANSPORTE OBRA</t>
  </si>
  <si>
    <t>Cumplimiento del contrato</t>
  </si>
  <si>
    <t>Correcto uso del anticipo</t>
  </si>
  <si>
    <t>Prestaciones laborales (Grantias de pago de contratos)</t>
  </si>
  <si>
    <t>Responsabilidad civil extracontractual</t>
  </si>
  <si>
    <t>Calidad de la obra</t>
  </si>
  <si>
    <t>VALOR TOTAL OFERTA 1</t>
  </si>
  <si>
    <t>VALOR TOTAL OFERTA 2</t>
  </si>
  <si>
    <t>Suma de % PESO DEL ITEM EN P.</t>
  </si>
  <si>
    <t>PORCENTAJE DE INCIDENCIA</t>
  </si>
  <si>
    <t>SI</t>
  </si>
  <si>
    <t>RANGO NO BORRAR</t>
  </si>
  <si>
    <t>ALIMENTACION-ALOJAMIENTO  NO OPERATIVOS</t>
  </si>
  <si>
    <t>ALIMENTACION-ALOJAMIENTO OPERATIVOS</t>
  </si>
  <si>
    <t>TRANSPORTE OPERATIVOS</t>
  </si>
  <si>
    <t>TRANSPORTE NO OPERATIVOS</t>
  </si>
  <si>
    <t>OBLIGACIONES OPERATIVOS</t>
  </si>
  <si>
    <t>OBLIGACIONES NO OPERATIVOS</t>
  </si>
  <si>
    <t>INDEMNIZACION TIEMPO SERVIDO</t>
  </si>
  <si>
    <t>LIQUIDACION DE FERIADOS</t>
  </si>
  <si>
    <t>GRATIFICACION</t>
  </si>
  <si>
    <t>Subtotal Mensual</t>
  </si>
  <si>
    <t>Subtotal maquianria y equipo</t>
  </si>
  <si>
    <t>CESANTIAS</t>
  </si>
  <si>
    <t>INTERESES A LA CENSATIA</t>
  </si>
  <si>
    <t>PRIMA DE SERVICIOS</t>
  </si>
  <si>
    <t>VACACIONES</t>
  </si>
  <si>
    <t>SENA</t>
  </si>
  <si>
    <t>ICBF</t>
  </si>
  <si>
    <t>CAJA DE COMPENSACION</t>
  </si>
  <si>
    <t>SALUD</t>
  </si>
  <si>
    <t>PARAFISCALES SOBRE VACIOPNES</t>
  </si>
  <si>
    <t>SEGURIDAD SOCIAL SOBRE VACIONES</t>
  </si>
  <si>
    <t xml:space="preserve">PENSIONES </t>
  </si>
  <si>
    <t>RIESGOS PROFESIONALES</t>
  </si>
  <si>
    <t>OTROS</t>
  </si>
  <si>
    <t>NOMBRE DEL PROYECTO (PROJECT NAME)</t>
  </si>
  <si>
    <t>CIUDAD OFICINA (OFFICE CITY)</t>
  </si>
  <si>
    <t>PAIS (COUNTRY)</t>
  </si>
  <si>
    <t>FECHA  (DATE)</t>
  </si>
  <si>
    <t>DURACION PROYECTO (PROJECT DURATION)</t>
  </si>
  <si>
    <t>FECHA (DATE)</t>
  </si>
  <si>
    <t>MAQUINARIA (MACHINERY)</t>
  </si>
  <si>
    <t>MAQUINARIA O EQUIPO (MACHINERY AND EQUIP)</t>
  </si>
  <si>
    <t>UND (UNIT)</t>
  </si>
  <si>
    <t>VALOR ALQUILES MES (MONTHLY RENT)</t>
  </si>
  <si>
    <t>TIEMPO USO AL MES (TIME OF USE MONTH)</t>
  </si>
  <si>
    <t>VALOR UNITARIO HORA (UNIT HOUR VALUE)</t>
  </si>
  <si>
    <t>CONSUMO COMBUSTIBLE HORA  (UNIT HOUR VALUE)</t>
  </si>
  <si>
    <t>VALOR GALON COMBUSTIBLE (FUEL GALLON VALUE)</t>
  </si>
  <si>
    <t>VALOR COMBUSTIBLE POR HORA (FUEL GALLON VALUE PER HOUR)</t>
  </si>
  <si>
    <t>VALOR TOTAL HORA (TOTAL HOURLY)</t>
  </si>
  <si>
    <t>MODELO (MODEL)</t>
  </si>
  <si>
    <t>AÑO (YEAR)</t>
  </si>
  <si>
    <t>PROVEEDOR (SUPPLIER)</t>
  </si>
  <si>
    <t>FICHA TECNICA (TECHNICAL DATA)</t>
  </si>
  <si>
    <t>FACTOR PRESTACIONAL (PERFORMANCE FACTOR)</t>
  </si>
  <si>
    <t>EPP OPERATIVOS (OPERATING PPE)</t>
  </si>
  <si>
    <t>EPP NO OPERATIVOS (NOT OPERATING PPE)</t>
  </si>
  <si>
    <t>EPP ( PERSONAL PROTECTIVE EQUIPMENT)</t>
  </si>
  <si>
    <t>VALOR UNITARIO (UNIT VALUE)</t>
  </si>
  <si>
    <t>CANTIDAD TOTAL PARA EL PROYECTO (PROJECT QUANTITY)</t>
  </si>
  <si>
    <t>CANTIDAD MES (QUANTITY PER MONTH)</t>
  </si>
  <si>
    <t>VALOR TOTAL (TOTAL VALUE)</t>
  </si>
  <si>
    <t xml:space="preserve">VALOR TOTAL (TOTAL VALUE)+IVA </t>
  </si>
  <si>
    <t>RESPUESTA  (ANSWER)</t>
  </si>
  <si>
    <t>VALOR DIARIO (DAILY VALUE)</t>
  </si>
  <si>
    <t>EL  PROYECTO TIENE COSTOS DE ALOJAMIENTO (COST OF HOUSING)</t>
  </si>
  <si>
    <t>EL  PROYECTO TIENE COSTOS DE ALIMENTACION (FOOD COST)</t>
  </si>
  <si>
    <t>ALOJAMIENTO(HOSTING)</t>
  </si>
  <si>
    <t>ALIMENTACION (FOOD)</t>
  </si>
  <si>
    <t>HIDRATACION (HYDRATION)</t>
  </si>
  <si>
    <t>VALUE SUBTOTAL</t>
  </si>
  <si>
    <t xml:space="preserve">VALOR TOTAL (TOTAL VALUE) + IVA </t>
  </si>
  <si>
    <t>EXAMENES MEDICOS (MEDICAL EXAMS)</t>
  </si>
  <si>
    <t>VALOR TOTAL (VALUE TOTAL + IVA)</t>
  </si>
  <si>
    <t>REVISION POR GERENCIA</t>
  </si>
  <si>
    <t>REVISION POR COORDINADOR</t>
  </si>
  <si>
    <t>AJUSTE DE OFERTA</t>
  </si>
  <si>
    <t>FECHA DE PRESENTACION DE OFERTA</t>
  </si>
  <si>
    <t>DIAS RESTANTES</t>
  </si>
  <si>
    <t>HOY</t>
  </si>
  <si>
    <t>DESCRIPCION DE LA ACTIVIDAD</t>
  </si>
  <si>
    <t>PRECIO UNITARIO</t>
  </si>
  <si>
    <t>MES</t>
  </si>
  <si>
    <t>SUBTOTAL PERSONAL</t>
  </si>
  <si>
    <t>SUBTOTAL EQUIPO</t>
  </si>
  <si>
    <t>SUBTOTAL TRANSPORTE</t>
  </si>
  <si>
    <t>ANALISIS DE PRECIOS UNITARIOS  (UNIT PRICE ANALYSIS)</t>
  </si>
  <si>
    <t>Unidad (UNIT)</t>
  </si>
  <si>
    <t>I - MAQUINARIA Y EQUIPO (Machinery and equipment)</t>
  </si>
  <si>
    <t>DESCRIPCION (DESCRIPTION)</t>
  </si>
  <si>
    <t>UNIDAD (UNIT)</t>
  </si>
  <si>
    <t xml:space="preserve">CANTIDAD (QUANTITY) </t>
  </si>
  <si>
    <t>VR/VH (VALOR HORA)</t>
  </si>
  <si>
    <t>Rendimiento hora (hourly output)</t>
  </si>
  <si>
    <t>RENDIMIENTO (yield)</t>
  </si>
  <si>
    <t>II - MATERIALES (MATERIALS)</t>
  </si>
  <si>
    <t>III - TRANSPORTE (TRANSPORT)</t>
  </si>
  <si>
    <t>IV - PERSONAL ( LABOR)</t>
  </si>
  <si>
    <t>TOTAL COSTOS DIRECTOS  (TOTAL DIRECT COST)</t>
  </si>
  <si>
    <t>V- COSTOS INDIRECTOS ( INDIRECT COSTS)</t>
  </si>
  <si>
    <t>ADMINISTRACION (ADMINISTRATION)</t>
  </si>
  <si>
    <t>IMPREVISTOS (IMPROVISED)</t>
  </si>
  <si>
    <t>UTILIDAD (UTILITY)</t>
  </si>
  <si>
    <t>TOTAL COSTOS INDIRECTOS - TOTAL INDIRECT COSTS  (A+I+U)</t>
  </si>
  <si>
    <t>VALOR TOTALPRECIO UNITARIO - TOTAL VALUE UNIT PRICE</t>
  </si>
  <si>
    <t xml:space="preserve">OBSERVACIONES (COMMENTS): </t>
  </si>
  <si>
    <t>CAPATAZ</t>
  </si>
  <si>
    <t>CONDUCTOR</t>
  </si>
  <si>
    <t>COORDINADOR DE CALIDAD</t>
  </si>
  <si>
    <t>DIRECTOR DE OBRA</t>
  </si>
  <si>
    <t>INGENIERO DE CALIDAD</t>
  </si>
  <si>
    <t>INGENIERO RESIDENTE ELECTRICO</t>
  </si>
  <si>
    <t>OBRERO/AYUDANTE</t>
  </si>
  <si>
    <t xml:space="preserve">OPERADOR </t>
  </si>
  <si>
    <t>TECNICO</t>
  </si>
  <si>
    <t>ACREDITADORA</t>
  </si>
  <si>
    <t>AUXILIAR INGENIERIA</t>
  </si>
  <si>
    <t>INGENIERO AMBIENTAL</t>
  </si>
  <si>
    <t>LOGISTICA</t>
  </si>
  <si>
    <t>INGENIERO RESIDENTE CIVIL</t>
  </si>
  <si>
    <t>ADMINISTRADOR</t>
  </si>
  <si>
    <t>SECRETARIA</t>
  </si>
  <si>
    <t>ALMACENISTA</t>
  </si>
  <si>
    <t>ENCARGADO DE COMPRAS</t>
  </si>
  <si>
    <t>COORDINADOR HSE</t>
  </si>
  <si>
    <t>Camisas en jean</t>
  </si>
  <si>
    <t>Jean indigo</t>
  </si>
  <si>
    <t>botas Robustas PVC amarilla</t>
  </si>
  <si>
    <t>Guante en vaqueta Refuerzo Interno</t>
  </si>
  <si>
    <t>Casco Steelpro ref Eco rachet Blanco</t>
  </si>
  <si>
    <t>Barbuquejo de 4 puntos</t>
  </si>
  <si>
    <t>Guantes Multiflex Poliester Nitrilo</t>
  </si>
  <si>
    <t>Lentes Steelpro</t>
  </si>
  <si>
    <t>Chalecos Reflectivos Citylux</t>
  </si>
  <si>
    <t>Brazalete Portacarnet 3 reflectivos</t>
  </si>
  <si>
    <t>Polaina cuello</t>
  </si>
  <si>
    <t>termo</t>
  </si>
  <si>
    <t>Casco  especial Steelpro ref Eco rachet Blanco</t>
  </si>
  <si>
    <t>Botas 8" sistema antiesgunce</t>
  </si>
  <si>
    <t xml:space="preserve">Polaina cuello </t>
  </si>
  <si>
    <t>COLOMBIA</t>
  </si>
  <si>
    <t>BOGOTA</t>
  </si>
  <si>
    <t>LA DORADA</t>
  </si>
  <si>
    <t xml:space="preserve">Movilización, instalación campamento </t>
  </si>
  <si>
    <t>Localizacion Topografica del sistema de Hincas</t>
  </si>
  <si>
    <t>GLB</t>
  </si>
  <si>
    <t>Hincado Directo. El contratista debe garantizar un rendimiento eficiente en este proceso para cumplir con los plazos establecidos. Para lograrlo, es necesario contar con suficientes hincadoras y evitar retrasos en los hitos. Asegurar que los cabezales de las incadoras sean los apropiados para evitar daños físicos en la superficie de golpeado.</t>
  </si>
  <si>
    <t>Ensamblaje Preliminar y Montaje de la Estructura. Incluye toda la logística relacionada con el traslado de los elementos "hincas" y "tracker" al lugar de trabajo.</t>
  </si>
  <si>
    <t xml:space="preserve">Alineación y Torsión de la Estructura. El contratista debe disponer de las herramientas y equipos (deben estar calibrados y certificados) necesarios para garantizar la calidad en la ejecución. </t>
  </si>
  <si>
    <t>Montaje y Alineación de Módulos. El contratista debe utilizar las guías y accesorios del fabricante que permiten la estricta alienación de los módulos, utilizar las herramientas calibradas adecuadas y aplicar el torque según las tablas de torqueado. El contratista es responsable de la disposición de los residuos generados durante esta actividad y de los empaques como cartón, madera y plástico en el sitio establecido por powerchina.</t>
  </si>
  <si>
    <t>Instalacion del Motor. Asegurar el acoplamiento mecánico de todo el sistema servomoter. Utilizando las herramietnas calibradas adecuadas. Seguir estrictamente las instrucciones del manual de instalación del fabricante.</t>
  </si>
  <si>
    <t>Instalación de NCUS. El contratista debe encargarse de la construcción de la cimentación y el montaje de la estructura y accesorios que garanticen la correcta ubicación y sujeción del equipo.  Seguir estrictamente las instrucciones del manual de instalación del fabricante.</t>
  </si>
  <si>
    <t>Instalacion TCU. El contratista debe asegurar la sujeción del equipo a la estrcutra del tracker siguiendo estrictamente las instrucciones del manual de instalación del fabricante.</t>
  </si>
  <si>
    <t>Recomposición, desmovilización y limpieza final</t>
  </si>
  <si>
    <t>Und</t>
  </si>
  <si>
    <t>Global</t>
  </si>
  <si>
    <t>TELEHANDLER</t>
  </si>
  <si>
    <t>CAMION RAMPA</t>
  </si>
  <si>
    <t>VALOR / HORA</t>
  </si>
  <si>
    <t>EXCAVADORA 120</t>
  </si>
  <si>
    <t>CAMION TOLVA-VOLQUETA</t>
  </si>
  <si>
    <t>TELEHANDLER---</t>
  </si>
  <si>
    <t>CAMION RAMPA---</t>
  </si>
  <si>
    <t>HINCADORA</t>
  </si>
  <si>
    <t>HINCADORA---</t>
  </si>
  <si>
    <t>OBRERO/CALIDAD</t>
  </si>
  <si>
    <t>HERRAMIENTA MENOR</t>
  </si>
  <si>
    <t>FIERROS</t>
  </si>
  <si>
    <t>HINCADOR</t>
  </si>
  <si>
    <t>HERRAMIENTA MENOR---</t>
  </si>
  <si>
    <t>Columna1</t>
  </si>
  <si>
    <t>TORQUIMETRO DIGITAL - ACREDITACION</t>
  </si>
  <si>
    <t>TORQUIMETRO DIGITAL - ACREDITACION---</t>
  </si>
  <si>
    <t>HERRAMIENTA TORQUE HILTI</t>
  </si>
  <si>
    <t>HERRAMIENTA TORQUE HILTI---</t>
  </si>
  <si>
    <t>CAMIONETA</t>
  </si>
  <si>
    <t>CAMIONETA---</t>
  </si>
  <si>
    <t>TOPOGRAFO</t>
  </si>
  <si>
    <t>Conexión de módulos fotovoltaicos con conectores MC4 (Seriado de modulos), incluye suministro de bridas o amarres plásticos con protección UV y certificación de producto RETIE, figurado del cable, corte de puntas sobrantes de las bridas y comprobación de la conexión.</t>
  </si>
  <si>
    <t>Instalación de conector enchufable tipo MC4 para cable 1x6 mm2 ZZ-F 0,6/1kV (1,8 kV DC) Cu (par macho-hembra). Instalación debe incluir el corte, crimpado y conectorización del cable y conexionado a la entrada del inversor o al conector del cable solar a la salida de los strings, según lo indicado en planos.</t>
  </si>
  <si>
    <t xml:space="preserve">Instalación de conector MC4 tipo Y para cable 1x6 mm2 ZZ-F 0,6/1kV (1,8 kV DC) Cu (par macho-hembra). Instalación debe incluir el corte, crimpado y conectorización del cable </t>
  </si>
  <si>
    <t>UN</t>
  </si>
  <si>
    <t>ML</t>
  </si>
  <si>
    <t>Elaboración de Empalme para cable de 1x630 mm2 - XLPE - 18/30 KV según RETIE. Incluye la preparación del cable, la disponibilidad de las herramientas adecuadas, el montaje del empalme según las especificaciones dadas por el fabricante, la figuración del cable dentro de la caja de paso o arqueta conservando la distancia del diametro de curvatura del cable dada por el fabricante.</t>
  </si>
  <si>
    <t>Instalación de la power station JUPITER-6000K-H1, incluye cargue desde el tractocamión y descargue sobre la cimentación correspondiente,  mediante el uso de maquina tipo grua de gran tonelaje, la disponibilidad del palomier, eslingas y demás accesorios de izaje según el diseño y el plan de izaje especificado por el contratista y aprobado por Powerchina. Incluye material de fijación tipo soldadura en todas las partes definidas por el fabricante, limpieza con epoxico y aplicación de pintura anticorrosiva y galvanizado en los puntos de soldadura, y todo lo necesario para su correcta instalación.</t>
  </si>
  <si>
    <t>Connection of pyranometers NCU (sensor trackers) - todas las conexiones requeridas para dejar la NCU operativas</t>
  </si>
  <si>
    <t>Tendido de cable de cobre desnudo 2/0 AWG - clase B,  incluye transporte del carrete en vehículo apropiado desde el centro de acopio del parque hasta el sitio de tendido, tendido dentro de la zanja, los equipos y accesorios requeridos para el tendido técnico del cable asegurando la protección del personal y la integridad física del cable y todo lo necesario para su correcta ejecución.</t>
  </si>
  <si>
    <t xml:space="preserve">Suministro e instalación de puntos de soldadura exotermica para unión entre cable CU 2/0 AWG a cable CU 2/0 AWG, cable CU 1/0AWG a cable 2/0 AWG, Cable CU 2/0AWG a Varilla de cobre 5/8"x2,44 mt. en X, T, horizontal  y demás configuraciones que se indiquen. Marca TECNOWELD, Incluye el suministro de los insumos y el kit de herramientas con sus accesorios. </t>
  </si>
  <si>
    <t>Suministro e instalación de barra de cobre para equipotencialidad de tierra de 12 perforaciones y dimensiones 300x50x10mm ubicada en el sitio indicado por los planos del SPT.</t>
  </si>
  <si>
    <t xml:space="preserve">Suministro e Instalación de varilla de cobre-cobre 100%, de 5/8" x 2.44 m. Incluye el empleo de las herrramientas adecuadas para el enterramiento de la varilla en tierra, </t>
  </si>
  <si>
    <t>Suministro e instalacion de cajas de inspección y medida para el SPT. Según REITE.</t>
  </si>
  <si>
    <t>Zanja tipo 1, 2,  BT-AC Secciónes 1.05 x 0.38 m, 1.05 x 0.66m,  Incluye el perfilado del contorno de la zanja con las herramietas adecuadas, la disposición del material excavado a 1 metro de la zanja, la separación del descapote o capa orgánica con el resto del material excavado.</t>
  </si>
  <si>
    <t>Zanja tipo 3, 4, 5, 6  BT-AC Secciónes 1.34 x 0.68 m, 1.34 x 0.96m.  Incluye el perfilado del contorno de la zanja con las herramietas adecuadas, la disposición del material excavado a 1 metro de la zanja, la separación del descapote o capa orgánica con el resto del material excavado.</t>
  </si>
  <si>
    <t>Zanja tipo 7, 8, 9, 10 BT-AC Secciónes 1.34 x 1.26 m, 1.34 x 1.55m. Incluye el perfilado del contorno de la zanja con las herramietas adecuadas, la disposición del material excavado a 1 metro de la zanja, la separación del descapote o capa orgánica con el resto del material excavado.</t>
  </si>
  <si>
    <t>Zanja tipo 1 y 2  BT-DC secciónes 0.90 x 0,95 m y 1.15 x 0.95m. Incluye el perfilado del contorno de la zanja con las herramietas adecuadas, la disposición del material excavado a 1 metro de la zanja, la separación del descapote o capa orgánica con el resto del material excavado.</t>
  </si>
  <si>
    <t>Suministro y vertimiento Concreto para revestido de zanjas en cruces viales para zanjas BT tipo H</t>
  </si>
  <si>
    <t>Suministro e instalacion de monolito de señalización 50x0,15x0,15 deberán ser instalados cada 100m en tramos rectos. también  en donde el trazado cambie de dirección.</t>
  </si>
  <si>
    <t>M3</t>
  </si>
  <si>
    <t>BRIDA PLASTICA UV</t>
  </si>
  <si>
    <t>CONECTOR MC4</t>
  </si>
  <si>
    <t>PROTECCION PLASTICA ML</t>
  </si>
  <si>
    <t>PROTECCION PLASTICA ML---</t>
  </si>
  <si>
    <t>CARRETES</t>
  </si>
  <si>
    <t>CARRETES---</t>
  </si>
  <si>
    <t>BRIDA PLASTICA UV---</t>
  </si>
  <si>
    <t>ETIQUETA PLASTICA</t>
  </si>
  <si>
    <t>ETIQUETA PLASTICA---</t>
  </si>
  <si>
    <t>CAMION GRUA</t>
  </si>
  <si>
    <t>CAMION GRUA---</t>
  </si>
  <si>
    <t>EMPALME MEDIA TENSION</t>
  </si>
  <si>
    <t>EMPALME MEDIA TENSION---</t>
  </si>
  <si>
    <t>CONECTOR FIBRA OPTICA SC</t>
  </si>
  <si>
    <t>CONECTOR FIBRA OPTICA SC---</t>
  </si>
  <si>
    <t>EXCAVADORA 120---</t>
  </si>
  <si>
    <t xml:space="preserve">CINTA PRECAUCION </t>
  </si>
  <si>
    <t>CINTA PRECAUCION ---</t>
  </si>
  <si>
    <t xml:space="preserve">CONCRETO </t>
  </si>
  <si>
    <t>CONCRETO ---</t>
  </si>
  <si>
    <t xml:space="preserve">ARENA </t>
  </si>
  <si>
    <t>ARENA ---</t>
  </si>
  <si>
    <t>TUBERIA CORRUGADA PEAD 2 PULGADAS</t>
  </si>
  <si>
    <t>TUBERIA CORRUGADA PEAD 2 PULGADAS---</t>
  </si>
  <si>
    <t>TUBERIA 4"</t>
  </si>
  <si>
    <t>TUBERIA 6"</t>
  </si>
  <si>
    <t>TUBERIA 6"---</t>
  </si>
  <si>
    <t>monolito</t>
  </si>
  <si>
    <t>und</t>
  </si>
  <si>
    <t>monolito---</t>
  </si>
  <si>
    <t>soldadura exotermica 250gr</t>
  </si>
  <si>
    <t>chispero</t>
  </si>
  <si>
    <t>pinza universal</t>
  </si>
  <si>
    <t>molde de soldadura</t>
  </si>
  <si>
    <t>soldadura exotermica 250gr---</t>
  </si>
  <si>
    <t>chispero---</t>
  </si>
  <si>
    <t>pinza universal---</t>
  </si>
  <si>
    <t>molde de soldadura---</t>
  </si>
  <si>
    <t>Perno + arandela</t>
  </si>
  <si>
    <t>Perno + arandela---</t>
  </si>
  <si>
    <t>conector bimetalico</t>
  </si>
  <si>
    <t>conector bimetalico---</t>
  </si>
  <si>
    <t>Barra de cobre</t>
  </si>
  <si>
    <t>Barra de cobre---</t>
  </si>
  <si>
    <t>latiguillo</t>
  </si>
  <si>
    <t>ml</t>
  </si>
  <si>
    <t>latiguillo---</t>
  </si>
  <si>
    <t>MECANICO</t>
  </si>
  <si>
    <t>ELECTRICO</t>
  </si>
  <si>
    <t>USD MW</t>
  </si>
  <si>
    <t>COP MW</t>
  </si>
  <si>
    <t>MW</t>
  </si>
  <si>
    <t>PRICE MW</t>
  </si>
  <si>
    <t>OFERTA USD</t>
  </si>
  <si>
    <t>Conector de fibra optica</t>
  </si>
  <si>
    <t xml:space="preserve">Megger </t>
  </si>
  <si>
    <t>Megger ---</t>
  </si>
  <si>
    <t>Prueba de rigidez electrica</t>
  </si>
  <si>
    <t>MINICARGADOR</t>
  </si>
  <si>
    <t>MINICARGADOR---</t>
  </si>
  <si>
    <t>COMPACTADOR 2T</t>
  </si>
  <si>
    <t>MOTO BOMBA</t>
  </si>
  <si>
    <t>COMPACTADOR 2T---</t>
  </si>
  <si>
    <t>MOTO BOMBA---</t>
  </si>
  <si>
    <t>MINIBUS</t>
  </si>
  <si>
    <t>MINIBUS---</t>
  </si>
  <si>
    <t>Transporte de Equipo</t>
  </si>
  <si>
    <t>Transporte de Equipo---</t>
  </si>
  <si>
    <t>Movilizacion de personal</t>
  </si>
  <si>
    <t>persona</t>
  </si>
  <si>
    <t>Movilizacion de personal---</t>
  </si>
  <si>
    <t>Poncho para punto topografico</t>
  </si>
  <si>
    <t>Poncho para punto topografico---</t>
  </si>
  <si>
    <t>Equipo Topografico</t>
  </si>
  <si>
    <t>Equipo Topografico---</t>
  </si>
  <si>
    <t>Galvanizado en frio</t>
  </si>
  <si>
    <t>gal</t>
  </si>
  <si>
    <t>Herramienta mecanizado</t>
  </si>
  <si>
    <t>OBRERO/ GALVANIZADO</t>
  </si>
  <si>
    <t>OBRERO / MECANIZADO</t>
  </si>
  <si>
    <t>Galvanizado en frio---</t>
  </si>
  <si>
    <t>Marcadores</t>
  </si>
  <si>
    <t>Marcadores---</t>
  </si>
  <si>
    <t>un</t>
  </si>
  <si>
    <t>PROGRAMADOR</t>
  </si>
  <si>
    <t>VIGIA HSE</t>
  </si>
  <si>
    <t>SUPERVISOR CALIDAD</t>
  </si>
  <si>
    <t>AUXILIAR ADMINISTRATIVO</t>
  </si>
  <si>
    <t>SUPERVISOR DE AREA</t>
  </si>
  <si>
    <t>CONTROL MATERIAL</t>
  </si>
  <si>
    <t>CONTROL DOCUMENTAL</t>
  </si>
  <si>
    <t>Caja menor</t>
  </si>
  <si>
    <t>mes</t>
  </si>
  <si>
    <t>Equipos de Computo</t>
  </si>
  <si>
    <t>Arriendo oficina la dorada</t>
  </si>
  <si>
    <t>Gastos administrativos</t>
  </si>
  <si>
    <t>Elementos HSE</t>
  </si>
  <si>
    <t>Contenedor Oficina</t>
  </si>
  <si>
    <t>Contenedor Almacen</t>
  </si>
  <si>
    <t>Internet en obra</t>
  </si>
  <si>
    <t xml:space="preserve">Mobiliario </t>
  </si>
  <si>
    <t>Generador electrico</t>
  </si>
  <si>
    <t>Hidratacion</t>
  </si>
  <si>
    <t>Caja menor---</t>
  </si>
  <si>
    <t>Equipos de Computo---</t>
  </si>
  <si>
    <t>Papeleria---</t>
  </si>
  <si>
    <t>Arriendo oficina la dorada---</t>
  </si>
  <si>
    <t>Gastos administrativos---</t>
  </si>
  <si>
    <t>Elementos HSE---</t>
  </si>
  <si>
    <t>Contenedor Oficina---</t>
  </si>
  <si>
    <t>Contenedor Almacen---</t>
  </si>
  <si>
    <t>Internet en obra---</t>
  </si>
  <si>
    <t>Mobiliario ---</t>
  </si>
  <si>
    <t>Generador electrico---</t>
  </si>
  <si>
    <t>Hidratacion---</t>
  </si>
  <si>
    <t>Baños y limpieza</t>
  </si>
  <si>
    <t>Instalacion de contenedores</t>
  </si>
  <si>
    <t>Estacion de tornilleria</t>
  </si>
  <si>
    <t>Baños y limpieza---</t>
  </si>
  <si>
    <t>Estacion de tornilleria---</t>
  </si>
  <si>
    <t>Instalacion de contenedores---</t>
  </si>
  <si>
    <t>AUXILIAR MECANICO</t>
  </si>
  <si>
    <t>Carro taller</t>
  </si>
  <si>
    <t>Carro taller---</t>
  </si>
  <si>
    <t>PC</t>
  </si>
  <si>
    <t>INGENIERO RESIDENTE MECANICO</t>
  </si>
  <si>
    <t>PROFESIONAL SOCIAL</t>
  </si>
  <si>
    <t>Patio taller</t>
  </si>
  <si>
    <t>Insumo de oficina</t>
  </si>
  <si>
    <t>Papeleria y Impresora---</t>
  </si>
  <si>
    <t>Insumo de oficina---</t>
  </si>
  <si>
    <t xml:space="preserve">Transporte maquinaria </t>
  </si>
  <si>
    <t>Excavación, relleno y compactación de Zanja tipo 1 para MT, sección (bxh) 0,45 m x 1.1 m. Incluye el perfilado del contorno de la zanja con las herramietas adecuadas,  la separación del descapote o capa orgánica con el resto del material excavado y la disposición del material excavado. En cualquier caso solo se permitirá un máximo de 10 cm de material de excavación sobre el nivel del terreno. Inlcuye suministro de cintas de señalización y arena  según las especificaciones del Anexo 005 Especificaciones Técnicas BOS Tepuy - EPM y los documentos de ingeniería (Layout zanjas MT y detalles). La compactación debe realizarse en capas y se deben ejecutar los correspondientes ensayos de densidad.</t>
  </si>
  <si>
    <t>Excavación, relleno y compactación de Zanja tipo 2 para MT, sección (bxh) 0,72 m x 1.1 m. Incluye el perfilado del contorno de la zanja con las herramietas adecuadas,  la separación del descapote o capa orgánica con el resto del material excavado y la disposición del material excavado. En cualquier caso solo se permitirá un máximo de 10 cm de material de excavación sobre el nivel del terreno. Inlcuye suministro de cintas de señalización y arena  según las especificaciones del Anexo 005 Especificaciones Técnicas BOS Tepuy - EPM y los documentos de ingeniería (Layout zanjas MT y detalles). La compactación debe realizarse en capas y se deben ejecutar los correspondientes ensayos de densidad.</t>
  </si>
  <si>
    <t>Excavación, relleno y compactación de Zanja tipo 3 para MT, sección (bxh) 0,72 m x 1.36 m. Incluye el perfilado del contorno de la zanja con las herramietas adecuadas,  la separación del descapote o capa orgánica con el resto del material excavado y la disposición del material excavado. En cualquier caso solo se permitirá un máximo de 10 cm de material de excavación sobre el nivel del terreno. Inlcuye suministro de cintas de señalización y arena  según las especificaciones del Anexo 005 Especificaciones Técnicas BOS Tepuy - EPM y los documentos de ingeniería (Layout zanjas MT y detalles). La compactación debe realizarse en capas y se deben ejecutar los correspondientes ensayos de densidad.</t>
  </si>
  <si>
    <t>Instalación de latiguillo de cable de cobre desnudo No. 2 AWG para puesta a tierra . Incluye suministro e Instalación de conector bimetálico tipo pala de 1 hueco para calibre de 2 AWG con certificación RETIE. con tornillo , tuerca, arandela plana y arandela de presión, tendido del latiguillo hacia la excavación del SPT, la excavación manual desde estructura a la zanja del SPT y demás accesorios para fijación en forma correcta.</t>
  </si>
  <si>
    <t xml:space="preserve">Conector de conductor bimetalico </t>
  </si>
  <si>
    <t>Conector de conductor bimetalico ---</t>
  </si>
  <si>
    <t>Instalación de latiguillo en cable de cobre aislado No. 2 AWG (0,5 metros c/u)para puesta a tierra de inversor a la estructura metálica de sujeción. Incluye suministro e Instalación de conector bimetálico tipo pala de 1 hueco para calibre de 2 AWG con certificación RETIE. con tornillo , tuerca, arandela plana y arandela de presión y la sección del  termoencogible de color verde según RETIE para conectar en ambas puntas del latiguillo. Incluye mecanizado en la estructura metálica, y demás accesorios que permitan la correcta sujeción del cable a la estructura.</t>
  </si>
  <si>
    <t>Termocontraible</t>
  </si>
  <si>
    <t>Termocontraible---</t>
  </si>
  <si>
    <t>Excavación, relleno y compactación de Zanja tipo X para Malla de tierra, sección (bxh) 0,30 m 0.50 m. Incluye el perfilado del contorno de la zanja con las herramietas adecuadas,  la separación del descapote o capa orgánica con el resto del material excavado y la disposición del material excavado. En cualquier caso solo se permitirá un máximo de 10 cm de material de excavación sobre el nivel del terreno. Inlcuye suministros acorde a las especificaciones del Anexo 005 Especificaciones Técnicas BOS Tepuy - EPM y los documentos de ingeniería (Layout zanjas y detalles). La compactación debe realizarse en capas y se deben ejecutar los correspondientes ensayos de densidad.</t>
  </si>
  <si>
    <t>Instalacion y suminsitro de pararrayos tipo PDCE con dispositivo de cebado electronico tipo mastil, temperatura de funcionamiento -10°C a +40°C. Consumo electrico 30 mA +-5% . Incluir accesorios de sujeción adaptacion tipo mastil, bajante en cable de cobre aislado No. 2/0 AWG, accesorios de sujeción del cable a superficie de concreto o metálica, según diseño entregado por powerchina y cumplimiento de RETIE.  Incluye la certificación de conformidad RETIE y certificación de producto del fabricante</t>
  </si>
  <si>
    <t>Instalación de puente de cable solar para la conexiónes adicionales entre modulos (salto de motor).  incluye suministro de amarres plásticos con protección UV y certificación de producto RETIE, figurado del cable, corte de puntas sobrantes de las bridas y comprobación de la conexión. Incluye medición de resistencia de aislamiento y polaridad a todos los circuitos instalados con sus conectores.</t>
  </si>
  <si>
    <t>Tendido de cable solar 1x6 mm2 ZZ-F 0,6/1kV (1,8 kV DC), incluye tendido aéreo adosado a los trackers y subterraneo por ducto de 2"; incluye suministro de amarres plásticos con protección UV y certificación de producto RETIE, figurado y peinado del cable, corte de puntas sobrantes de las bridas, , marquillado en ambas puntas de cada cable. Incluye medición de resistencia de aislamiento y polaridad a todos los circuitos instalados con sus conectores. (Las colas de los cables salientes de los módulos fotovoltaicos NO se cuentan como instalados y se consideran incluidos en el item 1.1)</t>
  </si>
  <si>
    <t>Tendido AL/XLPE/PVC/STA/PVC, 2kV 1 x 400mm2, incluye transporte del carrete en vehículo apropiado desde el centro de acopio del parque hasta el sitio de tendido, tendido dentro de la zanja, suministro e instalación de accesorios de sujeción (Amarrres plásticos)  para formar la terna del circuito, los equipos y accesorios requeridos para el tendido técnico del cable asegurando la protección del personal y la integridad física del cable y todo lo necesario para su correcta ejecución. Incluye prueba de medida de resistencia de aislamiento.   (Nota: STA: Cable con armadura)</t>
  </si>
  <si>
    <t xml:space="preserve">Instalación de conector bimetálico tipo pala para AC-BT 1x400 mm2 según RETIE. Incluye la conexión a la bornera del inversor y al tablero de BT de la Power Station, Incluye el suministro e instalación de la marquilla del cable, de la sección de termoencogible en el color requerido según RETIE. incluye certificación de conformidad RETIE y certificación de producto del fabricante. </t>
  </si>
  <si>
    <t>Tendido de cable  AL/XLPE/CTS/PVC/STA/PVC, 38kV 1 x 400mm2, incluye transporte en vehículo apropiado desde el centro de acopio del parque hasta el sitio de tendido, tendido dentro de la zanja, suministro e instalación de accesorios de sujeción  (Amarrres plásticos)  para formar la terna del circuito, los equipos y accesorios requeridos para el tendido técnico del cable asegurando la protección del personal y la integridad física del cable y todo lo necesario para su correcta ejecución.  Incluye prueba de medida de resistencia de aislamiento. (Nota: STA: Cable con armadura)</t>
  </si>
  <si>
    <t>Tendido de cable AL/XLPE/CTS/PVC/STA/PVC, 38kV 1 x 630 mm2, incluye transporte en vehículo apropiado desde el centro de acopio del parque hasta el sitio de tendido, tendido dentro de la zanja, suministro e instalación de accesorios de sujeción (Amarrres plásticos) para formar la terna del circuito, los equipos y accesorios requeridos para el tendido técnico del cable asegurando la protección del personal y la integridad física del cable y todo lo necesario para su correcta ejecución. Incluye prueba de medida de resistencia de aislamiento.  (Nota: STA: Cable con armadura)</t>
  </si>
  <si>
    <t>Tendido de cable AL/XLPE/CTS/PVC/STA/PVC, 38kV 1 x 185mm2, incluye transporte en vehículo apropiado desde el centro de acopio del parque hasta el sitio de tendido, tendido dentro de la zanja, suministro e instalación de accesorios de sujeción (Amarrres plásticos)  para formar la terna del circuito, los equipos y accesorios requeridos para el tendido técnico del cable asegurando la protección del personal y la integridad física del cable y todo lo necesario para su correcta ejecución. Incluye prueba de medida de resistencia de aislamiento.  (Nota: STA: Cable con armadura)</t>
  </si>
  <si>
    <t>Instalación de conector tipo codo  para cable de 1x185 mm2 XLPE, 35 kV. Incluye el alistamiento del cable y montaje del premoldeado, torqueado según especifación del fabricante,  la conexión a la celda de MT, suministro de elementos de sujección del cable dentro de la celda, figuración técnica del cable, incluye el suministro y marquilla del cable y del termoencogible en el color establecido para cada fase y nivel de tensión según RETIE.</t>
  </si>
  <si>
    <t>Instalación de conector tipo codo o de terminal premoldeado tipo interior con conector de compresión de 35kV para cable de 1x400 mm2 XLPE, 35 kV. Incluye el alistamiento del cable y montaje del premoldeado, torqueado según especifación del fabricante,  la conexión a la celda de MT, suministro de elementos de sujección del cable dentro de la celda, figuración técnica del cable, incluye el suministro y marquilla del cable y del termoencogible en el color establecido para cada fase y nivel de tensión según RETIE.</t>
  </si>
  <si>
    <t>Instalación de conector tipo codo o de terminal premoldeado tipo interior con conector de compresión de 35kV para cable de 1x630 mm2 XLPE, 35 kV. Incluye el alistamiento del cable y montaje del premoldeado, torqueado según especifación del fabricante,  la conexión a la celda de MT, suministro de elementos de sujección del cable dentro de la celda, figuración técnica del cable, incluye el suministro y marquilla del cable y del termoencogible en el color establecido para cada fase y nivel de tensión según RETIE.</t>
  </si>
  <si>
    <t>Elaboración de Empalme para cable de 1x400 mm2 - XLPE - 35 KV según RETIE. Incluye la preparación del cable, la disponibilidad de las herramientas adecuadas, el montaje del empalme según las especificaciones dadas por el fabricante, la figuración del cable dentro de la caja de paso o arqueta conservando la distancia del diametro de curvatura del cable dada por el fabricante.</t>
  </si>
  <si>
    <t>Fabricación de caja de inspección o arqueta en concreto de 3000 psi de 2x2x1,6 m con tapas en concreto según diseño.  Incluye excavación y terminado, suministro e instalación de las campanas en PVC de 6", sellado de ductos electricos despues del tendido en espuma epoxica, fabricación y montaje de las placas de identificación de la caja (numero de caja, nivel de tensión, riesgo eléctrico).  Cumplimiento norma técnica constructiva CHEC</t>
  </si>
  <si>
    <t>Instalación del inversor SUN2000-330KTL-H1, incluye el transporte desde el punto de acopio del parque hasta el sitio de montaje, anclaje a estructura metálica, suministro e instalación de la transición de tubo PVC (enterrada) con tubería metálica IMC (exterior) con sus accesorios de acople, aplicación de sellado de conductos eléctricos con espuma epoxica, , Incluye la placa de identificación, nivel de tensión, riesgo eléctrico del inversor, suministro y conexión del cable de cobre aislado de tierra No. 2 AWG del inversor al soporte metálico, Suminsitro de grapa de aterrizamiento de hinca. Adicionalmente disponer el empaque del inversor en sitio autorizado. Notas: a) No incluye la instalación de la estructura metálica de soporte (hincas). b) El contratante sólo suministrará el inversor y la estructura, lo demas elementos de la instalación deben ser suministrados por el contratista.</t>
  </si>
  <si>
    <t>Instalacion de fibra Óptica Monomodo 24xFo. Incluye marquillado de los cables. Incluye pero no se limita a las  pruebas indicadas en el Anexo 005 Especificaciones Técnicas BOS TEPUY de EPM - CRW216402</t>
  </si>
  <si>
    <t>Suministro e instalacion de conector SC/LC/FC o ST para Fibra Óptica Monomodo 24xFO. La instalación debe incluir el corte, fusión (si aplica), marquillado y pruebas. Incluye pero no se limita a las  pruebas indicadas en el Anexo 005 Especificaciones Técnicas BOS TEPUY de EPM - CRW216402</t>
  </si>
  <si>
    <t xml:space="preserve">Instalacion de emplames para cable de Fibra Óptica Monomodo 24xFO. La instalación debe incluir el corte, fusión (si aplica), marquillado y pruebas.. Incluye pero no se limita a las  pruebas indicadas en el Anexo 005 Especificaciones Técnicas BOS TEPUY de EPM - CRW216402.  </t>
  </si>
  <si>
    <t>Fusionadora de fibra optica</t>
  </si>
  <si>
    <t>Kit fibra optica</t>
  </si>
  <si>
    <t>Fusionadora de fibra optica---</t>
  </si>
  <si>
    <t>Kit fibra optica---</t>
  </si>
  <si>
    <t xml:space="preserve">Conexión de las TCU - todas las conexiones electricas y de comunicaciones requeridas para dejar la TCU operativa. </t>
  </si>
  <si>
    <t>Instalación y conexión de  NCU y sensores para NCU y  Incluye todas las conexiones requeridas para dejar la NCU operativas. Incluye instalación de puesta a tierra y protección contra descargas. Incluye ejecución de ductería y conexiónes hasta la Power Station.</t>
  </si>
  <si>
    <t>Suministro e Instalación de latiguillo de 1.5 m de cable de cobre aislado 1x6AWG de color verde para puesta a tierra entre trackers. Incluye el suministro e instalación del conector bimetálico con agujero de 1/4"  en ambas puntas del latiguillo para adozar al torque tubo, Incluye el suministro y montaje de bridas o amarres plasticos con protección UV. incluye el mecanizado del torquetubo para la conexión, incluye dos tornillos autoroscantes acorde al terminal (1/4" x 3/4" aprox) y accesorios que permitan una correcta fijación y aplicación de galvanizado en frío en la zona mecanizada (si aplica). Los elementos deben tener protección contra la corrosión.</t>
  </si>
  <si>
    <t>Conector Bimetalico 6AWG</t>
  </si>
  <si>
    <t>Conector Bimetalico 2AWG</t>
  </si>
  <si>
    <t>suminsitro e Instalación de latiguillo de 0,10m de cable de cobre Aislado verde No. 6 AWG con dos terminales de ojo estañado para puesta a tierra, con certificación RETIE. con tornillo , tuerca, arandela plana y arandela de presión  (dos juegos por latiguillo) para equipotencialización de módulos.</t>
  </si>
  <si>
    <t>Cable de cobre aislado verde no 6 AWG</t>
  </si>
  <si>
    <t>Cable de cobre aislado verde no 6 AWG---</t>
  </si>
  <si>
    <t>Suministro e instalacion de tuberia PVC Conduit tipo DB (2") dentro de las zanjas . Incluye entrega de la certificación de conformidad RETIE, certificación del producto del fabricante. Nota: tubería debe ser de fa bricantes reconocidos como PAVCO, GERFOR, DURMAN.</t>
  </si>
  <si>
    <t>Suministro e instalación de la tuberia tipo PEAD Conduit corrugada de 2" dentro de las zanjas y en las zonas que quedan expuestas. Incluye los elementos de sujeción al piso de la excavación y a la estructura metálica del tracker con cinta bandit. Incluye entrega de la certificación de conformidad RETIE, certificación del producto del fabricante.</t>
  </si>
  <si>
    <t>CINTA BANDIT 1/2</t>
  </si>
  <si>
    <t>CINTA BANDIT 1/2---</t>
  </si>
  <si>
    <t xml:space="preserve">Suministro e instalacion de tuberia conduit PVC - DB para ductos de cruces viales de  (6") para zanjas MT. Incluye el empate y aplicación de soldadura para PVC. Sujeción de los tubos en la zanja para conservar simetrias, campanas a lado y lado del cruce vial. </t>
  </si>
  <si>
    <t xml:space="preserve">Suministro e instalacion de tuberia condcuit PVC - DB para ductos de cruces viales de  (4") para zanjas BT. Incluye el empate y aplicación de soldadura para PVC. Sujección de los tubos en la zanja para conservar simetrias, campanas a lado y lado del cruce vial. </t>
  </si>
  <si>
    <t>Tornillo, tuerca, arandela ojo estañado</t>
  </si>
  <si>
    <t>Tubo PVC 4" DB</t>
  </si>
  <si>
    <t>Tubo PVC 4" DB---</t>
  </si>
  <si>
    <t>Prueba VLF para cables de 34,5 kV XLPE. Incluye presentación procedimiento, protocolos de la prueba, entrega de resultados al dia habil siguiente de la prueba. La señalizacion del area de trabajo y todas las condiciones de seguridad para el personal y el cable.</t>
  </si>
  <si>
    <t>Prueba descargas parciales para cables de 34,5 kV XLPE. Incluye presentación procedimiento, protocolos de la prueba, entrega de resultados al dia habil siguiente de la prueba. La señalizacion del area de trabajo y todas las condiciones de seguridad para el personal y el cable.</t>
  </si>
  <si>
    <t>AREA</t>
  </si>
  <si>
    <t>LONGITUD 1 M3</t>
  </si>
  <si>
    <t>$ M3</t>
  </si>
  <si>
    <t>excavacion</t>
  </si>
  <si>
    <t>relleno</t>
  </si>
  <si>
    <t>arena</t>
  </si>
  <si>
    <t>Terminal de ojo Estaño  6mm 6AWG</t>
  </si>
  <si>
    <t>Perno M6X20</t>
  </si>
  <si>
    <t>Tuerca M6</t>
  </si>
  <si>
    <t>Arandela presion M6</t>
  </si>
  <si>
    <t>Arandela PLANA M6</t>
  </si>
  <si>
    <t>Latiguillo para panel 0.1m (Doble terminal)</t>
  </si>
  <si>
    <t>Latiguillo para panel 0.1m (Doble terminal)---</t>
  </si>
  <si>
    <t/>
  </si>
  <si>
    <t>General y Optometria</t>
  </si>
  <si>
    <t>MYT ENERGY PARQUE FOTOVOLTAICO TEPUY 108 MW</t>
  </si>
  <si>
    <t>Conexión de TCU a la alimentación de la derivación del string.</t>
  </si>
  <si>
    <t>INGENIERO RESIDENTE</t>
  </si>
  <si>
    <t>LOCAL</t>
  </si>
  <si>
    <t>SUPERVISOR DE CALIDAD JUNIOR</t>
  </si>
  <si>
    <t>CONTROL DE PROYECTO</t>
  </si>
  <si>
    <t>Papeleria e Impresora</t>
  </si>
  <si>
    <t>Papeleria e Impresora---</t>
  </si>
  <si>
    <t>Camioneta combustible</t>
  </si>
  <si>
    <t>Camioneta combustible---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</si>
</sst>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8">
    <numFmt numFmtId="43" formatCode="_-* #,##0.00_-;\-* #,##0.00_-;_-* &quot;-&quot;??_-;_-@_-"/>
    <numFmt numFmtId="176" formatCode="_-&quot;$&quot;\ * #,##0.00_-;\-&quot;$&quot;\ * #,##0.00_-;_-&quot;$&quot;\ * &quot;-&quot;??_-;_-@_-"/>
    <numFmt numFmtId="177" formatCode="_-&quot;$&quot;* #,##0.00_-;\-&quot;$&quot;* #,##0.00_-;_-&quot;$&quot;* &quot;-&quot;??_-;_-@_-"/>
    <numFmt numFmtId="178" formatCode="&quot;$&quot;\ #,##0.00"/>
    <numFmt numFmtId="179" formatCode="0.00\ &quot;Horas&quot;"/>
    <numFmt numFmtId="180" formatCode="0.00\ &quot;Galones&quot;"/>
    <numFmt numFmtId="181" formatCode="0.00\ &quot;MESES&quot;"/>
    <numFmt numFmtId="182" formatCode="#,##0.0"/>
    <numFmt numFmtId="183" formatCode="0.00\ &quot;h&quot;"/>
    <numFmt numFmtId="184" formatCode="0.00\ &quot;Gl/h&quot;"/>
    <numFmt numFmtId="185" formatCode="_ &quot;$&quot;\ * #,##0.00_ ;_ &quot;$&quot;\ * \-#,##0.00_ ;_ &quot;$&quot;\ * &quot;-&quot;??_ ;_ @_ "/>
    <numFmt numFmtId="186" formatCode="0.00#\ &quot;Kg&quot;"/>
    <numFmt numFmtId="187" formatCode="0.0\ &quot;GL/H&quot;"/>
    <numFmt numFmtId="188" formatCode="_-&quot;$&quot;\ * #,##0_-;\-&quot;$&quot;\ * #,##0_-;_-&quot;$&quot;\ * &quot;-&quot;??_-;_-@_-"/>
    <numFmt numFmtId="189" formatCode="&quot;$&quot;\ #,##0"/>
    <numFmt numFmtId="190" formatCode="0.0"/>
    <numFmt numFmtId="191" formatCode="0.0\ &quot;Meses - Months &quot;"/>
    <numFmt numFmtId="192" formatCode="&quot;$&quot;#,##0.00"/>
  </numFmts>
  <fonts count="43" x14ac:knownFonts="1">
    <font>
      <sz val="11"/>
      <color theme="1"/>
      <name val="맑은 고딕"/>
      <family val="2"/>
      <scheme val="minor"/>
    </font>
    <font>
      <b/>
      <sz val="11"/>
      <color theme="1"/>
      <name val="맑은 고딕"/>
      <family val="2"/>
      <scheme val="minor"/>
    </font>
    <font>
      <sz val="11"/>
      <color rgb="FF0070C0"/>
      <name val="맑은 고딕"/>
      <family val="2"/>
      <scheme val="minor"/>
    </font>
    <font>
      <sz val="11"/>
      <color rgb="FFFF0000"/>
      <name val="맑은 고딕"/>
      <family val="2"/>
      <scheme val="minor"/>
    </font>
    <font>
      <sz val="18"/>
      <color theme="1"/>
      <name val="맑은 고딕"/>
      <family val="2"/>
      <scheme val="minor"/>
    </font>
    <font>
      <u/>
      <sz val="11"/>
      <color theme="10"/>
      <name val="맑은 고딕"/>
      <family val="2"/>
      <scheme val="minor"/>
    </font>
    <font>
      <b/>
      <sz val="11"/>
      <color rgb="FFFF0000"/>
      <name val="맑은 고딕"/>
      <family val="2"/>
      <scheme val="minor"/>
    </font>
    <font>
      <b/>
      <sz val="11"/>
      <name val="맑은 고딕"/>
      <family val="2"/>
      <scheme val="minor"/>
    </font>
    <font>
      <b/>
      <sz val="12"/>
      <color theme="1"/>
      <name val="맑은 고딕"/>
      <family val="2"/>
      <scheme val="minor"/>
    </font>
    <font>
      <b/>
      <sz val="16"/>
      <color theme="1"/>
      <name val="맑은 고딕"/>
      <family val="2"/>
      <scheme val="minor"/>
    </font>
    <font>
      <sz val="8"/>
      <name val="맑은 고딕"/>
      <family val="2"/>
      <scheme val="minor"/>
    </font>
    <font>
      <b/>
      <sz val="18"/>
      <color theme="0"/>
      <name val="맑은 고딕"/>
      <family val="2"/>
      <scheme val="minor"/>
    </font>
    <font>
      <b/>
      <sz val="18"/>
      <color theme="1"/>
      <name val="맑은 고딕"/>
      <family val="2"/>
      <scheme val="minor"/>
    </font>
    <font>
      <sz val="13"/>
      <color theme="1"/>
      <name val="맑은 고딕"/>
      <family val="2"/>
      <scheme val="minor"/>
    </font>
    <font>
      <sz val="11"/>
      <color theme="0"/>
      <name val="맑은 고딕"/>
      <family val="2"/>
      <scheme val="minor"/>
    </font>
    <font>
      <sz val="18"/>
      <color theme="0"/>
      <name val="맑은 고딕"/>
      <family val="2"/>
      <scheme val="minor"/>
    </font>
    <font>
      <b/>
      <sz val="20"/>
      <color theme="0"/>
      <name val="맑은 고딕"/>
      <family val="2"/>
      <scheme val="minor"/>
    </font>
    <font>
      <b/>
      <sz val="22"/>
      <color theme="0"/>
      <name val="맑은 고딕"/>
      <family val="2"/>
      <scheme val="minor"/>
    </font>
    <font>
      <b/>
      <sz val="24"/>
      <color theme="0"/>
      <name val="맑은 고딕"/>
      <family val="2"/>
      <scheme val="minor"/>
    </font>
    <font>
      <b/>
      <sz val="11"/>
      <color theme="0"/>
      <name val="맑은 고딕"/>
      <family val="2"/>
      <scheme val="minor"/>
    </font>
    <font>
      <sz val="11"/>
      <color theme="1"/>
      <name val="맑은 고딕"/>
      <family val="2"/>
      <scheme val="minor"/>
    </font>
    <font>
      <sz val="11"/>
      <color theme="1"/>
      <name val="Calibri"/>
      <family val="2"/>
    </font>
    <font>
      <sz val="11"/>
      <color theme="4" tint="-0.249977111117893"/>
      <name val="맑은 고딕"/>
      <family val="2"/>
      <scheme val="minor"/>
    </font>
    <font>
      <sz val="11"/>
      <color theme="4" tint="-0.249977111117893"/>
      <name val="Calibri"/>
      <family val="2"/>
    </font>
    <font>
      <sz val="8"/>
      <color theme="1"/>
      <name val="Arial"/>
      <family val="2"/>
    </font>
    <font>
      <sz val="20"/>
      <color theme="1"/>
      <name val="맑은 고딕"/>
      <family val="2"/>
      <scheme val="minor"/>
    </font>
    <font>
      <sz val="9"/>
      <color indexed="81"/>
      <name val="Tahoma"/>
      <family val="2"/>
    </font>
    <font>
      <b/>
      <sz val="9"/>
      <color indexed="81"/>
      <name val="Tahoma"/>
      <family val="2"/>
    </font>
    <font>
      <b/>
      <sz val="20"/>
      <color theme="1"/>
      <name val="맑은 고딕"/>
      <family val="2"/>
      <scheme val="minor"/>
    </font>
    <font>
      <sz val="15"/>
      <color indexed="81"/>
      <name val="Tahoma"/>
      <family val="2"/>
    </font>
    <font>
      <sz val="10"/>
      <name val="Arial"/>
      <family val="2"/>
    </font>
    <font>
      <b/>
      <u/>
      <sz val="11"/>
      <color theme="0"/>
      <name val="맑은 고딕"/>
      <family val="2"/>
      <scheme val="minor"/>
    </font>
    <font>
      <sz val="11"/>
      <name val="Arial"/>
      <family val="2"/>
    </font>
    <font>
      <sz val="11"/>
      <color rgb="FF000000"/>
      <name val="Arial"/>
      <family val="2"/>
    </font>
    <font>
      <u/>
      <sz val="11"/>
      <color rgb="FFFF0000"/>
      <name val="맑은 고딕"/>
      <family val="2"/>
      <scheme val="minor"/>
    </font>
    <font>
      <b/>
      <sz val="9"/>
      <color rgb="FF000000"/>
      <name val="Tahoma"/>
      <family val="2"/>
    </font>
    <font>
      <sz val="9"/>
      <color rgb="FF000000"/>
      <name val="Tahoma"/>
      <family val="2"/>
    </font>
    <font>
      <b/>
      <sz val="20"/>
      <color rgb="FFFF0000"/>
      <name val="맑은 고딕"/>
      <family val="2"/>
      <scheme val="minor"/>
    </font>
    <font>
      <b/>
      <u/>
      <sz val="11"/>
      <color rgb="FFFF0000"/>
      <name val="맑은 고딕"/>
      <family val="2"/>
      <scheme val="minor"/>
    </font>
    <font>
      <sz val="11"/>
      <name val="맑은 고딕"/>
      <family val="2"/>
      <scheme val="minor"/>
    </font>
    <font>
      <u/>
      <sz val="11"/>
      <name val="맑은 고딕"/>
      <family val="2"/>
      <scheme val="minor"/>
    </font>
    <font>
      <b/>
      <u/>
      <sz val="11"/>
      <name val="맑은 고딕"/>
      <family val="2"/>
      <scheme val="minor"/>
    </font>
    <font>
      <sz val="8"/>
      <name val="맑은 고딕"/>
      <family val="3"/>
      <charset val="129"/>
      <scheme val="minor"/>
    </font>
  </fonts>
  <fills count="34">
    <fill>
      <patternFill patternType="none"/>
    </fill>
    <fill>
      <patternFill patternType="gray125"/>
    </fill>
    <fill>
      <patternFill patternType="solid">
        <fgColor theme="0" tint="-0.14999847407452621"/>
        <bgColor indexed="64"/>
      </patternFill>
    </fill>
    <fill>
      <patternFill patternType="solid">
        <fgColor theme="7" tint="0.79998168889431442"/>
        <bgColor indexed="64"/>
      </patternFill>
    </fill>
    <fill>
      <patternFill patternType="solid">
        <fgColor theme="4" tint="0.39997558519241921"/>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rgb="FFFFD1D1"/>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theme="2" tint="-0.249977111117893"/>
        <bgColor indexed="64"/>
      </patternFill>
    </fill>
    <fill>
      <patternFill patternType="solid">
        <fgColor theme="9" tint="0.39997558519241921"/>
        <bgColor indexed="64"/>
      </patternFill>
    </fill>
    <fill>
      <patternFill patternType="solid">
        <fgColor theme="7" tint="0.59999389629810485"/>
        <bgColor indexed="64"/>
      </patternFill>
    </fill>
    <fill>
      <patternFill patternType="solid">
        <fgColor rgb="FF92D050"/>
        <bgColor indexed="64"/>
      </patternFill>
    </fill>
    <fill>
      <patternFill patternType="solid">
        <fgColor rgb="FFFF8F8F"/>
        <bgColor indexed="64"/>
      </patternFill>
    </fill>
    <fill>
      <patternFill patternType="solid">
        <fgColor rgb="FFFFFF00"/>
        <bgColor indexed="64"/>
      </patternFill>
    </fill>
    <fill>
      <gradientFill degree="90">
        <stop position="0">
          <color theme="0"/>
        </stop>
        <stop position="1">
          <color theme="7"/>
        </stop>
      </gradientFill>
    </fill>
    <fill>
      <gradientFill degree="270">
        <stop position="0">
          <color theme="0"/>
        </stop>
        <stop position="1">
          <color theme="0" tint="-0.25098422193060094"/>
        </stop>
      </gradientFill>
    </fill>
    <fill>
      <gradientFill degree="90">
        <stop position="0">
          <color theme="0"/>
        </stop>
        <stop position="0.5">
          <color theme="5" tint="0.40000610370189521"/>
        </stop>
        <stop position="1">
          <color theme="0"/>
        </stop>
      </gradientFill>
    </fill>
    <fill>
      <gradientFill degree="90">
        <stop position="0">
          <color theme="0"/>
        </stop>
        <stop position="1">
          <color theme="5"/>
        </stop>
      </gradientFill>
    </fill>
    <fill>
      <gradientFill degree="90">
        <stop position="0">
          <color theme="0"/>
        </stop>
        <stop position="0.5">
          <color theme="0" tint="-0.25098422193060094"/>
        </stop>
        <stop position="1">
          <color theme="0"/>
        </stop>
      </gradientFill>
    </fill>
    <fill>
      <gradientFill degree="90">
        <stop position="0">
          <color theme="0"/>
        </stop>
        <stop position="1">
          <color theme="4" tint="0.40000610370189521"/>
        </stop>
      </gradientFill>
    </fill>
    <fill>
      <gradientFill degree="90">
        <stop position="0">
          <color theme="0"/>
        </stop>
        <stop position="1">
          <color theme="9" tint="-0.25098422193060094"/>
        </stop>
      </gradientFill>
    </fill>
    <fill>
      <gradientFill degree="90">
        <stop position="0">
          <color theme="0"/>
        </stop>
        <stop position="1">
          <color rgb="FFFF8F8F"/>
        </stop>
      </gradientFill>
    </fill>
    <fill>
      <gradientFill degree="90">
        <stop position="0">
          <color theme="0"/>
        </stop>
        <stop position="0.5">
          <color rgb="FFEEA182"/>
        </stop>
        <stop position="1">
          <color theme="0"/>
        </stop>
      </gradientFill>
    </fill>
    <fill>
      <gradientFill degree="90">
        <stop position="0">
          <color theme="0"/>
        </stop>
        <stop position="1">
          <color theme="4" tint="-0.49803155613879818"/>
        </stop>
      </gradientFill>
    </fill>
    <fill>
      <gradientFill degree="90">
        <stop position="0">
          <color theme="0"/>
        </stop>
        <stop position="0.5">
          <color theme="5"/>
        </stop>
        <stop position="1">
          <color theme="0"/>
        </stop>
      </gradientFill>
    </fill>
    <fill>
      <patternFill patternType="solid">
        <fgColor theme="1" tint="0.249977111117893"/>
        <bgColor indexed="64"/>
      </patternFill>
    </fill>
    <fill>
      <patternFill patternType="solid">
        <fgColor rgb="FFFFFF79"/>
        <bgColor indexed="64"/>
      </patternFill>
    </fill>
    <fill>
      <patternFill patternType="solid">
        <fgColor theme="3" tint="0.79998168889431442"/>
        <bgColor indexed="64"/>
      </patternFill>
    </fill>
    <fill>
      <patternFill patternType="solid">
        <fgColor theme="4" tint="-0.249977111117893"/>
        <bgColor indexed="64"/>
      </patternFill>
    </fill>
    <fill>
      <patternFill patternType="solid">
        <fgColor theme="6" tint="0.79998168889431442"/>
        <bgColor indexed="64"/>
      </patternFill>
    </fill>
    <fill>
      <patternFill patternType="solid">
        <fgColor theme="4" tint="0.79998168889431442"/>
        <bgColor theme="4" tint="0.79998168889431442"/>
      </patternFill>
    </fill>
  </fills>
  <borders count="61">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style="thin">
        <color indexed="64"/>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thin">
        <color indexed="64"/>
      </top>
      <bottom style="thin">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style="medium">
        <color indexed="64"/>
      </left>
      <right style="medium">
        <color indexed="64"/>
      </right>
      <top/>
      <bottom/>
      <diagonal/>
    </border>
    <border>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thin">
        <color indexed="64"/>
      </right>
      <top style="medium">
        <color indexed="64"/>
      </top>
      <bottom style="medium">
        <color indexed="64"/>
      </bottom>
      <diagonal/>
    </border>
    <border>
      <left/>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top/>
      <bottom style="thin">
        <color indexed="64"/>
      </bottom>
      <diagonal/>
    </border>
    <border>
      <left style="thin">
        <color indexed="64"/>
      </left>
      <right style="medium">
        <color indexed="64"/>
      </right>
      <top style="thin">
        <color indexed="64"/>
      </top>
      <bottom/>
      <diagonal/>
    </border>
    <border>
      <left style="medium">
        <color indexed="64"/>
      </left>
      <right/>
      <top style="thin">
        <color theme="4" tint="0.39997558519241921"/>
      </top>
      <bottom style="thin">
        <color theme="4" tint="0.39997558519241921"/>
      </bottom>
      <diagonal/>
    </border>
    <border>
      <left style="thin">
        <color rgb="FF000000"/>
      </left>
      <right style="thin">
        <color rgb="FF000000"/>
      </right>
      <top style="thin">
        <color rgb="FF000000"/>
      </top>
      <bottom style="thin">
        <color rgb="FF000000"/>
      </bottom>
      <diagonal/>
    </border>
    <border>
      <left/>
      <right/>
      <top style="thin">
        <color theme="4" tint="0.39997558519241921"/>
      </top>
      <bottom style="thin">
        <color theme="4" tint="0.39997558519241921"/>
      </bottom>
      <diagonal/>
    </border>
  </borders>
  <cellStyleXfs count="9">
    <xf numFmtId="0" fontId="0" fillId="0" borderId="0"/>
    <xf numFmtId="0" fontId="5" fillId="0" borderId="0" applyNumberFormat="0" applyFill="0" applyBorder="0" applyAlignment="0" applyProtection="0"/>
    <xf numFmtId="0" fontId="20" fillId="0" borderId="0"/>
    <xf numFmtId="0" fontId="20" fillId="0" borderId="0"/>
    <xf numFmtId="176" fontId="20" fillId="0" borderId="0" applyFont="0" applyFill="0" applyBorder="0" applyAlignment="0" applyProtection="0"/>
    <xf numFmtId="177" fontId="24" fillId="0" borderId="0" applyFont="0" applyFill="0" applyBorder="0" applyAlignment="0" applyProtection="0"/>
    <xf numFmtId="9" fontId="20" fillId="0" borderId="0" applyFont="0" applyFill="0" applyBorder="0" applyAlignment="0" applyProtection="0"/>
    <xf numFmtId="0" fontId="30" fillId="0" borderId="0"/>
    <xf numFmtId="43" fontId="20" fillId="0" borderId="0" applyFont="0" applyFill="0" applyBorder="0" applyAlignment="0" applyProtection="0"/>
  </cellStyleXfs>
  <cellXfs count="624">
    <xf numFmtId="0" fontId="0" fillId="0" borderId="0" xfId="0"/>
    <xf numFmtId="178" fontId="0" fillId="0" borderId="0" xfId="0" applyNumberFormat="1"/>
    <xf numFmtId="0" fontId="2" fillId="0" borderId="0" xfId="0" applyFont="1"/>
    <xf numFmtId="0" fontId="0" fillId="0" borderId="1" xfId="0" applyBorder="1"/>
    <xf numFmtId="0" fontId="0" fillId="0" borderId="0" xfId="0" applyAlignment="1">
      <alignment horizontal="center"/>
    </xf>
    <xf numFmtId="178" fontId="1" fillId="3" borderId="1" xfId="0" applyNumberFormat="1" applyFont="1" applyFill="1" applyBorder="1"/>
    <xf numFmtId="0" fontId="0" fillId="0" borderId="17" xfId="0" applyBorder="1"/>
    <xf numFmtId="0" fontId="0" fillId="0" borderId="18" xfId="0" applyBorder="1"/>
    <xf numFmtId="0" fontId="0" fillId="0" borderId="19" xfId="0" applyBorder="1"/>
    <xf numFmtId="0" fontId="0" fillId="0" borderId="20" xfId="0" applyBorder="1"/>
    <xf numFmtId="0" fontId="3" fillId="0" borderId="0" xfId="0" applyFont="1"/>
    <xf numFmtId="0" fontId="0" fillId="0" borderId="21" xfId="0" applyBorder="1"/>
    <xf numFmtId="180" fontId="0" fillId="0" borderId="0" xfId="0" applyNumberFormat="1"/>
    <xf numFmtId="0" fontId="0" fillId="0" borderId="23" xfId="0" applyBorder="1"/>
    <xf numFmtId="0" fontId="0" fillId="0" borderId="24" xfId="0" applyBorder="1"/>
    <xf numFmtId="0" fontId="0" fillId="0" borderId="28" xfId="0" applyBorder="1"/>
    <xf numFmtId="178" fontId="1" fillId="3" borderId="12" xfId="0" applyNumberFormat="1" applyFont="1" applyFill="1" applyBorder="1"/>
    <xf numFmtId="0" fontId="0" fillId="0" borderId="14" xfId="0" applyBorder="1"/>
    <xf numFmtId="0" fontId="5" fillId="0" borderId="0" xfId="1" applyAlignment="1">
      <alignment horizontal="center"/>
    </xf>
    <xf numFmtId="10" fontId="0" fillId="0" borderId="0" xfId="0" applyNumberFormat="1"/>
    <xf numFmtId="0" fontId="0" fillId="8" borderId="1" xfId="0" applyFill="1" applyBorder="1"/>
    <xf numFmtId="0" fontId="0" fillId="0" borderId="1" xfId="0" applyBorder="1" applyAlignment="1">
      <alignment horizontal="center" vertical="center"/>
    </xf>
    <xf numFmtId="10" fontId="0" fillId="0" borderId="1" xfId="0" applyNumberFormat="1" applyBorder="1"/>
    <xf numFmtId="178" fontId="0" fillId="0" borderId="1" xfId="0" applyNumberFormat="1" applyBorder="1"/>
    <xf numFmtId="178" fontId="1" fillId="0" borderId="1" xfId="0" applyNumberFormat="1" applyFont="1" applyBorder="1"/>
    <xf numFmtId="0" fontId="0" fillId="0" borderId="4" xfId="0" applyBorder="1"/>
    <xf numFmtId="178" fontId="0" fillId="0" borderId="11" xfId="0" applyNumberFormat="1" applyBorder="1"/>
    <xf numFmtId="0" fontId="0" fillId="0" borderId="8" xfId="0" applyBorder="1"/>
    <xf numFmtId="179" fontId="0" fillId="0" borderId="0" xfId="0" applyNumberFormat="1"/>
    <xf numFmtId="0" fontId="1" fillId="0" borderId="35" xfId="0" applyFont="1" applyBorder="1"/>
    <xf numFmtId="0" fontId="0" fillId="9" borderId="1" xfId="0" applyFill="1" applyBorder="1"/>
    <xf numFmtId="0" fontId="0" fillId="5" borderId="1" xfId="0" applyFill="1" applyBorder="1"/>
    <xf numFmtId="0" fontId="0" fillId="3" borderId="1" xfId="0" applyFill="1" applyBorder="1"/>
    <xf numFmtId="0" fontId="0" fillId="10" borderId="1" xfId="0" applyFill="1" applyBorder="1"/>
    <xf numFmtId="178" fontId="1" fillId="0" borderId="29" xfId="0" applyNumberFormat="1" applyFont="1" applyBorder="1"/>
    <xf numFmtId="0" fontId="0" fillId="0" borderId="36" xfId="0" applyBorder="1"/>
    <xf numFmtId="0" fontId="1" fillId="7" borderId="8" xfId="0" applyFont="1" applyFill="1" applyBorder="1"/>
    <xf numFmtId="0" fontId="0" fillId="7" borderId="8" xfId="0" applyFill="1" applyBorder="1"/>
    <xf numFmtId="0" fontId="0" fillId="7" borderId="1" xfId="0" applyFill="1" applyBorder="1"/>
    <xf numFmtId="0" fontId="1" fillId="3" borderId="22" xfId="0" applyFont="1" applyFill="1" applyBorder="1" applyAlignment="1">
      <alignment horizontal="center"/>
    </xf>
    <xf numFmtId="0" fontId="1" fillId="3" borderId="15" xfId="0" applyFont="1" applyFill="1" applyBorder="1" applyAlignment="1">
      <alignment horizontal="center"/>
    </xf>
    <xf numFmtId="0" fontId="1" fillId="3" borderId="16" xfId="0" applyFont="1" applyFill="1" applyBorder="1" applyAlignment="1">
      <alignment horizontal="center"/>
    </xf>
    <xf numFmtId="0" fontId="1" fillId="0" borderId="1" xfId="0" applyFont="1" applyBorder="1" applyAlignment="1">
      <alignment horizontal="center" vertical="center" wrapText="1"/>
    </xf>
    <xf numFmtId="181" fontId="0" fillId="0" borderId="0" xfId="0" applyNumberFormat="1" applyAlignment="1">
      <alignment horizontal="center"/>
    </xf>
    <xf numFmtId="178" fontId="0" fillId="0" borderId="21" xfId="0" applyNumberFormat="1" applyBorder="1"/>
    <xf numFmtId="0" fontId="0" fillId="0" borderId="0" xfId="0" applyAlignment="1">
      <alignment horizontal="center" vertical="center"/>
    </xf>
    <xf numFmtId="0" fontId="0" fillId="0" borderId="0" xfId="0" pivotButton="1"/>
    <xf numFmtId="0" fontId="0" fillId="9" borderId="11" xfId="0" applyFill="1" applyBorder="1"/>
    <xf numFmtId="0" fontId="0" fillId="5" borderId="11" xfId="0" applyFill="1" applyBorder="1"/>
    <xf numFmtId="178" fontId="1" fillId="0" borderId="11" xfId="0" applyNumberFormat="1" applyFont="1" applyBorder="1"/>
    <xf numFmtId="0" fontId="0" fillId="3" borderId="11" xfId="0" applyFill="1" applyBorder="1"/>
    <xf numFmtId="0" fontId="0" fillId="10" borderId="11" xfId="0" applyFill="1" applyBorder="1"/>
    <xf numFmtId="0" fontId="0" fillId="11" borderId="20" xfId="0" applyFill="1" applyBorder="1"/>
    <xf numFmtId="178" fontId="0" fillId="13" borderId="11" xfId="0" applyNumberFormat="1" applyFill="1" applyBorder="1" applyAlignment="1">
      <alignment horizontal="left"/>
    </xf>
    <xf numFmtId="0" fontId="0" fillId="0" borderId="2" xfId="0" applyBorder="1"/>
    <xf numFmtId="0" fontId="0" fillId="0" borderId="9" xfId="0" applyBorder="1"/>
    <xf numFmtId="0" fontId="0" fillId="9" borderId="12" xfId="0" applyFill="1" applyBorder="1"/>
    <xf numFmtId="0" fontId="0" fillId="5" borderId="42" xfId="0" applyFill="1" applyBorder="1"/>
    <xf numFmtId="0" fontId="1" fillId="5" borderId="37" xfId="0" applyFont="1" applyFill="1" applyBorder="1"/>
    <xf numFmtId="0" fontId="0" fillId="3" borderId="42" xfId="0" applyFill="1" applyBorder="1"/>
    <xf numFmtId="0" fontId="1" fillId="3" borderId="37" xfId="0" applyFont="1" applyFill="1" applyBorder="1"/>
    <xf numFmtId="0" fontId="0" fillId="10" borderId="42" xfId="0" applyFill="1" applyBorder="1"/>
    <xf numFmtId="0" fontId="1" fillId="10" borderId="37" xfId="0" applyFont="1" applyFill="1" applyBorder="1"/>
    <xf numFmtId="0" fontId="0" fillId="9" borderId="42" xfId="0" applyFill="1" applyBorder="1"/>
    <xf numFmtId="0" fontId="1" fillId="9" borderId="37" xfId="0" applyFont="1" applyFill="1" applyBorder="1"/>
    <xf numFmtId="178" fontId="0" fillId="14" borderId="37" xfId="0" applyNumberFormat="1" applyFill="1" applyBorder="1" applyAlignment="1">
      <alignment horizontal="left"/>
    </xf>
    <xf numFmtId="178" fontId="0" fillId="12" borderId="37" xfId="0" applyNumberFormat="1" applyFill="1" applyBorder="1"/>
    <xf numFmtId="0" fontId="0" fillId="0" borderId="44" xfId="0" applyBorder="1"/>
    <xf numFmtId="0" fontId="0" fillId="0" borderId="15" xfId="0" applyBorder="1"/>
    <xf numFmtId="0" fontId="1" fillId="0" borderId="45" xfId="0" applyFont="1" applyBorder="1"/>
    <xf numFmtId="0" fontId="0" fillId="0" borderId="46" xfId="0" applyBorder="1"/>
    <xf numFmtId="0" fontId="0" fillId="0" borderId="45" xfId="0" applyBorder="1"/>
    <xf numFmtId="0" fontId="0" fillId="0" borderId="22" xfId="0" applyBorder="1"/>
    <xf numFmtId="0" fontId="0" fillId="0" borderId="41" xfId="0" applyBorder="1"/>
    <xf numFmtId="0" fontId="7" fillId="16" borderId="47" xfId="0" applyFont="1" applyFill="1" applyBorder="1" applyAlignment="1">
      <alignment horizontal="center" vertical="center"/>
    </xf>
    <xf numFmtId="0" fontId="0" fillId="0" borderId="17" xfId="0" applyBorder="1" applyAlignment="1">
      <alignment horizontal="center"/>
    </xf>
    <xf numFmtId="0" fontId="0" fillId="0" borderId="18" xfId="0" applyBorder="1" applyAlignment="1">
      <alignment horizontal="center" vertical="center"/>
    </xf>
    <xf numFmtId="0" fontId="0" fillId="0" borderId="19"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0" fontId="0" fillId="0" borderId="44" xfId="0" applyBorder="1" applyAlignment="1">
      <alignment horizontal="center" vertical="center"/>
    </xf>
    <xf numFmtId="0" fontId="1" fillId="0" borderId="20" xfId="0" applyFont="1" applyBorder="1" applyAlignment="1">
      <alignment horizontal="right"/>
    </xf>
    <xf numFmtId="0" fontId="0" fillId="0" borderId="15" xfId="0" applyBorder="1" applyAlignment="1">
      <alignment horizontal="center" vertical="center"/>
    </xf>
    <xf numFmtId="0" fontId="1" fillId="0" borderId="0" xfId="0" applyFont="1" applyAlignment="1">
      <alignment horizontal="right" vertical="center"/>
    </xf>
    <xf numFmtId="0" fontId="1" fillId="16" borderId="48" xfId="0" applyFont="1" applyFill="1" applyBorder="1" applyAlignment="1">
      <alignment horizontal="center" vertical="center"/>
    </xf>
    <xf numFmtId="181" fontId="0" fillId="0" borderId="0" xfId="0" applyNumberFormat="1"/>
    <xf numFmtId="0" fontId="0" fillId="18" borderId="37" xfId="0" applyFill="1" applyBorder="1"/>
    <xf numFmtId="0" fontId="0" fillId="0" borderId="39" xfId="0" applyBorder="1"/>
    <xf numFmtId="0" fontId="0" fillId="0" borderId="10" xfId="0" applyBorder="1"/>
    <xf numFmtId="178" fontId="0" fillId="0" borderId="12" xfId="0" applyNumberFormat="1" applyBorder="1"/>
    <xf numFmtId="178" fontId="1" fillId="8" borderId="12" xfId="0" applyNumberFormat="1" applyFont="1" applyFill="1" applyBorder="1"/>
    <xf numFmtId="178" fontId="0" fillId="0" borderId="4" xfId="0" applyNumberFormat="1" applyBorder="1"/>
    <xf numFmtId="0" fontId="0" fillId="0" borderId="25" xfId="0" applyBorder="1"/>
    <xf numFmtId="0" fontId="0" fillId="0" borderId="26" xfId="0" applyBorder="1"/>
    <xf numFmtId="0" fontId="0" fillId="0" borderId="27" xfId="0" applyBorder="1"/>
    <xf numFmtId="0" fontId="0" fillId="0" borderId="0" xfId="0" applyAlignment="1">
      <alignment vertical="center"/>
    </xf>
    <xf numFmtId="14" fontId="0" fillId="0" borderId="0" xfId="0" applyNumberFormat="1" applyAlignment="1">
      <alignment vertical="center"/>
    </xf>
    <xf numFmtId="181" fontId="0" fillId="0" borderId="0" xfId="0" applyNumberFormat="1" applyAlignment="1">
      <alignment vertical="center"/>
    </xf>
    <xf numFmtId="0" fontId="1" fillId="0" borderId="37" xfId="0" applyFont="1" applyBorder="1" applyAlignment="1">
      <alignment horizontal="center"/>
    </xf>
    <xf numFmtId="178" fontId="1" fillId="0" borderId="37" xfId="0" applyNumberFormat="1" applyFont="1" applyBorder="1" applyAlignment="1">
      <alignment horizontal="center"/>
    </xf>
    <xf numFmtId="0" fontId="0" fillId="0" borderId="37" xfId="0" applyBorder="1" applyAlignment="1">
      <alignment horizontal="center" vertical="center"/>
    </xf>
    <xf numFmtId="0" fontId="0" fillId="0" borderId="0" xfId="0" applyAlignment="1">
      <alignment horizontal="left" vertical="center"/>
    </xf>
    <xf numFmtId="0" fontId="0" fillId="0" borderId="30" xfId="0" applyBorder="1" applyAlignment="1">
      <alignment horizontal="center" vertical="center"/>
    </xf>
    <xf numFmtId="178" fontId="0" fillId="0" borderId="0" xfId="0" applyNumberFormat="1" applyAlignment="1">
      <alignment horizontal="center"/>
    </xf>
    <xf numFmtId="0" fontId="0" fillId="0" borderId="25" xfId="0" pivotButton="1" applyBorder="1" applyAlignment="1">
      <alignment horizontal="center"/>
    </xf>
    <xf numFmtId="0" fontId="0" fillId="0" borderId="27" xfId="0" applyBorder="1" applyAlignment="1">
      <alignment horizontal="center"/>
    </xf>
    <xf numFmtId="178" fontId="0" fillId="0" borderId="49" xfId="0" applyNumberFormat="1" applyBorder="1" applyAlignment="1">
      <alignment horizontal="center"/>
    </xf>
    <xf numFmtId="178" fontId="0" fillId="0" borderId="40" xfId="0" applyNumberFormat="1" applyBorder="1" applyAlignment="1">
      <alignment horizontal="center"/>
    </xf>
    <xf numFmtId="178" fontId="0" fillId="0" borderId="48" xfId="0" applyNumberFormat="1" applyBorder="1" applyAlignment="1">
      <alignment horizontal="center"/>
    </xf>
    <xf numFmtId="0" fontId="0" fillId="0" borderId="37" xfId="0" pivotButton="1" applyBorder="1" applyAlignment="1">
      <alignment horizontal="center"/>
    </xf>
    <xf numFmtId="0" fontId="0" fillId="0" borderId="49" xfId="0" applyBorder="1" applyAlignment="1">
      <alignment horizontal="center"/>
    </xf>
    <xf numFmtId="0" fontId="0" fillId="0" borderId="40" xfId="0" applyBorder="1" applyAlignment="1">
      <alignment horizontal="center"/>
    </xf>
    <xf numFmtId="0" fontId="0" fillId="0" borderId="48" xfId="0" applyBorder="1" applyAlignment="1">
      <alignment horizontal="center"/>
    </xf>
    <xf numFmtId="0" fontId="0" fillId="0" borderId="37" xfId="0" applyBorder="1" applyAlignment="1">
      <alignment horizontal="center"/>
    </xf>
    <xf numFmtId="0" fontId="0" fillId="0" borderId="20" xfId="0" applyBorder="1" applyAlignment="1">
      <alignment horizontal="left"/>
    </xf>
    <xf numFmtId="0" fontId="0" fillId="0" borderId="28" xfId="0" pivotButton="1" applyBorder="1"/>
    <xf numFmtId="0" fontId="0" fillId="0" borderId="28" xfId="0" applyBorder="1" applyAlignment="1">
      <alignment horizontal="left"/>
    </xf>
    <xf numFmtId="0" fontId="0" fillId="0" borderId="48" xfId="0" pivotButton="1" applyBorder="1"/>
    <xf numFmtId="0" fontId="0" fillId="0" borderId="48" xfId="0" applyBorder="1"/>
    <xf numFmtId="10" fontId="0" fillId="0" borderId="40" xfId="0" applyNumberFormat="1" applyBorder="1"/>
    <xf numFmtId="10" fontId="0" fillId="0" borderId="48" xfId="0" applyNumberFormat="1" applyBorder="1"/>
    <xf numFmtId="0" fontId="14" fillId="0" borderId="0" xfId="0" applyFont="1"/>
    <xf numFmtId="0" fontId="15" fillId="0" borderId="0" xfId="0" applyFont="1"/>
    <xf numFmtId="0" fontId="4" fillId="0" borderId="0" xfId="0" applyFont="1"/>
    <xf numFmtId="0" fontId="16" fillId="0" borderId="0" xfId="0" applyFont="1" applyAlignment="1">
      <alignment vertical="center"/>
    </xf>
    <xf numFmtId="0" fontId="17" fillId="0" borderId="0" xfId="0" applyFont="1" applyAlignment="1">
      <alignment vertical="center"/>
    </xf>
    <xf numFmtId="0" fontId="18" fillId="0" borderId="0" xfId="0" applyFont="1" applyAlignment="1">
      <alignment vertical="center"/>
    </xf>
    <xf numFmtId="0" fontId="0" fillId="29" borderId="1" xfId="0" applyFill="1" applyBorder="1"/>
    <xf numFmtId="186" fontId="5" fillId="0" borderId="0" xfId="1" applyNumberFormat="1"/>
    <xf numFmtId="0" fontId="11" fillId="26" borderId="25" xfId="0" applyFont="1" applyFill="1" applyBorder="1" applyAlignment="1">
      <alignment vertical="center"/>
    </xf>
    <xf numFmtId="0" fontId="11" fillId="26" borderId="26" xfId="0" applyFont="1" applyFill="1" applyBorder="1" applyAlignment="1">
      <alignment vertical="center"/>
    </xf>
    <xf numFmtId="0" fontId="11" fillId="26" borderId="27" xfId="0" applyFont="1" applyFill="1" applyBorder="1" applyAlignment="1">
      <alignment vertical="center"/>
    </xf>
    <xf numFmtId="0" fontId="9" fillId="17" borderId="25" xfId="0" applyFont="1" applyFill="1" applyBorder="1" applyAlignment="1">
      <alignment vertical="center"/>
    </xf>
    <xf numFmtId="0" fontId="23" fillId="0" borderId="0" xfId="2" applyFont="1"/>
    <xf numFmtId="0" fontId="5" fillId="0" borderId="0" xfId="1"/>
    <xf numFmtId="0" fontId="0" fillId="0" borderId="30" xfId="0" applyBorder="1" applyAlignment="1">
      <alignment horizontal="center"/>
    </xf>
    <xf numFmtId="176" fontId="0" fillId="0" borderId="0" xfId="4" applyFont="1" applyBorder="1"/>
    <xf numFmtId="178" fontId="4" fillId="16" borderId="0" xfId="0" applyNumberFormat="1" applyFont="1" applyFill="1"/>
    <xf numFmtId="10" fontId="0" fillId="0" borderId="0" xfId="0" applyNumberFormat="1" applyAlignment="1">
      <alignment horizontal="center" vertical="center"/>
    </xf>
    <xf numFmtId="0" fontId="0" fillId="0" borderId="0" xfId="0" applyAlignment="1">
      <alignment wrapText="1"/>
    </xf>
    <xf numFmtId="0" fontId="0" fillId="16" borderId="1" xfId="0" applyFill="1" applyBorder="1"/>
    <xf numFmtId="178" fontId="9" fillId="0" borderId="1" xfId="0" applyNumberFormat="1" applyFont="1" applyBorder="1" applyAlignment="1">
      <alignment horizontal="center" vertical="center"/>
    </xf>
    <xf numFmtId="0" fontId="0" fillId="18" borderId="37" xfId="0" applyFill="1" applyBorder="1" applyAlignment="1">
      <alignment horizontal="center"/>
    </xf>
    <xf numFmtId="178" fontId="0" fillId="0" borderId="30" xfId="0" applyNumberFormat="1" applyBorder="1" applyAlignment="1">
      <alignment horizontal="center"/>
    </xf>
    <xf numFmtId="0" fontId="1" fillId="16" borderId="37" xfId="0" applyFont="1" applyFill="1" applyBorder="1"/>
    <xf numFmtId="0" fontId="1" fillId="16" borderId="1" xfId="0" applyFont="1" applyFill="1" applyBorder="1"/>
    <xf numFmtId="9" fontId="0" fillId="0" borderId="1" xfId="6" applyFont="1" applyBorder="1"/>
    <xf numFmtId="0" fontId="22" fillId="0" borderId="0" xfId="2" applyFont="1"/>
    <xf numFmtId="185" fontId="23" fillId="0" borderId="0" xfId="2" applyNumberFormat="1" applyFont="1"/>
    <xf numFmtId="0" fontId="9" fillId="20" borderId="25" xfId="0" applyFont="1" applyFill="1" applyBorder="1" applyAlignment="1">
      <alignment vertical="center"/>
    </xf>
    <xf numFmtId="0" fontId="0" fillId="21" borderId="17" xfId="0" applyFill="1" applyBorder="1"/>
    <xf numFmtId="0" fontId="0" fillId="21" borderId="0" xfId="0" applyFill="1"/>
    <xf numFmtId="176" fontId="0" fillId="0" borderId="21" xfId="4" applyFont="1" applyBorder="1"/>
    <xf numFmtId="176" fontId="0" fillId="0" borderId="1" xfId="4" applyFont="1" applyBorder="1"/>
    <xf numFmtId="0" fontId="0" fillId="0" borderId="8" xfId="0" applyBorder="1" applyAlignment="1">
      <alignment horizontal="center" vertical="center"/>
    </xf>
    <xf numFmtId="0" fontId="0" fillId="0" borderId="11" xfId="0" applyBorder="1" applyAlignment="1">
      <alignment horizontal="center" vertical="center"/>
    </xf>
    <xf numFmtId="0" fontId="12" fillId="7" borderId="2" xfId="0" applyFont="1" applyFill="1" applyBorder="1"/>
    <xf numFmtId="178" fontId="4" fillId="0" borderId="28" xfId="0" applyNumberFormat="1" applyFont="1" applyBorder="1"/>
    <xf numFmtId="0" fontId="0" fillId="0" borderId="56" xfId="0" applyBorder="1"/>
    <xf numFmtId="178" fontId="1" fillId="8" borderId="55" xfId="0" applyNumberFormat="1" applyFont="1" applyFill="1" applyBorder="1"/>
    <xf numFmtId="0" fontId="0" fillId="0" borderId="34" xfId="0" applyBorder="1"/>
    <xf numFmtId="178" fontId="0" fillId="0" borderId="57" xfId="0" applyNumberFormat="1" applyBorder="1"/>
    <xf numFmtId="178" fontId="0" fillId="0" borderId="56" xfId="0" applyNumberFormat="1" applyBorder="1"/>
    <xf numFmtId="0" fontId="0" fillId="16" borderId="0" xfId="0" applyFill="1"/>
    <xf numFmtId="178" fontId="0" fillId="16" borderId="0" xfId="0" applyNumberFormat="1" applyFill="1"/>
    <xf numFmtId="188" fontId="0" fillId="0" borderId="0" xfId="4" applyNumberFormat="1" applyFont="1" applyBorder="1"/>
    <xf numFmtId="189" fontId="0" fillId="0" borderId="0" xfId="0" applyNumberFormat="1"/>
    <xf numFmtId="190" fontId="0" fillId="0" borderId="0" xfId="0" applyNumberFormat="1"/>
    <xf numFmtId="188" fontId="0" fillId="0" borderId="21" xfId="4" applyNumberFormat="1" applyFont="1" applyBorder="1"/>
    <xf numFmtId="188" fontId="0" fillId="0" borderId="21" xfId="0" applyNumberFormat="1" applyBorder="1"/>
    <xf numFmtId="2" fontId="0" fillId="0" borderId="0" xfId="0" applyNumberFormat="1"/>
    <xf numFmtId="0" fontId="0" fillId="9" borderId="0" xfId="0" applyFill="1"/>
    <xf numFmtId="2" fontId="0" fillId="9" borderId="12" xfId="0" applyNumberFormat="1" applyFill="1" applyBorder="1"/>
    <xf numFmtId="0" fontId="1" fillId="7" borderId="1" xfId="0" applyFont="1" applyFill="1" applyBorder="1" applyAlignment="1">
      <alignment horizontal="center"/>
    </xf>
    <xf numFmtId="0" fontId="0" fillId="0" borderId="0" xfId="0" applyAlignment="1">
      <alignment horizontal="center" vertical="center" wrapText="1"/>
    </xf>
    <xf numFmtId="0" fontId="0" fillId="0" borderId="8" xfId="0" applyBorder="1" applyAlignment="1">
      <alignment horizontal="left"/>
    </xf>
    <xf numFmtId="0" fontId="1" fillId="21" borderId="0" xfId="0" applyFont="1" applyFill="1" applyAlignment="1">
      <alignment horizontal="center" vertical="center"/>
    </xf>
    <xf numFmtId="0" fontId="1" fillId="21" borderId="17" xfId="0" applyFont="1" applyFill="1" applyBorder="1" applyAlignment="1">
      <alignment horizontal="center" vertical="center"/>
    </xf>
    <xf numFmtId="0" fontId="1" fillId="21" borderId="37" xfId="0" applyFont="1" applyFill="1" applyBorder="1" applyAlignment="1">
      <alignment wrapText="1"/>
    </xf>
    <xf numFmtId="0" fontId="0" fillId="0" borderId="9" xfId="0" applyBorder="1" applyAlignment="1">
      <alignment horizontal="left"/>
    </xf>
    <xf numFmtId="0" fontId="0" fillId="0" borderId="42" xfId="0" applyBorder="1" applyAlignment="1">
      <alignment horizontal="center" vertical="center" wrapText="1"/>
    </xf>
    <xf numFmtId="0" fontId="0" fillId="0" borderId="30" xfId="0" applyBorder="1" applyAlignment="1">
      <alignment horizontal="center" vertical="center" wrapText="1"/>
    </xf>
    <xf numFmtId="0" fontId="0" fillId="0" borderId="39" xfId="0" applyBorder="1" applyAlignment="1">
      <alignment horizontal="center" vertical="center" wrapText="1"/>
    </xf>
    <xf numFmtId="0" fontId="0" fillId="30" borderId="1" xfId="0" applyFill="1" applyBorder="1"/>
    <xf numFmtId="178" fontId="0" fillId="30" borderId="1" xfId="0" applyNumberFormat="1" applyFill="1" applyBorder="1"/>
    <xf numFmtId="0" fontId="0" fillId="30" borderId="34" xfId="0" applyFill="1" applyBorder="1"/>
    <xf numFmtId="178" fontId="0" fillId="30" borderId="34" xfId="0" applyNumberFormat="1" applyFill="1" applyBorder="1"/>
    <xf numFmtId="0" fontId="0" fillId="30" borderId="10" xfId="0" applyFill="1" applyBorder="1"/>
    <xf numFmtId="178" fontId="0" fillId="30" borderId="10" xfId="0" applyNumberFormat="1" applyFill="1" applyBorder="1"/>
    <xf numFmtId="0" fontId="0" fillId="29" borderId="1" xfId="0" applyFill="1" applyBorder="1" applyAlignment="1">
      <alignment vertical="center" wrapText="1"/>
    </xf>
    <xf numFmtId="178" fontId="0" fillId="29" borderId="11" xfId="0" applyNumberFormat="1" applyFill="1" applyBorder="1" applyAlignment="1">
      <alignment vertical="center" wrapText="1"/>
    </xf>
    <xf numFmtId="10" fontId="0" fillId="30" borderId="34" xfId="0" applyNumberFormat="1" applyFill="1" applyBorder="1"/>
    <xf numFmtId="10" fontId="0" fillId="30" borderId="1" xfId="0" applyNumberFormat="1" applyFill="1" applyBorder="1"/>
    <xf numFmtId="0" fontId="0" fillId="0" borderId="8" xfId="0" applyBorder="1" applyAlignment="1">
      <alignment horizontal="center" vertical="center" wrapText="1"/>
    </xf>
    <xf numFmtId="178" fontId="0" fillId="0" borderId="1" xfId="0" applyNumberFormat="1" applyBorder="1" applyAlignment="1">
      <alignment horizontal="center" vertical="center" wrapText="1"/>
    </xf>
    <xf numFmtId="178" fontId="0" fillId="0" borderId="11" xfId="0" applyNumberFormat="1" applyBorder="1" applyAlignment="1">
      <alignment horizontal="right" vertical="center" wrapText="1"/>
    </xf>
    <xf numFmtId="178" fontId="0" fillId="0" borderId="11" xfId="0" applyNumberFormat="1" applyBorder="1" applyAlignment="1">
      <alignment horizontal="right"/>
    </xf>
    <xf numFmtId="178" fontId="0" fillId="0" borderId="12" xfId="0" applyNumberFormat="1" applyBorder="1" applyAlignment="1">
      <alignment horizontal="right"/>
    </xf>
    <xf numFmtId="0" fontId="1" fillId="0" borderId="8" xfId="0" applyFont="1" applyBorder="1" applyAlignment="1">
      <alignment horizontal="center" vertical="center" wrapText="1"/>
    </xf>
    <xf numFmtId="0" fontId="1" fillId="0" borderId="11" xfId="0" applyFont="1" applyBorder="1" applyAlignment="1">
      <alignment horizontal="center" vertical="center" wrapText="1"/>
    </xf>
    <xf numFmtId="0" fontId="6" fillId="0" borderId="3" xfId="0" applyFont="1" applyBorder="1"/>
    <xf numFmtId="0" fontId="6" fillId="0" borderId="4" xfId="0" applyFont="1" applyBorder="1"/>
    <xf numFmtId="0" fontId="1" fillId="7" borderId="1" xfId="0" applyFont="1" applyFill="1" applyBorder="1"/>
    <xf numFmtId="0" fontId="4" fillId="0" borderId="1" xfId="0" applyFont="1" applyBorder="1"/>
    <xf numFmtId="14" fontId="4" fillId="0" borderId="1" xfId="0" applyNumberFormat="1" applyFont="1" applyBorder="1"/>
    <xf numFmtId="0" fontId="4" fillId="0" borderId="1" xfId="0" applyFont="1" applyBorder="1" applyAlignment="1">
      <alignment wrapText="1"/>
    </xf>
    <xf numFmtId="10" fontId="4" fillId="0" borderId="1" xfId="0" applyNumberFormat="1" applyFont="1" applyBorder="1"/>
    <xf numFmtId="0" fontId="4" fillId="0" borderId="25" xfId="0" applyFont="1" applyBorder="1" applyAlignment="1">
      <alignment wrapText="1"/>
    </xf>
    <xf numFmtId="0" fontId="1" fillId="0" borderId="27" xfId="0" applyFont="1" applyBorder="1"/>
    <xf numFmtId="14" fontId="0" fillId="0" borderId="0" xfId="0" applyNumberFormat="1"/>
    <xf numFmtId="0" fontId="4" fillId="0" borderId="17" xfId="0" applyFont="1" applyBorder="1"/>
    <xf numFmtId="14" fontId="4" fillId="0" borderId="19" xfId="0" applyNumberFormat="1" applyFont="1" applyBorder="1" applyAlignment="1">
      <alignment horizontal="right"/>
    </xf>
    <xf numFmtId="0" fontId="4" fillId="0" borderId="20" xfId="0" applyFont="1" applyBorder="1"/>
    <xf numFmtId="14" fontId="4" fillId="0" borderId="21" xfId="0" applyNumberFormat="1" applyFont="1" applyBorder="1" applyAlignment="1">
      <alignment horizontal="right"/>
    </xf>
    <xf numFmtId="0" fontId="4" fillId="0" borderId="28" xfId="0" applyFont="1" applyBorder="1"/>
    <xf numFmtId="0" fontId="4" fillId="0" borderId="24" xfId="0" applyFont="1" applyBorder="1" applyAlignment="1">
      <alignment horizontal="right"/>
    </xf>
    <xf numFmtId="4" fontId="0" fillId="0" borderId="1" xfId="0" applyNumberFormat="1" applyBorder="1" applyAlignment="1">
      <alignment horizontal="center" vertical="center"/>
    </xf>
    <xf numFmtId="4" fontId="1" fillId="0" borderId="0" xfId="0" applyNumberFormat="1" applyFont="1"/>
    <xf numFmtId="0" fontId="1" fillId="0" borderId="0" xfId="0" applyFont="1"/>
    <xf numFmtId="0" fontId="1" fillId="0" borderId="0" xfId="0" applyFont="1" applyAlignment="1">
      <alignment horizontal="center" vertical="center"/>
    </xf>
    <xf numFmtId="0" fontId="1" fillId="0" borderId="1" xfId="0" applyFont="1" applyBorder="1"/>
    <xf numFmtId="0" fontId="6" fillId="0" borderId="0" xfId="0" applyFont="1"/>
    <xf numFmtId="0" fontId="19" fillId="31" borderId="51" xfId="0" applyFont="1" applyFill="1" applyBorder="1"/>
    <xf numFmtId="0" fontId="19" fillId="31" borderId="52" xfId="0" applyFont="1" applyFill="1" applyBorder="1"/>
    <xf numFmtId="0" fontId="19" fillId="31" borderId="50" xfId="0" applyFont="1" applyFill="1" applyBorder="1"/>
    <xf numFmtId="178" fontId="1" fillId="0" borderId="0" xfId="0" applyNumberFormat="1" applyFont="1"/>
    <xf numFmtId="10" fontId="1" fillId="0" borderId="0" xfId="0" applyNumberFormat="1" applyFont="1"/>
    <xf numFmtId="0" fontId="5" fillId="0" borderId="1" xfId="1" applyFill="1" applyBorder="1" applyAlignment="1">
      <alignment horizontal="center" vertical="center"/>
    </xf>
    <xf numFmtId="0" fontId="0" fillId="0" borderId="1" xfId="0" applyBorder="1" applyAlignment="1">
      <alignment horizontal="left" vertical="center" wrapText="1"/>
    </xf>
    <xf numFmtId="10" fontId="0" fillId="0" borderId="1" xfId="0" applyNumberFormat="1" applyBorder="1" applyAlignment="1">
      <alignment horizontal="center" vertical="center"/>
    </xf>
    <xf numFmtId="4" fontId="1" fillId="0" borderId="1" xfId="0" applyNumberFormat="1" applyFont="1" applyBorder="1"/>
    <xf numFmtId="182" fontId="0" fillId="0" borderId="1" xfId="0" applyNumberFormat="1" applyBorder="1"/>
    <xf numFmtId="0" fontId="0" fillId="0" borderId="1" xfId="0" applyBorder="1" applyAlignment="1">
      <alignment horizontal="center" vertical="center" wrapText="1"/>
    </xf>
    <xf numFmtId="0" fontId="8" fillId="18" borderId="37" xfId="0" applyFont="1" applyFill="1" applyBorder="1" applyAlignment="1">
      <alignment horizontal="center" vertical="center"/>
    </xf>
    <xf numFmtId="0" fontId="0" fillId="30" borderId="17" xfId="2" applyFont="1" applyFill="1" applyBorder="1" applyAlignment="1">
      <alignment horizontal="center"/>
    </xf>
    <xf numFmtId="0" fontId="0" fillId="30" borderId="18" xfId="2" applyFont="1" applyFill="1" applyBorder="1" applyAlignment="1">
      <alignment horizontal="center"/>
    </xf>
    <xf numFmtId="178" fontId="20" fillId="30" borderId="18" xfId="2" applyNumberFormat="1" applyFill="1" applyBorder="1" applyAlignment="1">
      <alignment horizontal="center"/>
    </xf>
    <xf numFmtId="183" fontId="20" fillId="30" borderId="19" xfId="2" applyNumberFormat="1" applyFill="1" applyBorder="1" applyAlignment="1">
      <alignment horizontal="center"/>
    </xf>
    <xf numFmtId="0" fontId="0" fillId="30" borderId="20" xfId="2" applyFont="1" applyFill="1" applyBorder="1" applyAlignment="1">
      <alignment horizontal="center"/>
    </xf>
    <xf numFmtId="178" fontId="20" fillId="30" borderId="0" xfId="2" applyNumberFormat="1" applyFill="1" applyAlignment="1">
      <alignment horizontal="center"/>
    </xf>
    <xf numFmtId="183" fontId="20" fillId="30" borderId="21" xfId="2" applyNumberFormat="1" applyFill="1" applyBorder="1" applyAlignment="1">
      <alignment horizontal="center"/>
    </xf>
    <xf numFmtId="0" fontId="20" fillId="30" borderId="0" xfId="2" applyFill="1" applyAlignment="1">
      <alignment horizontal="center"/>
    </xf>
    <xf numFmtId="0" fontId="0" fillId="30" borderId="20" xfId="0" applyFill="1" applyBorder="1" applyAlignment="1">
      <alignment horizontal="center" vertical="center"/>
    </xf>
    <xf numFmtId="0" fontId="21" fillId="30" borderId="20" xfId="0" applyFont="1" applyFill="1" applyBorder="1" applyAlignment="1">
      <alignment horizontal="center"/>
    </xf>
    <xf numFmtId="0" fontId="0" fillId="30" borderId="20" xfId="0" applyFill="1" applyBorder="1"/>
    <xf numFmtId="178" fontId="0" fillId="30" borderId="0" xfId="0" applyNumberFormat="1" applyFill="1"/>
    <xf numFmtId="0" fontId="2" fillId="30" borderId="20" xfId="0" applyFont="1" applyFill="1" applyBorder="1"/>
    <xf numFmtId="178" fontId="2" fillId="30" borderId="0" xfId="0" applyNumberFormat="1" applyFont="1" applyFill="1"/>
    <xf numFmtId="0" fontId="2" fillId="30" borderId="0" xfId="0" applyFont="1" applyFill="1"/>
    <xf numFmtId="179" fontId="2" fillId="30" borderId="21" xfId="0" applyNumberFormat="1" applyFont="1" applyFill="1" applyBorder="1"/>
    <xf numFmtId="0" fontId="2" fillId="30" borderId="28" xfId="0" applyFont="1" applyFill="1" applyBorder="1"/>
    <xf numFmtId="0" fontId="2" fillId="30" borderId="23" xfId="0" applyFont="1" applyFill="1" applyBorder="1"/>
    <xf numFmtId="178" fontId="2" fillId="30" borderId="23" xfId="0" applyNumberFormat="1" applyFont="1" applyFill="1" applyBorder="1"/>
    <xf numFmtId="179" fontId="2" fillId="30" borderId="24" xfId="0" applyNumberFormat="1" applyFont="1" applyFill="1" applyBorder="1"/>
    <xf numFmtId="184" fontId="20" fillId="30" borderId="17" xfId="2" applyNumberFormat="1" applyFill="1" applyBorder="1" applyAlignment="1">
      <alignment horizontal="center"/>
    </xf>
    <xf numFmtId="178" fontId="20" fillId="30" borderId="19" xfId="2" applyNumberFormat="1" applyFill="1" applyBorder="1" applyAlignment="1">
      <alignment horizontal="center"/>
    </xf>
    <xf numFmtId="184" fontId="20" fillId="30" borderId="20" xfId="2" applyNumberFormat="1" applyFill="1" applyBorder="1" applyAlignment="1">
      <alignment horizontal="center"/>
    </xf>
    <xf numFmtId="178" fontId="20" fillId="30" borderId="21" xfId="2" applyNumberFormat="1" applyFill="1" applyBorder="1" applyAlignment="1">
      <alignment horizontal="center"/>
    </xf>
    <xf numFmtId="187" fontId="2" fillId="30" borderId="20" xfId="0" applyNumberFormat="1" applyFont="1" applyFill="1" applyBorder="1"/>
    <xf numFmtId="178" fontId="2" fillId="30" borderId="21" xfId="0" applyNumberFormat="1" applyFont="1" applyFill="1" applyBorder="1"/>
    <xf numFmtId="187" fontId="2" fillId="30" borderId="28" xfId="0" applyNumberFormat="1" applyFont="1" applyFill="1" applyBorder="1"/>
    <xf numFmtId="178" fontId="2" fillId="30" borderId="24" xfId="0" applyNumberFormat="1" applyFont="1" applyFill="1" applyBorder="1"/>
    <xf numFmtId="0" fontId="0" fillId="30" borderId="17" xfId="0" applyFill="1" applyBorder="1"/>
    <xf numFmtId="0" fontId="0" fillId="30" borderId="18" xfId="0" applyFill="1" applyBorder="1"/>
    <xf numFmtId="0" fontId="0" fillId="30" borderId="19" xfId="0" applyFill="1" applyBorder="1"/>
    <xf numFmtId="0" fontId="0" fillId="30" borderId="0" xfId="0" applyFill="1"/>
    <xf numFmtId="0" fontId="0" fillId="30" borderId="21" xfId="0" applyFill="1" applyBorder="1"/>
    <xf numFmtId="0" fontId="2" fillId="30" borderId="21" xfId="0" applyFont="1" applyFill="1" applyBorder="1"/>
    <xf numFmtId="0" fontId="2" fillId="30" borderId="24" xfId="0" applyFont="1" applyFill="1" applyBorder="1"/>
    <xf numFmtId="0" fontId="0" fillId="32" borderId="49" xfId="0" applyFill="1" applyBorder="1"/>
    <xf numFmtId="0" fontId="0" fillId="32" borderId="40" xfId="0" applyFill="1" applyBorder="1"/>
    <xf numFmtId="0" fontId="2" fillId="32" borderId="48" xfId="0" applyFont="1" applyFill="1" applyBorder="1"/>
    <xf numFmtId="178" fontId="0" fillId="32" borderId="17" xfId="0" applyNumberFormat="1" applyFill="1" applyBorder="1"/>
    <xf numFmtId="0" fontId="0" fillId="32" borderId="19" xfId="0" applyFill="1" applyBorder="1"/>
    <xf numFmtId="178" fontId="0" fillId="32" borderId="20" xfId="0" applyNumberFormat="1" applyFill="1" applyBorder="1"/>
    <xf numFmtId="0" fontId="0" fillId="32" borderId="21" xfId="0" applyFill="1" applyBorder="1"/>
    <xf numFmtId="178" fontId="0" fillId="32" borderId="28" xfId="0" applyNumberFormat="1" applyFill="1" applyBorder="1"/>
    <xf numFmtId="0" fontId="0" fillId="32" borderId="24" xfId="0" applyFill="1" applyBorder="1"/>
    <xf numFmtId="0" fontId="1" fillId="21" borderId="37" xfId="0" applyFont="1" applyFill="1" applyBorder="1"/>
    <xf numFmtId="0" fontId="1" fillId="21" borderId="14" xfId="0" applyFont="1" applyFill="1" applyBorder="1"/>
    <xf numFmtId="0" fontId="1" fillId="18" borderId="37" xfId="0" applyFont="1" applyFill="1" applyBorder="1" applyAlignment="1">
      <alignment horizontal="left"/>
    </xf>
    <xf numFmtId="0" fontId="1" fillId="0" borderId="0" xfId="0" applyFont="1" applyAlignment="1">
      <alignment horizontal="center"/>
    </xf>
    <xf numFmtId="0" fontId="1" fillId="0" borderId="48" xfId="0" applyFont="1" applyBorder="1" applyAlignment="1">
      <alignment horizontal="center"/>
    </xf>
    <xf numFmtId="0" fontId="0" fillId="16" borderId="30" xfId="0" applyFill="1" applyBorder="1" applyAlignment="1" applyProtection="1">
      <alignment horizontal="left" vertical="center" wrapText="1"/>
      <protection locked="0"/>
    </xf>
    <xf numFmtId="0" fontId="0" fillId="16" borderId="30" xfId="0" applyFill="1" applyBorder="1" applyAlignment="1" applyProtection="1">
      <alignment horizontal="center"/>
      <protection locked="0"/>
    </xf>
    <xf numFmtId="0" fontId="0" fillId="16" borderId="1" xfId="0" applyFill="1" applyBorder="1" applyAlignment="1" applyProtection="1">
      <alignment horizontal="left" vertical="center" wrapText="1"/>
      <protection locked="0"/>
    </xf>
    <xf numFmtId="0" fontId="0" fillId="16" borderId="1" xfId="0" applyFill="1" applyBorder="1" applyAlignment="1" applyProtection="1">
      <alignment horizontal="center"/>
      <protection locked="0"/>
    </xf>
    <xf numFmtId="0" fontId="0" fillId="0" borderId="9" xfId="0" applyBorder="1" applyAlignment="1">
      <alignment horizontal="left" wrapText="1"/>
    </xf>
    <xf numFmtId="0" fontId="0" fillId="0" borderId="2" xfId="0" applyBorder="1" applyAlignment="1">
      <alignment vertical="top"/>
    </xf>
    <xf numFmtId="0" fontId="1" fillId="5" borderId="37" xfId="0" applyFont="1" applyFill="1" applyBorder="1" applyAlignment="1">
      <alignment wrapText="1"/>
    </xf>
    <xf numFmtId="0" fontId="0" fillId="5" borderId="42" xfId="0" applyFill="1" applyBorder="1" applyAlignment="1">
      <alignment horizontal="left" vertical="center"/>
    </xf>
    <xf numFmtId="0" fontId="0" fillId="5" borderId="1" xfId="0" applyFill="1" applyBorder="1" applyAlignment="1">
      <alignment horizontal="left" vertical="center"/>
    </xf>
    <xf numFmtId="0" fontId="0" fillId="5" borderId="1" xfId="0" applyFill="1" applyBorder="1" applyAlignment="1">
      <alignment horizontal="left" vertical="center" wrapText="1"/>
    </xf>
    <xf numFmtId="0" fontId="0" fillId="5" borderId="11" xfId="0" applyFill="1" applyBorder="1" applyAlignment="1">
      <alignment horizontal="left" vertical="center"/>
    </xf>
    <xf numFmtId="192" fontId="0" fillId="0" borderId="0" xfId="0" applyNumberFormat="1"/>
    <xf numFmtId="0" fontId="0" fillId="30" borderId="58" xfId="2" applyFont="1" applyFill="1" applyBorder="1" applyAlignment="1">
      <alignment horizontal="center"/>
    </xf>
    <xf numFmtId="192" fontId="31" fillId="31" borderId="0" xfId="0" applyNumberFormat="1" applyFont="1" applyFill="1"/>
    <xf numFmtId="192" fontId="1" fillId="14" borderId="0" xfId="0" applyNumberFormat="1" applyFont="1" applyFill="1"/>
    <xf numFmtId="4" fontId="1" fillId="0" borderId="34" xfId="0" applyNumberFormat="1" applyFont="1" applyBorder="1"/>
    <xf numFmtId="4" fontId="1" fillId="0" borderId="25" xfId="0" applyNumberFormat="1" applyFont="1" applyBorder="1"/>
    <xf numFmtId="192" fontId="1" fillId="0" borderId="27" xfId="0" applyNumberFormat="1" applyFont="1" applyBorder="1"/>
    <xf numFmtId="4" fontId="1" fillId="10" borderId="25" xfId="0" applyNumberFormat="1" applyFont="1" applyFill="1" applyBorder="1"/>
    <xf numFmtId="4" fontId="1" fillId="10" borderId="27" xfId="0" applyNumberFormat="1" applyFont="1" applyFill="1" applyBorder="1"/>
    <xf numFmtId="192" fontId="1" fillId="16" borderId="27" xfId="0" applyNumberFormat="1" applyFont="1" applyFill="1" applyBorder="1"/>
    <xf numFmtId="192" fontId="1" fillId="12" borderId="0" xfId="0" applyNumberFormat="1" applyFont="1" applyFill="1"/>
    <xf numFmtId="0" fontId="1" fillId="16" borderId="0" xfId="0" applyFont="1" applyFill="1"/>
    <xf numFmtId="0" fontId="1" fillId="12" borderId="0" xfId="0" applyFont="1" applyFill="1"/>
    <xf numFmtId="0" fontId="0" fillId="16" borderId="1" xfId="0" applyFill="1" applyBorder="1" applyAlignment="1">
      <alignment horizontal="left" vertical="center" wrapText="1"/>
    </xf>
    <xf numFmtId="0" fontId="0" fillId="16" borderId="1" xfId="0" applyFill="1" applyBorder="1" applyAlignment="1">
      <alignment horizontal="center" vertical="center"/>
    </xf>
    <xf numFmtId="178" fontId="0" fillId="16" borderId="1" xfId="0" applyNumberFormat="1" applyFill="1" applyBorder="1"/>
    <xf numFmtId="4" fontId="1" fillId="16" borderId="1" xfId="0" applyNumberFormat="1" applyFont="1" applyFill="1" applyBorder="1"/>
    <xf numFmtId="182" fontId="0" fillId="16" borderId="1" xfId="0" applyNumberFormat="1" applyFill="1" applyBorder="1"/>
    <xf numFmtId="4" fontId="0" fillId="16" borderId="1" xfId="0" applyNumberFormat="1" applyFill="1" applyBorder="1" applyAlignment="1">
      <alignment horizontal="center" vertical="center"/>
    </xf>
    <xf numFmtId="178" fontId="0" fillId="0" borderId="1" xfId="0" applyNumberFormat="1" applyBorder="1" applyAlignment="1">
      <alignment horizontal="center" vertical="center"/>
    </xf>
    <xf numFmtId="12" fontId="32" fillId="0" borderId="59" xfId="0" applyNumberFormat="1" applyFont="1" applyBorder="1" applyAlignment="1">
      <alignment horizontal="right" vertical="center" wrapText="1"/>
    </xf>
    <xf numFmtId="43" fontId="33" fillId="0" borderId="59" xfId="8" applyFont="1" applyFill="1" applyBorder="1" applyAlignment="1">
      <alignment horizontal="center" vertical="center" shrinkToFit="1"/>
    </xf>
    <xf numFmtId="43" fontId="32" fillId="0" borderId="59" xfId="0" applyNumberFormat="1" applyFont="1" applyBorder="1" applyAlignment="1">
      <alignment horizontal="center" vertical="center" wrapText="1"/>
    </xf>
    <xf numFmtId="10" fontId="0" fillId="16" borderId="1" xfId="0" applyNumberFormat="1" applyFill="1" applyBorder="1" applyAlignment="1">
      <alignment horizontal="center" vertical="center"/>
    </xf>
    <xf numFmtId="0" fontId="5" fillId="16" borderId="1" xfId="1" applyFill="1" applyBorder="1" applyAlignment="1">
      <alignment horizontal="center" vertical="center"/>
    </xf>
    <xf numFmtId="10" fontId="0" fillId="16" borderId="1" xfId="0" applyNumberFormat="1" applyFill="1" applyBorder="1"/>
    <xf numFmtId="0" fontId="34" fillId="0" borderId="1" xfId="1" applyFont="1" applyFill="1" applyBorder="1" applyAlignment="1">
      <alignment horizontal="center" vertical="center"/>
    </xf>
    <xf numFmtId="0" fontId="3" fillId="0" borderId="1" xfId="0" applyFont="1" applyBorder="1" applyAlignment="1">
      <alignment horizontal="left" vertical="center" wrapText="1"/>
    </xf>
    <xf numFmtId="0" fontId="3" fillId="0" borderId="1" xfId="0" applyFont="1" applyBorder="1" applyAlignment="1">
      <alignment horizontal="center" vertical="center"/>
    </xf>
    <xf numFmtId="178" fontId="3" fillId="0" borderId="1" xfId="0" applyNumberFormat="1" applyFont="1" applyBorder="1"/>
    <xf numFmtId="10" fontId="3" fillId="0" borderId="1" xfId="0" applyNumberFormat="1" applyFont="1" applyBorder="1" applyAlignment="1">
      <alignment horizontal="center" vertical="center"/>
    </xf>
    <xf numFmtId="4" fontId="6" fillId="0" borderId="1" xfId="0" applyNumberFormat="1" applyFont="1" applyBorder="1"/>
    <xf numFmtId="182" fontId="3" fillId="0" borderId="1" xfId="0" applyNumberFormat="1" applyFont="1" applyBorder="1"/>
    <xf numFmtId="10" fontId="3" fillId="0" borderId="1" xfId="0" applyNumberFormat="1" applyFont="1" applyBorder="1"/>
    <xf numFmtId="0" fontId="3" fillId="0" borderId="1" xfId="0" applyFont="1" applyBorder="1"/>
    <xf numFmtId="4" fontId="3" fillId="0" borderId="1" xfId="0" applyNumberFormat="1" applyFont="1" applyBorder="1" applyAlignment="1">
      <alignment horizontal="center" vertical="center"/>
    </xf>
    <xf numFmtId="178" fontId="3" fillId="0" borderId="0" xfId="0" applyNumberFormat="1" applyFont="1"/>
    <xf numFmtId="0" fontId="0" fillId="30" borderId="0" xfId="2" applyFont="1" applyFill="1" applyAlignment="1">
      <alignment horizontal="center"/>
    </xf>
    <xf numFmtId="0" fontId="0" fillId="30" borderId="20" xfId="0" applyFill="1" applyBorder="1" applyAlignment="1">
      <alignment horizontal="center"/>
    </xf>
    <xf numFmtId="9" fontId="0" fillId="0" borderId="0" xfId="6" applyFont="1"/>
    <xf numFmtId="9" fontId="37" fillId="0" borderId="0" xfId="6" applyFont="1"/>
    <xf numFmtId="0" fontId="28" fillId="16" borderId="0" xfId="0" applyFont="1" applyFill="1"/>
    <xf numFmtId="192" fontId="28" fillId="16" borderId="0" xfId="0" applyNumberFormat="1" applyFont="1" applyFill="1"/>
    <xf numFmtId="10" fontId="6" fillId="0" borderId="0" xfId="0" applyNumberFormat="1" applyFont="1"/>
    <xf numFmtId="178" fontId="0" fillId="33" borderId="60" xfId="0" applyNumberFormat="1" applyFill="1" applyBorder="1"/>
    <xf numFmtId="0" fontId="0" fillId="16" borderId="1" xfId="0" applyFill="1" applyBorder="1" applyAlignment="1">
      <alignment horizontal="center" vertical="center" wrapText="1"/>
    </xf>
    <xf numFmtId="0" fontId="1" fillId="12" borderId="1" xfId="0" applyFont="1" applyFill="1" applyBorder="1"/>
    <xf numFmtId="0" fontId="5" fillId="12" borderId="1" xfId="1" applyFill="1" applyBorder="1" applyAlignment="1">
      <alignment horizontal="center" vertical="center"/>
    </xf>
    <xf numFmtId="0" fontId="0" fillId="12" borderId="1" xfId="0" applyFill="1" applyBorder="1" applyAlignment="1">
      <alignment horizontal="left" vertical="center" wrapText="1"/>
    </xf>
    <xf numFmtId="0" fontId="0" fillId="12" borderId="1" xfId="0" applyFill="1" applyBorder="1" applyAlignment="1">
      <alignment horizontal="center" vertical="center"/>
    </xf>
    <xf numFmtId="178" fontId="0" fillId="12" borderId="1" xfId="0" applyNumberFormat="1" applyFill="1" applyBorder="1"/>
    <xf numFmtId="10" fontId="0" fillId="12" borderId="1" xfId="0" applyNumberFormat="1" applyFill="1" applyBorder="1" applyAlignment="1">
      <alignment horizontal="center" vertical="center"/>
    </xf>
    <xf numFmtId="4" fontId="1" fillId="12" borderId="1" xfId="0" applyNumberFormat="1" applyFont="1" applyFill="1" applyBorder="1"/>
    <xf numFmtId="182" fontId="0" fillId="12" borderId="1" xfId="0" applyNumberFormat="1" applyFill="1" applyBorder="1"/>
    <xf numFmtId="10" fontId="0" fillId="12" borderId="1" xfId="0" applyNumberFormat="1" applyFill="1" applyBorder="1"/>
    <xf numFmtId="0" fontId="0" fillId="12" borderId="1" xfId="0" applyFill="1" applyBorder="1"/>
    <xf numFmtId="4" fontId="0" fillId="12" borderId="1" xfId="0" applyNumberFormat="1" applyFill="1" applyBorder="1" applyAlignment="1">
      <alignment horizontal="center" vertical="center"/>
    </xf>
    <xf numFmtId="0" fontId="0" fillId="12" borderId="0" xfId="0" applyFill="1"/>
    <xf numFmtId="178" fontId="0" fillId="12" borderId="0" xfId="0" applyNumberFormat="1" applyFill="1"/>
    <xf numFmtId="178" fontId="1" fillId="12" borderId="1" xfId="0" applyNumberFormat="1" applyFont="1" applyFill="1" applyBorder="1"/>
    <xf numFmtId="0" fontId="6" fillId="0" borderId="1" xfId="0" applyFont="1" applyBorder="1"/>
    <xf numFmtId="0" fontId="38" fillId="0" borderId="1" xfId="1" applyFont="1" applyFill="1" applyBorder="1" applyAlignment="1">
      <alignment horizontal="center" vertical="center"/>
    </xf>
    <xf numFmtId="0" fontId="6" fillId="0" borderId="1" xfId="0" applyFont="1" applyBorder="1" applyAlignment="1">
      <alignment horizontal="left" vertical="center" wrapText="1"/>
    </xf>
    <xf numFmtId="0" fontId="6" fillId="0" borderId="1" xfId="0" applyFont="1" applyBorder="1" applyAlignment="1">
      <alignment horizontal="center" vertical="center"/>
    </xf>
    <xf numFmtId="178" fontId="6" fillId="0" borderId="1" xfId="0" applyNumberFormat="1" applyFont="1" applyBorder="1"/>
    <xf numFmtId="10" fontId="6" fillId="0" borderId="1" xfId="0" applyNumberFormat="1" applyFont="1" applyBorder="1" applyAlignment="1">
      <alignment horizontal="center" vertical="center"/>
    </xf>
    <xf numFmtId="182" fontId="6" fillId="0" borderId="1" xfId="0" applyNumberFormat="1" applyFont="1" applyBorder="1"/>
    <xf numFmtId="10" fontId="6" fillId="0" borderId="1" xfId="0" applyNumberFormat="1" applyFont="1" applyBorder="1"/>
    <xf numFmtId="4" fontId="6" fillId="0" borderId="1" xfId="0" applyNumberFormat="1" applyFont="1" applyBorder="1" applyAlignment="1">
      <alignment horizontal="center" vertical="center"/>
    </xf>
    <xf numFmtId="178" fontId="6" fillId="0" borderId="0" xfId="0" applyNumberFormat="1" applyFont="1"/>
    <xf numFmtId="0" fontId="7" fillId="12" borderId="1" xfId="0" applyFont="1" applyFill="1" applyBorder="1"/>
    <xf numFmtId="4" fontId="7" fillId="12" borderId="1" xfId="0" applyNumberFormat="1" applyFont="1" applyFill="1" applyBorder="1"/>
    <xf numFmtId="0" fontId="39" fillId="12" borderId="1" xfId="0" applyFont="1" applyFill="1" applyBorder="1"/>
    <xf numFmtId="0" fontId="40" fillId="12" borderId="1" xfId="1" applyFont="1" applyFill="1" applyBorder="1" applyAlignment="1">
      <alignment horizontal="center" vertical="center"/>
    </xf>
    <xf numFmtId="0" fontId="39" fillId="12" borderId="1" xfId="0" applyFont="1" applyFill="1" applyBorder="1" applyAlignment="1">
      <alignment horizontal="left" vertical="center" wrapText="1"/>
    </xf>
    <xf numFmtId="0" fontId="39" fillId="12" borderId="1" xfId="0" applyFont="1" applyFill="1" applyBorder="1" applyAlignment="1">
      <alignment horizontal="center" vertical="center"/>
    </xf>
    <xf numFmtId="178" fontId="39" fillId="12" borderId="1" xfId="0" applyNumberFormat="1" applyFont="1" applyFill="1" applyBorder="1"/>
    <xf numFmtId="10" fontId="39" fillId="12" borderId="1" xfId="0" applyNumberFormat="1" applyFont="1" applyFill="1" applyBorder="1" applyAlignment="1">
      <alignment horizontal="center" vertical="center"/>
    </xf>
    <xf numFmtId="4" fontId="39" fillId="12" borderId="1" xfId="0" applyNumberFormat="1" applyFont="1" applyFill="1" applyBorder="1"/>
    <xf numFmtId="182" fontId="39" fillId="12" borderId="1" xfId="0" applyNumberFormat="1" applyFont="1" applyFill="1" applyBorder="1"/>
    <xf numFmtId="10" fontId="39" fillId="12" borderId="1" xfId="0" applyNumberFormat="1" applyFont="1" applyFill="1" applyBorder="1"/>
    <xf numFmtId="4" fontId="39" fillId="12" borderId="1" xfId="0" applyNumberFormat="1" applyFont="1" applyFill="1" applyBorder="1" applyAlignment="1">
      <alignment horizontal="center" vertical="center"/>
    </xf>
    <xf numFmtId="0" fontId="39" fillId="12" borderId="0" xfId="0" applyFont="1" applyFill="1"/>
    <xf numFmtId="178" fontId="39" fillId="12" borderId="0" xfId="0" applyNumberFormat="1" applyFont="1" applyFill="1"/>
    <xf numFmtId="0" fontId="41" fillId="12" borderId="1" xfId="1" applyFont="1" applyFill="1" applyBorder="1" applyAlignment="1">
      <alignment horizontal="center" vertical="center"/>
    </xf>
    <xf numFmtId="0" fontId="7" fillId="12" borderId="1" xfId="0" applyFont="1" applyFill="1" applyBorder="1" applyAlignment="1">
      <alignment horizontal="left" vertical="center" wrapText="1"/>
    </xf>
    <xf numFmtId="0" fontId="7" fillId="12" borderId="1" xfId="0" applyFont="1" applyFill="1" applyBorder="1" applyAlignment="1">
      <alignment horizontal="center" vertical="center"/>
    </xf>
    <xf numFmtId="178" fontId="7" fillId="12" borderId="1" xfId="0" applyNumberFormat="1" applyFont="1" applyFill="1" applyBorder="1"/>
    <xf numFmtId="10" fontId="7" fillId="12" borderId="1" xfId="0" applyNumberFormat="1" applyFont="1" applyFill="1" applyBorder="1" applyAlignment="1">
      <alignment horizontal="center" vertical="center"/>
    </xf>
    <xf numFmtId="182" fontId="7" fillId="12" borderId="1" xfId="0" applyNumberFormat="1" applyFont="1" applyFill="1" applyBorder="1"/>
    <xf numFmtId="10" fontId="7" fillId="12" borderId="1" xfId="0" applyNumberFormat="1" applyFont="1" applyFill="1" applyBorder="1"/>
    <xf numFmtId="4" fontId="7" fillId="12" borderId="1" xfId="0" applyNumberFormat="1" applyFont="1" applyFill="1" applyBorder="1" applyAlignment="1">
      <alignment horizontal="center" vertical="center"/>
    </xf>
    <xf numFmtId="0" fontId="7" fillId="12" borderId="0" xfId="0" applyFont="1" applyFill="1"/>
    <xf numFmtId="178" fontId="7" fillId="12" borderId="0" xfId="0" applyNumberFormat="1" applyFont="1" applyFill="1"/>
    <xf numFmtId="0" fontId="7" fillId="29" borderId="1" xfId="0" applyFont="1" applyFill="1" applyBorder="1"/>
    <xf numFmtId="0" fontId="40" fillId="29" borderId="1" xfId="1" applyFont="1" applyFill="1" applyBorder="1" applyAlignment="1">
      <alignment horizontal="center" vertical="center"/>
    </xf>
    <xf numFmtId="0" fontId="39" fillId="29" borderId="1" xfId="0" applyFont="1" applyFill="1" applyBorder="1" applyAlignment="1">
      <alignment horizontal="center" vertical="center" wrapText="1"/>
    </xf>
    <xf numFmtId="0" fontId="39" fillId="29" borderId="1" xfId="0" applyFont="1" applyFill="1" applyBorder="1" applyAlignment="1">
      <alignment horizontal="center" vertical="center"/>
    </xf>
    <xf numFmtId="178" fontId="39" fillId="29" borderId="1" xfId="0" applyNumberFormat="1" applyFont="1" applyFill="1" applyBorder="1"/>
    <xf numFmtId="10" fontId="39" fillId="29" borderId="1" xfId="0" applyNumberFormat="1" applyFont="1" applyFill="1" applyBorder="1" applyAlignment="1">
      <alignment horizontal="center" vertical="center"/>
    </xf>
    <xf numFmtId="4" fontId="7" fillId="29" borderId="1" xfId="0" applyNumberFormat="1" applyFont="1" applyFill="1" applyBorder="1"/>
    <xf numFmtId="182" fontId="39" fillId="29" borderId="1" xfId="0" applyNumberFormat="1" applyFont="1" applyFill="1" applyBorder="1"/>
    <xf numFmtId="10" fontId="39" fillId="29" borderId="1" xfId="0" applyNumberFormat="1" applyFont="1" applyFill="1" applyBorder="1"/>
    <xf numFmtId="0" fontId="39" fillId="29" borderId="1" xfId="0" applyFont="1" applyFill="1" applyBorder="1"/>
    <xf numFmtId="4" fontId="39" fillId="29" borderId="1" xfId="0" applyNumberFormat="1" applyFont="1" applyFill="1" applyBorder="1" applyAlignment="1">
      <alignment horizontal="center" vertical="center"/>
    </xf>
    <xf numFmtId="0" fontId="39" fillId="29" borderId="0" xfId="0" applyFont="1" applyFill="1"/>
    <xf numFmtId="178" fontId="39" fillId="29" borderId="0" xfId="0" applyNumberFormat="1" applyFont="1" applyFill="1"/>
    <xf numFmtId="0" fontId="7" fillId="16" borderId="1" xfId="0" applyFont="1" applyFill="1" applyBorder="1"/>
    <xf numFmtId="0" fontId="40" fillId="16" borderId="1" xfId="1" applyFont="1" applyFill="1" applyBorder="1" applyAlignment="1">
      <alignment horizontal="center" vertical="center"/>
    </xf>
    <xf numFmtId="0" fontId="39" fillId="16" borderId="1" xfId="0" applyFont="1" applyFill="1" applyBorder="1" applyAlignment="1">
      <alignment horizontal="left" vertical="center" wrapText="1"/>
    </xf>
    <xf numFmtId="0" fontId="39" fillId="16" borderId="1" xfId="0" applyFont="1" applyFill="1" applyBorder="1" applyAlignment="1">
      <alignment horizontal="center" vertical="center"/>
    </xf>
    <xf numFmtId="178" fontId="39" fillId="16" borderId="1" xfId="0" applyNumberFormat="1" applyFont="1" applyFill="1" applyBorder="1"/>
    <xf numFmtId="10" fontId="39" fillId="16" borderId="1" xfId="0" applyNumberFormat="1" applyFont="1" applyFill="1" applyBorder="1" applyAlignment="1">
      <alignment horizontal="center" vertical="center"/>
    </xf>
    <xf numFmtId="4" fontId="7" fillId="16" borderId="1" xfId="0" applyNumberFormat="1" applyFont="1" applyFill="1" applyBorder="1"/>
    <xf numFmtId="182" fontId="39" fillId="16" borderId="1" xfId="0" applyNumberFormat="1" applyFont="1" applyFill="1" applyBorder="1"/>
    <xf numFmtId="10" fontId="39" fillId="16" borderId="1" xfId="0" applyNumberFormat="1" applyFont="1" applyFill="1" applyBorder="1"/>
    <xf numFmtId="0" fontId="39" fillId="16" borderId="1" xfId="0" applyFont="1" applyFill="1" applyBorder="1"/>
    <xf numFmtId="4" fontId="39" fillId="16" borderId="1" xfId="0" applyNumberFormat="1" applyFont="1" applyFill="1" applyBorder="1" applyAlignment="1">
      <alignment horizontal="center" vertical="center"/>
    </xf>
    <xf numFmtId="0" fontId="39" fillId="16" borderId="0" xfId="0" applyFont="1" applyFill="1"/>
    <xf numFmtId="178" fontId="39" fillId="16" borderId="0" xfId="0" applyNumberFormat="1" applyFont="1" applyFill="1"/>
    <xf numFmtId="192" fontId="2" fillId="0" borderId="0" xfId="0" applyNumberFormat="1" applyFont="1"/>
    <xf numFmtId="178" fontId="0" fillId="32" borderId="18" xfId="0" applyNumberFormat="1" applyFill="1" applyBorder="1"/>
    <xf numFmtId="178" fontId="0" fillId="32" borderId="0" xfId="0" applyNumberFormat="1" applyFill="1"/>
    <xf numFmtId="178" fontId="0" fillId="32" borderId="23" xfId="0" applyNumberFormat="1" applyFill="1" applyBorder="1"/>
    <xf numFmtId="10" fontId="0" fillId="0" borderId="60" xfId="0" applyNumberFormat="1" applyBorder="1"/>
    <xf numFmtId="14" fontId="4" fillId="0" borderId="14" xfId="0" applyNumberFormat="1" applyFont="1" applyBorder="1" applyAlignment="1">
      <alignment horizontal="center"/>
    </xf>
    <xf numFmtId="14" fontId="4" fillId="0" borderId="0" xfId="0" applyNumberFormat="1" applyFont="1" applyAlignment="1">
      <alignment horizontal="center"/>
    </xf>
    <xf numFmtId="0" fontId="4" fillId="0" borderId="14" xfId="0" applyFont="1" applyBorder="1" applyAlignment="1">
      <alignment horizontal="center" wrapText="1"/>
    </xf>
    <xf numFmtId="0" fontId="4" fillId="0" borderId="0" xfId="0" applyFont="1" applyAlignment="1">
      <alignment horizontal="center" wrapText="1"/>
    </xf>
    <xf numFmtId="178" fontId="4" fillId="0" borderId="14" xfId="0" applyNumberFormat="1" applyFont="1" applyBorder="1" applyAlignment="1">
      <alignment horizontal="center"/>
    </xf>
    <xf numFmtId="178" fontId="4" fillId="0" borderId="0" xfId="0" applyNumberFormat="1" applyFont="1" applyAlignment="1">
      <alignment horizontal="center"/>
    </xf>
    <xf numFmtId="178" fontId="4" fillId="0" borderId="1" xfId="0" applyNumberFormat="1" applyFont="1" applyBorder="1" applyAlignment="1">
      <alignment horizontal="center"/>
    </xf>
    <xf numFmtId="0" fontId="4" fillId="0" borderId="1" xfId="0" applyFont="1" applyBorder="1" applyAlignment="1">
      <alignment horizontal="center"/>
    </xf>
    <xf numFmtId="10" fontId="4" fillId="0" borderId="1" xfId="0" applyNumberFormat="1" applyFont="1" applyBorder="1" applyAlignment="1">
      <alignment horizontal="center"/>
    </xf>
    <xf numFmtId="0" fontId="1" fillId="21" borderId="2" xfId="0" applyFont="1" applyFill="1" applyBorder="1" applyAlignment="1">
      <alignment horizontal="center"/>
    </xf>
    <xf numFmtId="0" fontId="1" fillId="21" borderId="3" xfId="0" applyFont="1" applyFill="1" applyBorder="1" applyAlignment="1">
      <alignment horizontal="center"/>
    </xf>
    <xf numFmtId="0" fontId="1" fillId="21" borderId="4" xfId="0" applyFont="1" applyFill="1" applyBorder="1" applyAlignment="1">
      <alignment horizontal="center"/>
    </xf>
    <xf numFmtId="0" fontId="0" fillId="9" borderId="5" xfId="0" applyFill="1" applyBorder="1" applyAlignment="1">
      <alignment horizontal="center"/>
    </xf>
    <xf numFmtId="0" fontId="0" fillId="9" borderId="6" xfId="0" applyFill="1" applyBorder="1" applyAlignment="1">
      <alignment horizontal="center"/>
    </xf>
    <xf numFmtId="0" fontId="0" fillId="9" borderId="38" xfId="0" applyFill="1" applyBorder="1" applyAlignment="1">
      <alignment horizontal="center"/>
    </xf>
    <xf numFmtId="0" fontId="0" fillId="9" borderId="2" xfId="0" applyFill="1" applyBorder="1" applyAlignment="1">
      <alignment horizontal="center"/>
    </xf>
    <xf numFmtId="0" fontId="0" fillId="9" borderId="4" xfId="0" applyFill="1" applyBorder="1" applyAlignment="1">
      <alignment horizontal="center"/>
    </xf>
    <xf numFmtId="0" fontId="0" fillId="9" borderId="8" xfId="0" applyFill="1" applyBorder="1" applyAlignment="1">
      <alignment horizontal="center"/>
    </xf>
    <xf numFmtId="0" fontId="0" fillId="9" borderId="11" xfId="0" applyFill="1" applyBorder="1" applyAlignment="1">
      <alignment horizontal="center"/>
    </xf>
    <xf numFmtId="0" fontId="0" fillId="9" borderId="1" xfId="0" applyFill="1" applyBorder="1" applyAlignment="1">
      <alignment horizontal="center"/>
    </xf>
    <xf numFmtId="0" fontId="1" fillId="19" borderId="8" xfId="0" applyFont="1" applyFill="1" applyBorder="1" applyAlignment="1">
      <alignment horizontal="center"/>
    </xf>
    <xf numFmtId="0" fontId="1" fillId="19" borderId="1" xfId="0" applyFont="1" applyFill="1" applyBorder="1" applyAlignment="1">
      <alignment horizontal="center"/>
    </xf>
    <xf numFmtId="0" fontId="1" fillId="19" borderId="13" xfId="0" applyFont="1" applyFill="1" applyBorder="1" applyAlignment="1">
      <alignment horizontal="center"/>
    </xf>
    <xf numFmtId="191" fontId="0" fillId="9" borderId="10" xfId="0" applyNumberFormat="1" applyFill="1" applyBorder="1" applyAlignment="1">
      <alignment horizontal="center"/>
    </xf>
    <xf numFmtId="191" fontId="0" fillId="9" borderId="12" xfId="0" applyNumberFormat="1" applyFill="1" applyBorder="1" applyAlignment="1">
      <alignment horizontal="center"/>
    </xf>
    <xf numFmtId="14" fontId="0" fillId="9" borderId="1" xfId="0" applyNumberFormat="1" applyFill="1" applyBorder="1" applyAlignment="1">
      <alignment horizontal="center"/>
    </xf>
    <xf numFmtId="0" fontId="4" fillId="18" borderId="25" xfId="0" applyFont="1" applyFill="1" applyBorder="1" applyAlignment="1">
      <alignment horizontal="center" vertical="center"/>
    </xf>
    <xf numFmtId="0" fontId="4" fillId="18" borderId="26" xfId="0" applyFont="1" applyFill="1" applyBorder="1" applyAlignment="1">
      <alignment horizontal="center" vertical="center"/>
    </xf>
    <xf numFmtId="0" fontId="4" fillId="18" borderId="27" xfId="0" applyFont="1" applyFill="1" applyBorder="1" applyAlignment="1">
      <alignment horizontal="center" vertical="center"/>
    </xf>
    <xf numFmtId="0" fontId="0" fillId="0" borderId="0" xfId="0" applyAlignment="1">
      <alignment horizontal="center" wrapText="1"/>
    </xf>
    <xf numFmtId="0" fontId="1" fillId="0" borderId="1" xfId="0" applyFont="1" applyBorder="1" applyAlignment="1">
      <alignment horizontal="center"/>
    </xf>
    <xf numFmtId="0" fontId="0" fillId="0" borderId="0" xfId="0" applyAlignment="1">
      <alignment horizontal="center" vertical="center" wrapText="1"/>
    </xf>
    <xf numFmtId="14" fontId="4" fillId="18" borderId="25" xfId="0" applyNumberFormat="1" applyFont="1" applyFill="1" applyBorder="1" applyAlignment="1">
      <alignment horizontal="center" vertical="center"/>
    </xf>
    <xf numFmtId="14" fontId="4" fillId="18" borderId="26" xfId="0" applyNumberFormat="1" applyFont="1" applyFill="1" applyBorder="1" applyAlignment="1">
      <alignment horizontal="center" vertical="center"/>
    </xf>
    <xf numFmtId="14" fontId="4" fillId="18" borderId="27" xfId="0" applyNumberFormat="1" applyFont="1" applyFill="1" applyBorder="1" applyAlignment="1">
      <alignment horizontal="center" vertical="center"/>
    </xf>
    <xf numFmtId="181" fontId="4" fillId="18" borderId="25" xfId="0" applyNumberFormat="1" applyFont="1" applyFill="1" applyBorder="1" applyAlignment="1">
      <alignment horizontal="center" vertical="center"/>
    </xf>
    <xf numFmtId="181" fontId="4" fillId="18" borderId="26" xfId="0" applyNumberFormat="1" applyFont="1" applyFill="1" applyBorder="1" applyAlignment="1">
      <alignment horizontal="center" vertical="center"/>
    </xf>
    <xf numFmtId="181" fontId="4" fillId="18" borderId="27" xfId="0" applyNumberFormat="1" applyFont="1" applyFill="1" applyBorder="1" applyAlignment="1">
      <alignment horizontal="center" vertical="center"/>
    </xf>
    <xf numFmtId="14" fontId="4" fillId="21" borderId="25" xfId="0" applyNumberFormat="1" applyFont="1" applyFill="1" applyBorder="1" applyAlignment="1">
      <alignment horizontal="center" vertical="center"/>
    </xf>
    <xf numFmtId="14" fontId="4" fillId="21" borderId="26" xfId="0" applyNumberFormat="1" applyFont="1" applyFill="1" applyBorder="1" applyAlignment="1">
      <alignment horizontal="center" vertical="center"/>
    </xf>
    <xf numFmtId="14" fontId="4" fillId="21" borderId="27" xfId="0" applyNumberFormat="1" applyFont="1" applyFill="1" applyBorder="1" applyAlignment="1">
      <alignment horizontal="center" vertical="center"/>
    </xf>
    <xf numFmtId="0" fontId="4" fillId="21" borderId="25" xfId="0" applyFont="1" applyFill="1" applyBorder="1" applyAlignment="1">
      <alignment horizontal="center" vertical="center"/>
    </xf>
    <xf numFmtId="0" fontId="4" fillId="21" borderId="26" xfId="0" applyFont="1" applyFill="1" applyBorder="1" applyAlignment="1">
      <alignment horizontal="center" vertical="center"/>
    </xf>
    <xf numFmtId="0" fontId="4" fillId="21" borderId="27" xfId="0" applyFont="1" applyFill="1" applyBorder="1" applyAlignment="1">
      <alignment horizontal="center" vertical="center"/>
    </xf>
    <xf numFmtId="0" fontId="9" fillId="20" borderId="25" xfId="0" applyFont="1" applyFill="1" applyBorder="1" applyAlignment="1">
      <alignment horizontal="center" vertical="center"/>
    </xf>
    <xf numFmtId="0" fontId="9" fillId="20" borderId="26" xfId="0" applyFont="1" applyFill="1" applyBorder="1" applyAlignment="1">
      <alignment horizontal="center" vertical="center"/>
    </xf>
    <xf numFmtId="0" fontId="9" fillId="20" borderId="27" xfId="0" applyFont="1" applyFill="1" applyBorder="1" applyAlignment="1">
      <alignment horizontal="center" vertical="center"/>
    </xf>
    <xf numFmtId="0" fontId="12" fillId="7" borderId="17" xfId="0" applyFont="1" applyFill="1" applyBorder="1" applyAlignment="1">
      <alignment horizontal="center"/>
    </xf>
    <xf numFmtId="0" fontId="12" fillId="7" borderId="19" xfId="0" applyFont="1" applyFill="1" applyBorder="1" applyAlignment="1">
      <alignment horizontal="center"/>
    </xf>
    <xf numFmtId="178" fontId="4" fillId="0" borderId="23" xfId="0" applyNumberFormat="1" applyFont="1" applyBorder="1" applyAlignment="1">
      <alignment horizontal="center"/>
    </xf>
    <xf numFmtId="178" fontId="4" fillId="0" borderId="24" xfId="0" applyNumberFormat="1" applyFont="1" applyBorder="1" applyAlignment="1">
      <alignment horizontal="center"/>
    </xf>
    <xf numFmtId="0" fontId="0" fillId="8" borderId="32" xfId="0" applyFill="1" applyBorder="1" applyAlignment="1">
      <alignment horizontal="center"/>
    </xf>
    <xf numFmtId="0" fontId="0" fillId="8" borderId="33" xfId="0" applyFill="1" applyBorder="1" applyAlignment="1">
      <alignment horizontal="center"/>
    </xf>
    <xf numFmtId="0" fontId="1" fillId="7" borderId="8" xfId="0" applyFont="1" applyFill="1" applyBorder="1" applyAlignment="1">
      <alignment horizontal="center"/>
    </xf>
    <xf numFmtId="0" fontId="1" fillId="7" borderId="1" xfId="0" applyFont="1" applyFill="1" applyBorder="1" applyAlignment="1">
      <alignment horizontal="center"/>
    </xf>
    <xf numFmtId="0" fontId="1" fillId="7" borderId="11" xfId="0" applyFont="1" applyFill="1" applyBorder="1" applyAlignment="1">
      <alignment horizontal="center"/>
    </xf>
    <xf numFmtId="0" fontId="0" fillId="0" borderId="1" xfId="0" applyBorder="1" applyAlignment="1">
      <alignment horizontal="center"/>
    </xf>
    <xf numFmtId="0" fontId="1" fillId="0" borderId="8" xfId="0" applyFont="1" applyBorder="1" applyAlignment="1">
      <alignment horizontal="left" vertical="center" wrapText="1"/>
    </xf>
    <xf numFmtId="0" fontId="1" fillId="0" borderId="1" xfId="0" applyFont="1" applyBorder="1" applyAlignment="1">
      <alignment horizontal="left" vertical="center" wrapText="1"/>
    </xf>
    <xf numFmtId="0" fontId="0" fillId="0" borderId="7" xfId="0" applyBorder="1" applyAlignment="1">
      <alignment horizontal="center"/>
    </xf>
    <xf numFmtId="0" fontId="0" fillId="0" borderId="31" xfId="0" applyBorder="1" applyAlignment="1">
      <alignment horizontal="center"/>
    </xf>
    <xf numFmtId="0" fontId="0" fillId="0" borderId="42" xfId="0" applyBorder="1" applyAlignment="1">
      <alignment horizontal="center"/>
    </xf>
    <xf numFmtId="0" fontId="0" fillId="0" borderId="30" xfId="0" applyBorder="1" applyAlignment="1">
      <alignment horizontal="center"/>
    </xf>
    <xf numFmtId="10" fontId="0" fillId="30" borderId="30" xfId="0" applyNumberFormat="1" applyFill="1" applyBorder="1" applyAlignment="1">
      <alignment horizontal="center"/>
    </xf>
    <xf numFmtId="0" fontId="0" fillId="8" borderId="9" xfId="0" applyFill="1" applyBorder="1" applyAlignment="1">
      <alignment horizontal="center"/>
    </xf>
    <xf numFmtId="0" fontId="0" fillId="8" borderId="10" xfId="0" applyFill="1" applyBorder="1" applyAlignment="1">
      <alignment horizontal="center"/>
    </xf>
    <xf numFmtId="181" fontId="12" fillId="21" borderId="25" xfId="0" applyNumberFormat="1" applyFont="1" applyFill="1" applyBorder="1" applyAlignment="1">
      <alignment horizontal="center" vertical="center"/>
    </xf>
    <xf numFmtId="181" fontId="12" fillId="21" borderId="26" xfId="0" applyNumberFormat="1" applyFont="1" applyFill="1" applyBorder="1" applyAlignment="1">
      <alignment horizontal="center" vertical="center"/>
    </xf>
    <xf numFmtId="181" fontId="12" fillId="21" borderId="27" xfId="0" applyNumberFormat="1" applyFont="1" applyFill="1" applyBorder="1" applyAlignment="1">
      <alignment horizontal="center" vertical="center"/>
    </xf>
    <xf numFmtId="0" fontId="12" fillId="22" borderId="17" xfId="0" applyFont="1" applyFill="1" applyBorder="1" applyAlignment="1">
      <alignment horizontal="center" vertical="center"/>
    </xf>
    <xf numFmtId="0" fontId="8" fillId="22" borderId="18" xfId="0" applyFont="1" applyFill="1" applyBorder="1" applyAlignment="1">
      <alignment horizontal="center" vertical="center"/>
    </xf>
    <xf numFmtId="0" fontId="8" fillId="22" borderId="19" xfId="0" applyFont="1" applyFill="1" applyBorder="1" applyAlignment="1">
      <alignment horizontal="center" vertical="center"/>
    </xf>
    <xf numFmtId="0" fontId="8" fillId="22" borderId="28" xfId="0" applyFont="1" applyFill="1" applyBorder="1" applyAlignment="1">
      <alignment horizontal="center" vertical="center"/>
    </xf>
    <xf numFmtId="0" fontId="8" fillId="22" borderId="23" xfId="0" applyFont="1" applyFill="1" applyBorder="1" applyAlignment="1">
      <alignment horizontal="center" vertical="center"/>
    </xf>
    <xf numFmtId="0" fontId="8" fillId="22" borderId="24" xfId="0" applyFont="1" applyFill="1" applyBorder="1" applyAlignment="1">
      <alignment horizontal="center" vertical="center"/>
    </xf>
    <xf numFmtId="0" fontId="1" fillId="7" borderId="25" xfId="0" applyFont="1" applyFill="1" applyBorder="1" applyAlignment="1">
      <alignment horizontal="center"/>
    </xf>
    <xf numFmtId="0" fontId="1" fillId="7" borderId="26" xfId="0" applyFont="1" applyFill="1" applyBorder="1" applyAlignment="1">
      <alignment horizontal="center"/>
    </xf>
    <xf numFmtId="0" fontId="1" fillId="7" borderId="27" xfId="0" applyFont="1" applyFill="1" applyBorder="1" applyAlignment="1">
      <alignment horizontal="center"/>
    </xf>
    <xf numFmtId="10" fontId="0" fillId="0" borderId="30" xfId="0" applyNumberFormat="1" applyBorder="1" applyAlignment="1">
      <alignment horizontal="center"/>
    </xf>
    <xf numFmtId="0" fontId="1" fillId="7" borderId="32" xfId="0" applyFont="1" applyFill="1" applyBorder="1" applyAlignment="1">
      <alignment horizontal="center"/>
    </xf>
    <xf numFmtId="0" fontId="1" fillId="7" borderId="43" xfId="0" applyFont="1" applyFill="1" applyBorder="1" applyAlignment="1">
      <alignment horizontal="center"/>
    </xf>
    <xf numFmtId="0" fontId="1" fillId="7" borderId="33" xfId="0" applyFont="1" applyFill="1" applyBorder="1" applyAlignment="1">
      <alignment horizontal="center"/>
    </xf>
    <xf numFmtId="0" fontId="1" fillId="0" borderId="25" xfId="0" applyFont="1" applyBorder="1" applyAlignment="1">
      <alignment horizontal="center"/>
    </xf>
    <xf numFmtId="0" fontId="1" fillId="0" borderId="26" xfId="0" applyFont="1" applyBorder="1" applyAlignment="1">
      <alignment horizontal="center"/>
    </xf>
    <xf numFmtId="0" fontId="1" fillId="0" borderId="27" xfId="0" applyFont="1" applyBorder="1" applyAlignment="1">
      <alignment horizontal="center"/>
    </xf>
    <xf numFmtId="0" fontId="1" fillId="0" borderId="7" xfId="0" applyFont="1" applyBorder="1" applyAlignment="1">
      <alignment horizontal="center"/>
    </xf>
    <xf numFmtId="0" fontId="1" fillId="0" borderId="53" xfId="0" applyFont="1" applyBorder="1" applyAlignment="1">
      <alignment horizontal="center"/>
    </xf>
    <xf numFmtId="0" fontId="1" fillId="0" borderId="54"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1" fillId="0" borderId="4" xfId="0" applyFont="1" applyBorder="1" applyAlignment="1">
      <alignment horizontal="center"/>
    </xf>
    <xf numFmtId="0" fontId="0" fillId="0" borderId="8" xfId="0" applyBorder="1" applyAlignment="1">
      <alignment horizontal="center"/>
    </xf>
    <xf numFmtId="0" fontId="28" fillId="21" borderId="25" xfId="0" applyFont="1" applyFill="1" applyBorder="1" applyAlignment="1">
      <alignment horizontal="center" vertical="center"/>
    </xf>
    <xf numFmtId="0" fontId="28" fillId="21" borderId="26" xfId="0" applyFont="1" applyFill="1" applyBorder="1" applyAlignment="1">
      <alignment horizontal="center" vertical="center"/>
    </xf>
    <xf numFmtId="0" fontId="28" fillId="21" borderId="27" xfId="0" applyFont="1" applyFill="1" applyBorder="1" applyAlignment="1">
      <alignment horizontal="center" vertical="center"/>
    </xf>
    <xf numFmtId="14" fontId="28" fillId="21" borderId="25" xfId="0" applyNumberFormat="1" applyFont="1" applyFill="1" applyBorder="1" applyAlignment="1">
      <alignment horizontal="center" vertical="center"/>
    </xf>
    <xf numFmtId="14" fontId="28" fillId="21" borderId="26" xfId="0" applyNumberFormat="1" applyFont="1" applyFill="1" applyBorder="1" applyAlignment="1">
      <alignment horizontal="center" vertical="center"/>
    </xf>
    <xf numFmtId="14" fontId="28" fillId="21" borderId="27" xfId="0" applyNumberFormat="1" applyFont="1" applyFill="1" applyBorder="1" applyAlignment="1">
      <alignment horizontal="center" vertical="center"/>
    </xf>
    <xf numFmtId="0" fontId="9" fillId="23" borderId="25" xfId="0" applyFont="1" applyFill="1" applyBorder="1" applyAlignment="1">
      <alignment horizontal="center" vertical="center"/>
    </xf>
    <xf numFmtId="0" fontId="9" fillId="23" borderId="26" xfId="0" applyFont="1" applyFill="1" applyBorder="1" applyAlignment="1">
      <alignment horizontal="center" vertical="center"/>
    </xf>
    <xf numFmtId="0" fontId="9" fillId="23" borderId="27" xfId="0" applyFont="1" applyFill="1" applyBorder="1" applyAlignment="1">
      <alignment horizontal="center" vertical="center"/>
    </xf>
    <xf numFmtId="0" fontId="1" fillId="0" borderId="1" xfId="0" applyFont="1" applyBorder="1" applyAlignment="1">
      <alignment horizontal="center" vertical="center" wrapText="1"/>
    </xf>
    <xf numFmtId="0" fontId="25" fillId="18" borderId="25" xfId="0" applyFont="1" applyFill="1" applyBorder="1" applyAlignment="1">
      <alignment horizontal="center" vertical="center"/>
    </xf>
    <xf numFmtId="0" fontId="25" fillId="18" borderId="26" xfId="0" applyFont="1" applyFill="1" applyBorder="1" applyAlignment="1">
      <alignment horizontal="center" vertical="center"/>
    </xf>
    <xf numFmtId="0" fontId="25" fillId="18" borderId="27" xfId="0" applyFont="1" applyFill="1" applyBorder="1" applyAlignment="1">
      <alignment horizontal="center" vertical="center"/>
    </xf>
    <xf numFmtId="14" fontId="25" fillId="18" borderId="25" xfId="0" applyNumberFormat="1" applyFont="1" applyFill="1" applyBorder="1" applyAlignment="1">
      <alignment horizontal="center" vertical="center"/>
    </xf>
    <xf numFmtId="14" fontId="25" fillId="18" borderId="26" xfId="0" applyNumberFormat="1" applyFont="1" applyFill="1" applyBorder="1" applyAlignment="1">
      <alignment horizontal="center" vertical="center"/>
    </xf>
    <xf numFmtId="14" fontId="25" fillId="18" borderId="27" xfId="0" applyNumberFormat="1" applyFont="1" applyFill="1" applyBorder="1" applyAlignment="1">
      <alignment horizontal="center" vertical="center"/>
    </xf>
    <xf numFmtId="0" fontId="9" fillId="17" borderId="25" xfId="0" applyFont="1" applyFill="1" applyBorder="1" applyAlignment="1">
      <alignment horizontal="center" vertical="center"/>
    </xf>
    <xf numFmtId="0" fontId="9" fillId="17" borderId="26" xfId="0" applyFont="1" applyFill="1" applyBorder="1" applyAlignment="1">
      <alignment horizontal="center" vertical="center"/>
    </xf>
    <xf numFmtId="0" fontId="9" fillId="17" borderId="27" xfId="0" applyFont="1" applyFill="1" applyBorder="1" applyAlignment="1">
      <alignment horizontal="center" vertical="center"/>
    </xf>
    <xf numFmtId="0" fontId="4" fillId="4" borderId="25" xfId="0" applyFont="1" applyFill="1" applyBorder="1" applyAlignment="1">
      <alignment horizontal="center"/>
    </xf>
    <xf numFmtId="0" fontId="4" fillId="4" borderId="26" xfId="0" applyFont="1" applyFill="1" applyBorder="1" applyAlignment="1">
      <alignment horizontal="center"/>
    </xf>
    <xf numFmtId="0" fontId="4" fillId="4" borderId="27" xfId="0" applyFont="1" applyFill="1" applyBorder="1" applyAlignment="1">
      <alignment horizontal="center"/>
    </xf>
    <xf numFmtId="181" fontId="25" fillId="18" borderId="25" xfId="0" applyNumberFormat="1" applyFont="1" applyFill="1" applyBorder="1" applyAlignment="1">
      <alignment horizontal="center" vertical="center"/>
    </xf>
    <xf numFmtId="181" fontId="25" fillId="18" borderId="26" xfId="0" applyNumberFormat="1" applyFont="1" applyFill="1" applyBorder="1" applyAlignment="1">
      <alignment horizontal="center" vertical="center"/>
    </xf>
    <xf numFmtId="181" fontId="25" fillId="18" borderId="27" xfId="0" applyNumberFormat="1" applyFont="1" applyFill="1" applyBorder="1" applyAlignment="1">
      <alignment horizontal="center" vertical="center"/>
    </xf>
    <xf numFmtId="0" fontId="12" fillId="24" borderId="25" xfId="0" applyFont="1" applyFill="1" applyBorder="1" applyAlignment="1">
      <alignment horizontal="center" vertical="center"/>
    </xf>
    <xf numFmtId="0" fontId="12" fillId="24" borderId="26" xfId="0" applyFont="1" applyFill="1" applyBorder="1" applyAlignment="1">
      <alignment horizontal="center" vertical="center"/>
    </xf>
    <xf numFmtId="0" fontId="12" fillId="24" borderId="27" xfId="0" applyFont="1" applyFill="1" applyBorder="1" applyAlignment="1">
      <alignment horizontal="center" vertical="center"/>
    </xf>
    <xf numFmtId="181" fontId="28" fillId="13" borderId="17" xfId="0" applyNumberFormat="1" applyFont="1" applyFill="1" applyBorder="1" applyAlignment="1">
      <alignment horizontal="center" vertical="center"/>
    </xf>
    <xf numFmtId="181" fontId="28" fillId="13" borderId="18" xfId="0" applyNumberFormat="1" applyFont="1" applyFill="1" applyBorder="1" applyAlignment="1">
      <alignment horizontal="center" vertical="center"/>
    </xf>
    <xf numFmtId="181" fontId="28" fillId="13" borderId="19" xfId="0" applyNumberFormat="1" applyFont="1" applyFill="1" applyBorder="1" applyAlignment="1">
      <alignment horizontal="center" vertical="center"/>
    </xf>
    <xf numFmtId="181" fontId="28" fillId="13" borderId="20" xfId="0" applyNumberFormat="1" applyFont="1" applyFill="1" applyBorder="1" applyAlignment="1">
      <alignment horizontal="center" vertical="center"/>
    </xf>
    <xf numFmtId="181" fontId="28" fillId="13" borderId="0" xfId="0" applyNumberFormat="1" applyFont="1" applyFill="1" applyAlignment="1">
      <alignment horizontal="center" vertical="center"/>
    </xf>
    <xf numFmtId="181" fontId="28" fillId="13" borderId="21" xfId="0" applyNumberFormat="1" applyFont="1" applyFill="1" applyBorder="1" applyAlignment="1">
      <alignment horizontal="center" vertical="center"/>
    </xf>
    <xf numFmtId="181" fontId="28" fillId="13" borderId="28" xfId="0" applyNumberFormat="1" applyFont="1" applyFill="1" applyBorder="1" applyAlignment="1">
      <alignment horizontal="center" vertical="center"/>
    </xf>
    <xf numFmtId="181" fontId="28" fillId="13" borderId="23" xfId="0" applyNumberFormat="1" applyFont="1" applyFill="1" applyBorder="1" applyAlignment="1">
      <alignment horizontal="center" vertical="center"/>
    </xf>
    <xf numFmtId="181" fontId="28" fillId="13" borderId="24" xfId="0" applyNumberFormat="1" applyFont="1" applyFill="1" applyBorder="1" applyAlignment="1">
      <alignment horizontal="center" vertical="center"/>
    </xf>
    <xf numFmtId="0" fontId="4" fillId="0" borderId="25" xfId="0" applyFont="1" applyBorder="1" applyAlignment="1">
      <alignment horizontal="center"/>
    </xf>
    <xf numFmtId="0" fontId="4" fillId="0" borderId="26" xfId="0" applyFont="1" applyBorder="1" applyAlignment="1">
      <alignment horizontal="center"/>
    </xf>
    <xf numFmtId="0" fontId="4" fillId="0" borderId="27" xfId="0" applyFont="1" applyBorder="1" applyAlignment="1">
      <alignment horizontal="center"/>
    </xf>
    <xf numFmtId="0" fontId="1" fillId="3" borderId="22" xfId="0" applyFont="1" applyFill="1" applyBorder="1" applyAlignment="1">
      <alignment horizontal="center"/>
    </xf>
    <xf numFmtId="0" fontId="1" fillId="3" borderId="15" xfId="0" applyFont="1" applyFill="1" applyBorder="1" applyAlignment="1">
      <alignment horizontal="center"/>
    </xf>
    <xf numFmtId="0" fontId="1" fillId="3" borderId="16" xfId="0" applyFont="1" applyFill="1" applyBorder="1" applyAlignment="1">
      <alignment horizontal="center"/>
    </xf>
    <xf numFmtId="0" fontId="1" fillId="3" borderId="5" xfId="0" applyFont="1" applyFill="1" applyBorder="1" applyAlignment="1">
      <alignment horizontal="center"/>
    </xf>
    <xf numFmtId="0" fontId="1" fillId="3" borderId="6" xfId="0" applyFont="1" applyFill="1" applyBorder="1" applyAlignment="1">
      <alignment horizontal="center"/>
    </xf>
    <xf numFmtId="0" fontId="1" fillId="3" borderId="29" xfId="0" applyFont="1" applyFill="1" applyBorder="1" applyAlignment="1">
      <alignment horizontal="center"/>
    </xf>
    <xf numFmtId="0" fontId="1" fillId="5" borderId="1" xfId="0" applyFont="1" applyFill="1" applyBorder="1" applyAlignment="1">
      <alignment horizontal="center"/>
    </xf>
    <xf numFmtId="0" fontId="1" fillId="6" borderId="1" xfId="0" applyFont="1" applyFill="1" applyBorder="1" applyAlignment="1">
      <alignment horizontal="center"/>
    </xf>
    <xf numFmtId="0" fontId="1" fillId="15" borderId="25" xfId="0" applyFont="1" applyFill="1" applyBorder="1" applyAlignment="1">
      <alignment horizontal="center" vertical="center"/>
    </xf>
    <xf numFmtId="0" fontId="1" fillId="15" borderId="26" xfId="0" applyFont="1" applyFill="1" applyBorder="1" applyAlignment="1">
      <alignment horizontal="center" vertical="center"/>
    </xf>
    <xf numFmtId="0" fontId="14" fillId="28" borderId="25" xfId="0" applyFont="1" applyFill="1" applyBorder="1" applyAlignment="1">
      <alignment horizontal="center"/>
    </xf>
    <xf numFmtId="0" fontId="14" fillId="28" borderId="26" xfId="0" applyFont="1" applyFill="1" applyBorder="1" applyAlignment="1">
      <alignment horizontal="center"/>
    </xf>
    <xf numFmtId="0" fontId="14" fillId="28" borderId="27" xfId="0" applyFont="1" applyFill="1" applyBorder="1" applyAlignment="1">
      <alignment horizontal="center"/>
    </xf>
    <xf numFmtId="0" fontId="14" fillId="28" borderId="25" xfId="0" applyFont="1" applyFill="1" applyBorder="1" applyAlignment="1">
      <alignment horizontal="center" vertical="center"/>
    </xf>
    <xf numFmtId="0" fontId="14" fillId="28" borderId="26" xfId="0" applyFont="1" applyFill="1" applyBorder="1" applyAlignment="1">
      <alignment horizontal="center" vertical="center"/>
    </xf>
    <xf numFmtId="0" fontId="14" fillId="28" borderId="27" xfId="0" applyFont="1" applyFill="1" applyBorder="1" applyAlignment="1">
      <alignment horizontal="center" vertical="center"/>
    </xf>
    <xf numFmtId="14" fontId="0" fillId="18" borderId="25" xfId="0" applyNumberFormat="1" applyFill="1" applyBorder="1" applyAlignment="1">
      <alignment horizontal="center" vertical="center"/>
    </xf>
    <xf numFmtId="14" fontId="0" fillId="18" borderId="26" xfId="0" applyNumberFormat="1" applyFill="1" applyBorder="1" applyAlignment="1">
      <alignment horizontal="center" vertical="center"/>
    </xf>
    <xf numFmtId="14" fontId="0" fillId="18" borderId="27" xfId="0" applyNumberFormat="1" applyFill="1" applyBorder="1" applyAlignment="1">
      <alignment horizontal="center" vertical="center"/>
    </xf>
    <xf numFmtId="0" fontId="0" fillId="18" borderId="25" xfId="0" applyFill="1" applyBorder="1" applyAlignment="1">
      <alignment horizontal="center" vertical="center"/>
    </xf>
    <xf numFmtId="0" fontId="0" fillId="18" borderId="26" xfId="0" applyFill="1" applyBorder="1" applyAlignment="1">
      <alignment horizontal="center" vertical="center"/>
    </xf>
    <xf numFmtId="0" fontId="0" fillId="18" borderId="27" xfId="0" applyFill="1" applyBorder="1" applyAlignment="1">
      <alignment horizontal="center" vertical="center"/>
    </xf>
    <xf numFmtId="0" fontId="13" fillId="27" borderId="25" xfId="0" applyFont="1" applyFill="1" applyBorder="1" applyAlignment="1">
      <alignment horizontal="center" vertical="center"/>
    </xf>
    <xf numFmtId="0" fontId="13" fillId="27" borderId="26" xfId="0" applyFont="1" applyFill="1" applyBorder="1" applyAlignment="1">
      <alignment horizontal="center" vertical="center"/>
    </xf>
    <xf numFmtId="0" fontId="13" fillId="27" borderId="27" xfId="0" applyFont="1" applyFill="1" applyBorder="1" applyAlignment="1">
      <alignment horizontal="center" vertical="center"/>
    </xf>
    <xf numFmtId="181" fontId="0" fillId="18" borderId="25" xfId="0" applyNumberFormat="1" applyFill="1" applyBorder="1" applyAlignment="1">
      <alignment horizontal="center" vertical="center"/>
    </xf>
    <xf numFmtId="181" fontId="0" fillId="18" borderId="26" xfId="0" applyNumberFormat="1" applyFill="1" applyBorder="1" applyAlignment="1">
      <alignment horizontal="center" vertical="center"/>
    </xf>
    <xf numFmtId="181" fontId="0" fillId="18" borderId="27" xfId="0" applyNumberFormat="1" applyFill="1" applyBorder="1" applyAlignment="1">
      <alignment horizontal="center" vertical="center"/>
    </xf>
    <xf numFmtId="0" fontId="0" fillId="0" borderId="18" xfId="0" applyBorder="1" applyAlignment="1">
      <alignment horizontal="center"/>
    </xf>
    <xf numFmtId="0" fontId="0" fillId="0" borderId="19" xfId="0" applyBorder="1" applyAlignment="1">
      <alignment horizontal="center"/>
    </xf>
    <xf numFmtId="0" fontId="0" fillId="0" borderId="23" xfId="0" applyBorder="1" applyAlignment="1">
      <alignment horizontal="center"/>
    </xf>
    <xf numFmtId="0" fontId="0" fillId="0" borderId="24" xfId="0" applyBorder="1" applyAlignment="1">
      <alignment horizontal="center"/>
    </xf>
    <xf numFmtId="0" fontId="1" fillId="18" borderId="25" xfId="0" applyFont="1" applyFill="1" applyBorder="1" applyAlignment="1">
      <alignment horizontal="center" vertical="center"/>
    </xf>
    <xf numFmtId="0" fontId="1" fillId="18" borderId="26" xfId="0" applyFont="1" applyFill="1" applyBorder="1" applyAlignment="1">
      <alignment horizontal="center" vertical="center"/>
    </xf>
    <xf numFmtId="0" fontId="1" fillId="18" borderId="27" xfId="0" applyFont="1" applyFill="1" applyBorder="1" applyAlignment="1">
      <alignment horizontal="center" vertical="center"/>
    </xf>
    <xf numFmtId="0" fontId="0" fillId="18" borderId="17" xfId="0" applyFill="1" applyBorder="1" applyAlignment="1">
      <alignment horizontal="center" vertical="center"/>
    </xf>
    <xf numFmtId="0" fontId="0" fillId="18" borderId="18" xfId="0" applyFill="1" applyBorder="1" applyAlignment="1">
      <alignment horizontal="center" vertical="center"/>
    </xf>
    <xf numFmtId="0" fontId="0" fillId="18" borderId="19" xfId="0" applyFill="1" applyBorder="1" applyAlignment="1">
      <alignment horizontal="center" vertical="center"/>
    </xf>
    <xf numFmtId="0" fontId="0" fillId="0" borderId="44" xfId="0" applyBorder="1" applyAlignment="1">
      <alignment horizontal="center" vertical="center"/>
    </xf>
    <xf numFmtId="0" fontId="0" fillId="0" borderId="15" xfId="0" applyBorder="1" applyAlignment="1">
      <alignment horizontal="center" vertical="center"/>
    </xf>
    <xf numFmtId="0" fontId="0" fillId="0" borderId="17" xfId="0" applyBorder="1" applyAlignment="1">
      <alignment horizontal="center"/>
    </xf>
    <xf numFmtId="0" fontId="0" fillId="0" borderId="20" xfId="0" applyBorder="1" applyAlignment="1">
      <alignment horizontal="center"/>
    </xf>
    <xf numFmtId="0" fontId="0" fillId="0" borderId="0" xfId="0" applyAlignment="1">
      <alignment horizontal="center"/>
    </xf>
    <xf numFmtId="0" fontId="0" fillId="0" borderId="21" xfId="0" applyBorder="1" applyAlignment="1">
      <alignment horizontal="center"/>
    </xf>
    <xf numFmtId="0" fontId="0" fillId="0" borderId="28" xfId="0" applyBorder="1" applyAlignment="1">
      <alignment horizontal="center"/>
    </xf>
    <xf numFmtId="0" fontId="1" fillId="13" borderId="8" xfId="0" applyFont="1" applyFill="1" applyBorder="1" applyAlignment="1">
      <alignment horizontal="left"/>
    </xf>
    <xf numFmtId="0" fontId="1" fillId="13" borderId="1" xfId="0" applyFont="1" applyFill="1" applyBorder="1" applyAlignment="1">
      <alignment horizontal="left"/>
    </xf>
    <xf numFmtId="0" fontId="1" fillId="14" borderId="32" xfId="0" applyFont="1" applyFill="1" applyBorder="1" applyAlignment="1">
      <alignment horizontal="left"/>
    </xf>
    <xf numFmtId="0" fontId="1" fillId="14" borderId="43" xfId="0" applyFont="1" applyFill="1" applyBorder="1" applyAlignment="1">
      <alignment horizontal="left"/>
    </xf>
    <xf numFmtId="0" fontId="1" fillId="14" borderId="33" xfId="0" applyFont="1" applyFill="1" applyBorder="1" applyAlignment="1">
      <alignment horizontal="left"/>
    </xf>
    <xf numFmtId="0" fontId="1" fillId="2" borderId="32" xfId="0" applyFont="1" applyFill="1" applyBorder="1" applyAlignment="1">
      <alignment horizontal="center"/>
    </xf>
    <xf numFmtId="0" fontId="1" fillId="2" borderId="43" xfId="0" applyFont="1" applyFill="1" applyBorder="1" applyAlignment="1">
      <alignment horizontal="center"/>
    </xf>
    <xf numFmtId="0" fontId="1" fillId="2" borderId="33" xfId="0" applyFont="1" applyFill="1" applyBorder="1" applyAlignment="1">
      <alignment horizontal="center"/>
    </xf>
    <xf numFmtId="0" fontId="1" fillId="25" borderId="2" xfId="0" applyFont="1" applyFill="1" applyBorder="1" applyAlignment="1">
      <alignment horizontal="center" vertical="center"/>
    </xf>
    <xf numFmtId="0" fontId="1" fillId="25" borderId="3" xfId="0" applyFont="1" applyFill="1" applyBorder="1" applyAlignment="1">
      <alignment horizontal="center" vertical="center"/>
    </xf>
    <xf numFmtId="0" fontId="1" fillId="25" borderId="4" xfId="0" applyFont="1" applyFill="1" applyBorder="1" applyAlignment="1">
      <alignment horizontal="center" vertical="center"/>
    </xf>
    <xf numFmtId="0" fontId="1" fillId="25" borderId="9" xfId="0" applyFont="1" applyFill="1" applyBorder="1" applyAlignment="1">
      <alignment horizontal="center" vertical="center"/>
    </xf>
    <xf numFmtId="0" fontId="1" fillId="25" borderId="10" xfId="0" applyFont="1" applyFill="1" applyBorder="1" applyAlignment="1">
      <alignment horizontal="center" vertical="center"/>
    </xf>
    <xf numFmtId="0" fontId="1" fillId="25" borderId="12" xfId="0" applyFont="1" applyFill="1" applyBorder="1" applyAlignment="1">
      <alignment horizontal="center" vertical="center"/>
    </xf>
    <xf numFmtId="0" fontId="1" fillId="12" borderId="32" xfId="0" applyFont="1" applyFill="1" applyBorder="1" applyAlignment="1">
      <alignment horizontal="left"/>
    </xf>
    <xf numFmtId="0" fontId="1" fillId="12" borderId="43" xfId="0" applyFont="1" applyFill="1" applyBorder="1" applyAlignment="1">
      <alignment horizontal="left"/>
    </xf>
    <xf numFmtId="0" fontId="1" fillId="12" borderId="33" xfId="0" applyFont="1" applyFill="1" applyBorder="1" applyAlignment="1">
      <alignment horizontal="left"/>
    </xf>
    <xf numFmtId="0" fontId="0" fillId="0" borderId="8" xfId="0" applyBorder="1" applyAlignment="1">
      <alignment horizontal="left"/>
    </xf>
    <xf numFmtId="0" fontId="0" fillId="0" borderId="1" xfId="0" applyBorder="1" applyAlignment="1">
      <alignment horizontal="left"/>
    </xf>
    <xf numFmtId="0" fontId="0" fillId="0" borderId="22" xfId="0" applyBorder="1" applyAlignment="1">
      <alignment horizontal="center"/>
    </xf>
    <xf numFmtId="0" fontId="0" fillId="0" borderId="15" xfId="0" applyBorder="1" applyAlignment="1">
      <alignment horizontal="center"/>
    </xf>
    <xf numFmtId="0" fontId="0" fillId="0" borderId="41" xfId="0" applyBorder="1" applyAlignment="1">
      <alignment horizontal="center"/>
    </xf>
    <xf numFmtId="0" fontId="1" fillId="25" borderId="2" xfId="0" applyFont="1" applyFill="1" applyBorder="1" applyAlignment="1">
      <alignment horizontal="center" vertical="center" wrapText="1"/>
    </xf>
    <xf numFmtId="0" fontId="1" fillId="25" borderId="3" xfId="0" applyFont="1" applyFill="1" applyBorder="1" applyAlignment="1">
      <alignment horizontal="center" vertical="center" wrapText="1"/>
    </xf>
    <xf numFmtId="0" fontId="1" fillId="25" borderId="4" xfId="0" applyFont="1" applyFill="1" applyBorder="1" applyAlignment="1">
      <alignment horizontal="center" vertical="center" wrapText="1"/>
    </xf>
    <xf numFmtId="0" fontId="1" fillId="25" borderId="9" xfId="0" applyFont="1" applyFill="1" applyBorder="1" applyAlignment="1">
      <alignment horizontal="center" vertical="center" wrapText="1"/>
    </xf>
    <xf numFmtId="0" fontId="1" fillId="25" borderId="10" xfId="0" applyFont="1" applyFill="1" applyBorder="1" applyAlignment="1">
      <alignment horizontal="center" vertical="center" wrapText="1"/>
    </xf>
    <xf numFmtId="0" fontId="1" fillId="25" borderId="12" xfId="0" applyFont="1" applyFill="1" applyBorder="1" applyAlignment="1">
      <alignment horizontal="center" vertical="center" wrapText="1"/>
    </xf>
  </cellXfs>
  <cellStyles count="9">
    <cellStyle name="Moneda 2 2" xfId="5" xr:uid="{239EE14F-6BFD-40F9-B4AC-4AE92113E034}"/>
    <cellStyle name="Normal 2" xfId="7" xr:uid="{BDBE42DB-C02C-44E2-9E09-14356C152FA7}"/>
    <cellStyle name="Normal 3" xfId="2" xr:uid="{EBD42639-B4AB-4F70-820C-9523C497A8FD}"/>
    <cellStyle name="Normal 3 2" xfId="3" xr:uid="{042274C1-89FC-4B6C-8043-DFD56727C0B8}"/>
    <cellStyle name="백분율" xfId="6" builtinId="5"/>
    <cellStyle name="쉼표" xfId="8" builtinId="3"/>
    <cellStyle name="통화" xfId="4" builtinId="4"/>
    <cellStyle name="표준" xfId="0" builtinId="0"/>
    <cellStyle name="하이퍼링크" xfId="1" builtinId="8"/>
  </cellStyles>
  <dxfs count="1072">
    <dxf>
      <fill>
        <patternFill>
          <bgColor rgb="FFFFFF00"/>
        </patternFill>
      </fill>
    </dxf>
    <dxf>
      <fill>
        <patternFill>
          <bgColor rgb="FF92D050"/>
        </patternFill>
      </fill>
    </dxf>
    <dxf>
      <fill>
        <patternFill>
          <bgColor rgb="FFFF0000"/>
        </patternFill>
      </fill>
    </dxf>
    <dxf>
      <fill>
        <patternFill>
          <bgColor theme="9" tint="0.59996337778862885"/>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78" formatCode="&quot;$&quot;\ #,##0.00"/>
    </dxf>
    <dxf>
      <numFmt numFmtId="0" formatCode="General"/>
    </dxf>
    <dxf>
      <numFmt numFmtId="0" formatCode="General"/>
    </dxf>
    <dxf>
      <numFmt numFmtId="0" formatCode="General"/>
    </dxf>
    <dxf>
      <numFmt numFmtId="0" formatCode="General"/>
    </dxf>
    <dxf>
      <numFmt numFmtId="14" formatCode="0.00%"/>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8" formatCode="&quot;$&quot;\ #,##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8" formatCode="&quot;$&quot;\ #,##0.00"/>
    </dxf>
    <dxf>
      <alignment horizontal="center"/>
    </dxf>
    <dxf>
      <alignment horizontal="center"/>
    </dxf>
    <dxf>
      <alignment horizontal="center"/>
    </dxf>
    <dxf>
      <alignment horizontal="center"/>
    </dxf>
    <dxf>
      <numFmt numFmtId="178" formatCode="&quot;$&quot;\ #,##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numFmt numFmtId="178" formatCode="&quot;$&quot;\ #,##0.00"/>
    </dxf>
    <dxf>
      <numFmt numFmtId="178" formatCode="&quot;$&quot;\ #,##0.00"/>
    </dxf>
    <dxf>
      <numFmt numFmtId="14" formatCode="0.00%"/>
      <alignment horizontal="center" vertical="center" textRotation="0" wrapText="0" indent="0" justifyLastLine="0" shrinkToFit="0" readingOrder="0"/>
    </dxf>
    <dxf>
      <numFmt numFmtId="181" formatCode="0.00\ &quot;MESES&quot;"/>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numFmt numFmtId="178" formatCode="&quot;$&quot;\ #,##0.00"/>
    </dxf>
    <dxf>
      <numFmt numFmtId="178" formatCode="&quot;$&quot;\ #,##0.00"/>
    </dxf>
    <dxf>
      <numFmt numFmtId="14" formatCode="0.00%"/>
    </dxf>
    <dxf>
      <numFmt numFmtId="178" formatCode="&quot;$&quot;\ #,##0.00"/>
    </dxf>
    <dxf>
      <numFmt numFmtId="178" formatCode="&quot;$&quot;\ #,##0.00"/>
    </dxf>
    <dxf>
      <numFmt numFmtId="178" formatCode="&quot;$&quot;\ #,##0.00"/>
    </dxf>
    <dxf>
      <numFmt numFmtId="178" formatCode="&quot;$&quot;\ #,##0.00"/>
    </dxf>
    <dxf>
      <numFmt numFmtId="178" formatCode="&quot;$&quot;\ #,##0.00"/>
    </dxf>
    <dxf>
      <numFmt numFmtId="178" formatCode="&quot;$&quot;\ #,##0.00"/>
    </dxf>
    <dxf>
      <numFmt numFmtId="178" formatCode="&quot;$&quot;\ #,##0.00"/>
    </dxf>
    <dxf>
      <numFmt numFmtId="178" formatCode="&quot;$&quot;\ #,##0.00"/>
    </dxf>
    <dxf>
      <numFmt numFmtId="178" formatCode="&quot;$&quot;\ #,##0.00"/>
    </dxf>
    <dxf>
      <numFmt numFmtId="178" formatCode="&quot;$&quot;\ #,##0.00"/>
    </dxf>
    <dxf>
      <alignment horizontal="center" vertical="bottom" textRotation="0" wrapText="0" indent="0" justifyLastLine="0" shrinkToFit="0" readingOrder="0"/>
    </dxf>
    <dxf>
      <alignment horizontal="center" vertical="bottom" textRotation="0" wrapText="0" indent="0" justifyLastLine="0" shrinkToFit="0" readingOrder="0"/>
    </dxf>
    <dxf>
      <numFmt numFmtId="188" formatCode="_-&quot;$&quot;\ * #,##0_-;\-&quot;$&quot;\ * #,##0_-;_-&quot;$&quot;\ * &quot;-&quot;??_-;_-@_-"/>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188" formatCode="_-&quot;$&quot;\ * #,##0_-;\-&quot;$&quot;\ * #,##0_-;_-&quot;$&quot;\ * &quot;-&quot;??_-;_-@_-"/>
      <border diagonalUp="0" diagonalDown="0">
        <left/>
        <right style="medium">
          <color indexed="64"/>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numFmt numFmtId="189" formatCode="&quot;$&quot;\ #,##0"/>
    </dxf>
    <dxf>
      <numFmt numFmtId="180" formatCode="0.00\ &quot;Galones&quot;"/>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border diagonalUp="0" diagonalDown="0">
        <left style="medium">
          <color indexed="64"/>
        </left>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numFmt numFmtId="190" formatCode="0.0"/>
    </dxf>
    <dxf>
      <numFmt numFmtId="189" formatCode="&quot;$&quot;\ #,##0"/>
    </dxf>
    <dxf>
      <font>
        <strike val="0"/>
        <outline val="0"/>
        <shadow val="0"/>
        <u val="none"/>
        <vertAlign val="baseline"/>
        <sz val="11"/>
        <color rgb="FFFF0000"/>
        <name val="Calibri"/>
        <family val="2"/>
        <scheme val="minor"/>
      </font>
    </dxf>
    <dxf>
      <border diagonalUp="0" diagonalDown="0">
        <left style="medium">
          <color indexed="64"/>
        </left>
        <right/>
        <top/>
        <bottom/>
        <vertical/>
        <horizontal/>
      </border>
    </dxf>
    <dxf>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border diagonalUp="0" diagonalDown="0">
        <left/>
        <right style="medium">
          <color indexed="64"/>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numFmt numFmtId="189" formatCode="&quot;$&quot;\ #,##0"/>
    </dxf>
    <dxf>
      <numFmt numFmtId="180" formatCode="0.00\ &quot;Galones&quot;"/>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border diagonalUp="0" diagonalDown="0">
        <left style="medium">
          <color indexed="64"/>
        </left>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numFmt numFmtId="190" formatCode="0.0"/>
    </dxf>
    <dxf>
      <numFmt numFmtId="189" formatCode="&quot;$&quot;\ #,##0"/>
    </dxf>
    <dxf>
      <font>
        <strike val="0"/>
        <outline val="0"/>
        <shadow val="0"/>
        <u val="none"/>
        <vertAlign val="baseline"/>
        <sz val="11"/>
        <color rgb="FFFF0000"/>
        <name val="Calibri"/>
        <family val="2"/>
        <scheme val="minor"/>
      </font>
    </dxf>
    <dxf>
      <border diagonalUp="0" diagonalDown="0">
        <left style="medium">
          <color indexed="64"/>
        </left>
        <right/>
        <top/>
        <bottom/>
        <vertical/>
        <horizontal/>
      </border>
    </dxf>
    <dxf>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border diagonalUp="0" diagonalDown="0">
        <left/>
        <right style="medium">
          <color indexed="64"/>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numFmt numFmtId="189" formatCode="&quot;$&quot;\ #,##0"/>
    </dxf>
    <dxf>
      <numFmt numFmtId="180" formatCode="0.00\ &quot;Galones&quot;"/>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border diagonalUp="0" diagonalDown="0">
        <left style="medium">
          <color indexed="64"/>
        </left>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numFmt numFmtId="190" formatCode="0.0"/>
    </dxf>
    <dxf>
      <numFmt numFmtId="189" formatCode="&quot;$&quot;\ #,##0"/>
    </dxf>
    <dxf>
      <font>
        <strike val="0"/>
        <outline val="0"/>
        <shadow val="0"/>
        <u val="none"/>
        <vertAlign val="baseline"/>
        <sz val="11"/>
        <color rgb="FFFF0000"/>
        <name val="Calibri"/>
        <family val="2"/>
        <scheme val="minor"/>
      </font>
    </dxf>
    <dxf>
      <border diagonalUp="0" diagonalDown="0">
        <left style="medium">
          <color indexed="64"/>
        </left>
        <right/>
        <top/>
        <bottom/>
        <vertical/>
        <horizontal/>
      </border>
    </dxf>
    <dxf>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border diagonalUp="0" diagonalDown="0">
        <left/>
        <right style="medium">
          <color indexed="64"/>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numFmt numFmtId="189" formatCode="&quot;$&quot;\ #,##0"/>
    </dxf>
    <dxf>
      <numFmt numFmtId="180" formatCode="0.00\ &quot;Galones&quot;"/>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border diagonalUp="0" diagonalDown="0">
        <left style="medium">
          <color indexed="64"/>
        </left>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numFmt numFmtId="190" formatCode="0.0"/>
    </dxf>
    <dxf>
      <numFmt numFmtId="189" formatCode="&quot;$&quot;\ #,##0"/>
    </dxf>
    <dxf>
      <font>
        <strike val="0"/>
        <outline val="0"/>
        <shadow val="0"/>
        <u val="none"/>
        <vertAlign val="baseline"/>
        <sz val="11"/>
        <color rgb="FFFF0000"/>
        <name val="Calibri"/>
        <family val="2"/>
        <scheme val="minor"/>
      </font>
    </dxf>
    <dxf>
      <border diagonalUp="0" diagonalDown="0">
        <left style="medium">
          <color indexed="64"/>
        </left>
        <right/>
        <top/>
        <bottom/>
        <vertical/>
        <horizontal/>
      </border>
    </dxf>
    <dxf>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border diagonalUp="0" diagonalDown="0">
        <left/>
        <right style="medium">
          <color indexed="64"/>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numFmt numFmtId="189" formatCode="&quot;$&quot;\ #,##0"/>
    </dxf>
    <dxf>
      <numFmt numFmtId="180" formatCode="0.00\ &quot;Galones&quot;"/>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border diagonalUp="0" diagonalDown="0">
        <left style="medium">
          <color indexed="64"/>
        </left>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numFmt numFmtId="190" formatCode="0.0"/>
    </dxf>
    <dxf>
      <numFmt numFmtId="189" formatCode="&quot;$&quot;\ #,##0"/>
    </dxf>
    <dxf>
      <font>
        <strike val="0"/>
        <outline val="0"/>
        <shadow val="0"/>
        <u val="none"/>
        <vertAlign val="baseline"/>
        <sz val="11"/>
        <color rgb="FFFF0000"/>
        <name val="Calibri"/>
        <family val="2"/>
        <scheme val="minor"/>
      </font>
    </dxf>
    <dxf>
      <border diagonalUp="0" diagonalDown="0">
        <left style="medium">
          <color indexed="64"/>
        </left>
        <right/>
        <top/>
        <bottom/>
        <vertical/>
        <horizontal/>
      </border>
    </dxf>
    <dxf>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border diagonalUp="0" diagonalDown="0">
        <left/>
        <right style="medium">
          <color indexed="64"/>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numFmt numFmtId="189" formatCode="&quot;$&quot;\ #,##0"/>
    </dxf>
    <dxf>
      <numFmt numFmtId="180" formatCode="0.00\ &quot;Galones&quot;"/>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border diagonalUp="0" diagonalDown="0">
        <left style="medium">
          <color indexed="64"/>
        </left>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numFmt numFmtId="190" formatCode="0.0"/>
    </dxf>
    <dxf>
      <numFmt numFmtId="189" formatCode="&quot;$&quot;\ #,##0"/>
    </dxf>
    <dxf>
      <font>
        <strike val="0"/>
        <outline val="0"/>
        <shadow val="0"/>
        <u val="none"/>
        <vertAlign val="baseline"/>
        <sz val="11"/>
        <color rgb="FFFF0000"/>
        <name val="Calibri"/>
        <family val="2"/>
        <scheme val="minor"/>
      </font>
    </dxf>
    <dxf>
      <border diagonalUp="0" diagonalDown="0">
        <left style="medium">
          <color indexed="64"/>
        </left>
        <right/>
        <top/>
        <bottom/>
        <vertical/>
        <horizontal/>
      </border>
    </dxf>
    <dxf>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border diagonalUp="0" diagonalDown="0">
        <left/>
        <right style="medium">
          <color indexed="64"/>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numFmt numFmtId="189" formatCode="&quot;$&quot;\ #,##0"/>
    </dxf>
    <dxf>
      <numFmt numFmtId="180" formatCode="0.00\ &quot;Galones&quot;"/>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border diagonalUp="0" diagonalDown="0">
        <left style="medium">
          <color indexed="64"/>
        </left>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numFmt numFmtId="190" formatCode="0.0"/>
    </dxf>
    <dxf>
      <numFmt numFmtId="189" formatCode="&quot;$&quot;\ #,##0"/>
    </dxf>
    <dxf>
      <font>
        <strike val="0"/>
        <outline val="0"/>
        <shadow val="0"/>
        <u val="none"/>
        <vertAlign val="baseline"/>
        <sz val="11"/>
        <color rgb="FFFF0000"/>
        <name val="Calibri"/>
        <family val="2"/>
        <scheme val="minor"/>
      </font>
    </dxf>
    <dxf>
      <border diagonalUp="0" diagonalDown="0">
        <left style="medium">
          <color indexed="64"/>
        </left>
        <right/>
        <top/>
        <bottom/>
        <vertical/>
        <horizontal/>
      </border>
    </dxf>
    <dxf>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border diagonalUp="0" diagonalDown="0">
        <left/>
        <right style="medium">
          <color indexed="64"/>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numFmt numFmtId="189" formatCode="&quot;$&quot;\ #,##0"/>
    </dxf>
    <dxf>
      <numFmt numFmtId="180" formatCode="0.00\ &quot;Galones&quot;"/>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border diagonalUp="0" diagonalDown="0">
        <left style="medium">
          <color indexed="64"/>
        </left>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numFmt numFmtId="190" formatCode="0.0"/>
    </dxf>
    <dxf>
      <numFmt numFmtId="189" formatCode="&quot;$&quot;\ #,##0"/>
    </dxf>
    <dxf>
      <font>
        <strike val="0"/>
        <outline val="0"/>
        <shadow val="0"/>
        <u val="none"/>
        <vertAlign val="baseline"/>
        <sz val="11"/>
        <color rgb="FFFF0000"/>
        <name val="Calibri"/>
        <family val="2"/>
        <scheme val="minor"/>
      </font>
    </dxf>
    <dxf>
      <border diagonalUp="0" diagonalDown="0">
        <left style="medium">
          <color indexed="64"/>
        </left>
        <right/>
        <top/>
        <bottom/>
        <vertical/>
        <horizontal/>
      </border>
    </dxf>
    <dxf>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border diagonalUp="0" diagonalDown="0">
        <left/>
        <right style="medium">
          <color indexed="64"/>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numFmt numFmtId="189" formatCode="&quot;$&quot;\ #,##0"/>
    </dxf>
    <dxf>
      <numFmt numFmtId="180" formatCode="0.00\ &quot;Galones&quot;"/>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border diagonalUp="0" diagonalDown="0">
        <left style="medium">
          <color indexed="64"/>
        </left>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numFmt numFmtId="190" formatCode="0.0"/>
    </dxf>
    <dxf>
      <numFmt numFmtId="189" formatCode="&quot;$&quot;\ #,##0"/>
    </dxf>
    <dxf>
      <font>
        <strike val="0"/>
        <outline val="0"/>
        <shadow val="0"/>
        <u val="none"/>
        <vertAlign val="baseline"/>
        <sz val="11"/>
        <color rgb="FFFF0000"/>
        <name val="Calibri"/>
        <family val="2"/>
        <scheme val="minor"/>
      </font>
    </dxf>
    <dxf>
      <border diagonalUp="0" diagonalDown="0">
        <left style="medium">
          <color indexed="64"/>
        </left>
        <right/>
        <top/>
        <bottom/>
        <vertical/>
        <horizontal/>
      </border>
    </dxf>
    <dxf>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border diagonalUp="0" diagonalDown="0">
        <left/>
        <right style="medium">
          <color indexed="64"/>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numFmt numFmtId="189" formatCode="&quot;$&quot;\ #,##0"/>
    </dxf>
    <dxf>
      <numFmt numFmtId="180" formatCode="0.00\ &quot;Galones&quot;"/>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border diagonalUp="0" diagonalDown="0">
        <left style="medium">
          <color indexed="64"/>
        </left>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numFmt numFmtId="190" formatCode="0.0"/>
    </dxf>
    <dxf>
      <numFmt numFmtId="189" formatCode="&quot;$&quot;\ #,##0"/>
    </dxf>
    <dxf>
      <font>
        <strike val="0"/>
        <outline val="0"/>
        <shadow val="0"/>
        <u val="none"/>
        <vertAlign val="baseline"/>
        <sz val="11"/>
        <color rgb="FFFF0000"/>
        <name val="Calibri"/>
        <family val="2"/>
        <scheme val="minor"/>
      </font>
    </dxf>
    <dxf>
      <border diagonalUp="0" diagonalDown="0">
        <left style="medium">
          <color indexed="64"/>
        </left>
        <right/>
        <top/>
        <bottom/>
        <vertical/>
        <horizontal/>
      </border>
    </dxf>
    <dxf>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border diagonalUp="0" diagonalDown="0">
        <left/>
        <right style="medium">
          <color indexed="64"/>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numFmt numFmtId="189" formatCode="&quot;$&quot;\ #,##0"/>
    </dxf>
    <dxf>
      <numFmt numFmtId="180" formatCode="0.00\ &quot;Galones&quot;"/>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border diagonalUp="0" diagonalDown="0">
        <left style="medium">
          <color indexed="64"/>
        </left>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numFmt numFmtId="190" formatCode="0.0"/>
    </dxf>
    <dxf>
      <numFmt numFmtId="189" formatCode="&quot;$&quot;\ #,##0"/>
    </dxf>
    <dxf>
      <font>
        <strike val="0"/>
        <outline val="0"/>
        <shadow val="0"/>
        <u val="none"/>
        <vertAlign val="baseline"/>
        <sz val="11"/>
        <color rgb="FFFF0000"/>
        <name val="Calibri"/>
        <family val="2"/>
        <scheme val="minor"/>
      </font>
    </dxf>
    <dxf>
      <border diagonalUp="0" diagonalDown="0">
        <left style="medium">
          <color indexed="64"/>
        </left>
        <right/>
        <top/>
        <bottom/>
        <vertical/>
        <horizontal/>
      </border>
    </dxf>
    <dxf>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border diagonalUp="0" diagonalDown="0">
        <left/>
        <right style="medium">
          <color indexed="64"/>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numFmt numFmtId="189" formatCode="&quot;$&quot;\ #,##0"/>
    </dxf>
    <dxf>
      <numFmt numFmtId="180" formatCode="0.00\ &quot;Galones&quot;"/>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border diagonalUp="0" diagonalDown="0">
        <left style="medium">
          <color indexed="64"/>
        </left>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numFmt numFmtId="190" formatCode="0.0"/>
    </dxf>
    <dxf>
      <numFmt numFmtId="189" formatCode="&quot;$&quot;\ #,##0"/>
    </dxf>
    <dxf>
      <font>
        <strike val="0"/>
        <outline val="0"/>
        <shadow val="0"/>
        <u val="none"/>
        <vertAlign val="baseline"/>
        <sz val="11"/>
        <color rgb="FFFF0000"/>
        <name val="Calibri"/>
        <family val="2"/>
        <scheme val="minor"/>
      </font>
    </dxf>
    <dxf>
      <border diagonalUp="0" diagonalDown="0">
        <left style="medium">
          <color indexed="64"/>
        </left>
        <right/>
        <top/>
        <bottom/>
        <vertical/>
        <horizontal/>
      </border>
    </dxf>
    <dxf>
      <numFmt numFmtId="0" formatCode="Genera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188" formatCode="_-&quot;$&quot;\ * #,##0_-;\-&quot;$&quot;\ * #,##0_-;_-&quot;$&quot;\ * &quot;-&quot;??_-;_-@_-"/>
      <border diagonalUp="0" diagonalDown="0">
        <left/>
        <right style="medium">
          <color indexed="64"/>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numFmt numFmtId="189" formatCode="&quot;$&quot;\ #,##0"/>
    </dxf>
    <dxf>
      <numFmt numFmtId="180" formatCode="0.00\ &quot;Galones&quot;"/>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border diagonalUp="0" diagonalDown="0">
        <left style="medium">
          <color indexed="64"/>
        </left>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numFmt numFmtId="190" formatCode="0.0"/>
    </dxf>
    <dxf>
      <numFmt numFmtId="189" formatCode="&quot;$&quot;\ #,##0"/>
    </dxf>
    <dxf>
      <font>
        <strike val="0"/>
        <outline val="0"/>
        <shadow val="0"/>
        <u val="none"/>
        <vertAlign val="baseline"/>
        <sz val="11"/>
        <color rgb="FFFF0000"/>
        <name val="Calibri"/>
        <family val="2"/>
        <scheme val="minor"/>
      </font>
    </dxf>
    <dxf>
      <border diagonalUp="0" diagonalDown="0">
        <left style="medium">
          <color indexed="64"/>
        </left>
        <right/>
        <top/>
        <bottom/>
        <vertical/>
        <horizontal/>
      </border>
    </dxf>
    <dxf>
      <numFmt numFmtId="0" formatCode="Genera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188" formatCode="_-&quot;$&quot;\ * #,##0_-;\-&quot;$&quot;\ * #,##0_-;_-&quot;$&quot;\ * &quot;-&quot;??_-;_-@_-"/>
      <border diagonalUp="0" diagonalDown="0">
        <left/>
        <right style="medium">
          <color indexed="64"/>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numFmt numFmtId="189" formatCode="&quot;$&quot;\ #,##0"/>
    </dxf>
    <dxf>
      <numFmt numFmtId="180" formatCode="0.00\ &quot;Galones&quot;"/>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border diagonalUp="0" diagonalDown="0">
        <left style="medium">
          <color indexed="64"/>
        </left>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numFmt numFmtId="190" formatCode="0.0"/>
    </dxf>
    <dxf>
      <numFmt numFmtId="189" formatCode="&quot;$&quot;\ #,##0"/>
    </dxf>
    <dxf>
      <font>
        <strike val="0"/>
        <outline val="0"/>
        <shadow val="0"/>
        <u val="none"/>
        <vertAlign val="baseline"/>
        <sz val="11"/>
        <color rgb="FFFF0000"/>
        <name val="Calibri"/>
        <family val="2"/>
        <scheme val="minor"/>
      </font>
    </dxf>
    <dxf>
      <border diagonalUp="0" diagonalDown="0">
        <left style="medium">
          <color indexed="64"/>
        </left>
        <right/>
        <top/>
        <bottom/>
        <vertical/>
        <horizontal/>
      </border>
    </dxf>
    <dxf>
      <numFmt numFmtId="0" formatCode="Genera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188" formatCode="_-&quot;$&quot;\ * #,##0_-;\-&quot;$&quot;\ * #,##0_-;_-&quot;$&quot;\ * &quot;-&quot;??_-;_-@_-"/>
      <border diagonalUp="0" diagonalDown="0">
        <left/>
        <right style="medium">
          <color indexed="64"/>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numFmt numFmtId="189" formatCode="&quot;$&quot;\ #,##0"/>
    </dxf>
    <dxf>
      <numFmt numFmtId="180" formatCode="0.00\ &quot;Galones&quot;"/>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border diagonalUp="0" diagonalDown="0">
        <left style="medium">
          <color indexed="64"/>
        </left>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numFmt numFmtId="190" formatCode="0.0"/>
    </dxf>
    <dxf>
      <numFmt numFmtId="189" formatCode="&quot;$&quot;\ #,##0"/>
    </dxf>
    <dxf>
      <font>
        <strike val="0"/>
        <outline val="0"/>
        <shadow val="0"/>
        <u val="none"/>
        <vertAlign val="baseline"/>
        <sz val="11"/>
        <color rgb="FFFF0000"/>
        <name val="Calibri"/>
        <family val="2"/>
        <scheme val="minor"/>
      </font>
    </dxf>
    <dxf>
      <border diagonalUp="0" diagonalDown="0">
        <left style="medium">
          <color indexed="64"/>
        </left>
        <right/>
        <top/>
        <bottom/>
        <vertical/>
        <horizontal/>
      </border>
    </dxf>
    <dxf>
      <numFmt numFmtId="0" formatCode="General"/>
      <border diagonalUp="0" diagonalDown="0">
        <left/>
        <right style="medium">
          <color indexed="64"/>
        </right>
        <top/>
        <bottom/>
        <vertical/>
        <horizontal/>
      </border>
    </dxf>
    <dxf>
      <font>
        <b val="0"/>
        <i val="0"/>
        <strike val="0"/>
        <condense val="0"/>
        <extend val="0"/>
        <outline val="0"/>
        <shadow val="0"/>
        <u val="none"/>
        <vertAlign val="baseline"/>
        <sz val="11"/>
        <color theme="1"/>
        <name val="Calibri"/>
        <family val="2"/>
        <scheme val="minor"/>
      </font>
    </dxf>
    <dxf>
      <border diagonalUp="0" diagonalDown="0">
        <left style="medium">
          <color indexed="64"/>
        </left>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border diagonalUp="0" diagonalDown="0">
        <left/>
        <right style="medium">
          <color indexed="64"/>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numFmt numFmtId="189" formatCode="&quot;$&quot;\ #,##0"/>
    </dxf>
    <dxf>
      <numFmt numFmtId="180" formatCode="0.00\ &quot;Galones&quot;"/>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border diagonalUp="0" diagonalDown="0">
        <left style="medium">
          <color indexed="64"/>
        </left>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numFmt numFmtId="190" formatCode="0.0"/>
    </dxf>
    <dxf>
      <numFmt numFmtId="189" formatCode="&quot;$&quot;\ #,##0"/>
    </dxf>
    <dxf>
      <font>
        <strike val="0"/>
        <outline val="0"/>
        <shadow val="0"/>
        <u val="none"/>
        <vertAlign val="baseline"/>
        <sz val="11"/>
        <color rgb="FFFF0000"/>
        <name val="Calibri"/>
        <family val="2"/>
        <scheme val="minor"/>
      </font>
    </dxf>
    <dxf>
      <border diagonalUp="0" diagonalDown="0">
        <left style="medium">
          <color indexed="64"/>
        </left>
        <right/>
        <top/>
        <bottom/>
        <vertical/>
        <horizontal/>
      </border>
    </dxf>
    <dxf>
      <numFmt numFmtId="0" formatCode="General"/>
      <border diagonalUp="0" diagonalDown="0">
        <left/>
        <right style="medium">
          <color indexed="64"/>
        </right>
        <top/>
        <bottom/>
        <vertical/>
        <horizontal/>
      </border>
    </dxf>
    <dxf>
      <font>
        <b val="0"/>
        <i val="0"/>
        <strike val="0"/>
        <condense val="0"/>
        <extend val="0"/>
        <outline val="0"/>
        <shadow val="0"/>
        <u val="none"/>
        <vertAlign val="baseline"/>
        <sz val="11"/>
        <color theme="1"/>
        <name val="Calibri"/>
        <family val="2"/>
        <scheme val="minor"/>
      </font>
    </dxf>
    <dxf>
      <border diagonalUp="0" diagonalDown="0">
        <left style="medium">
          <color indexed="64"/>
        </left>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border diagonalUp="0" diagonalDown="0">
        <left/>
        <right style="medium">
          <color indexed="64"/>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numFmt numFmtId="189" formatCode="&quot;$&quot;\ #,##0"/>
    </dxf>
    <dxf>
      <numFmt numFmtId="180" formatCode="0.00\ &quot;Galones&quot;"/>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border diagonalUp="0" diagonalDown="0">
        <left style="medium">
          <color indexed="64"/>
        </left>
        <right/>
        <top/>
        <bottom/>
        <vertical/>
        <horizontal/>
      </border>
    </dxf>
    <dxf>
      <numFmt numFmtId="178" formatCode="&quot;$&quot;\ #,##0.00"/>
    </dxf>
    <dxf>
      <font>
        <strike val="0"/>
        <outline val="0"/>
        <shadow val="0"/>
        <u val="none"/>
        <vertAlign val="baseline"/>
        <sz val="11"/>
        <color rgb="FFFF0000"/>
        <name val="Calibri"/>
        <family val="2"/>
        <scheme val="minor"/>
      </font>
    </dxf>
    <dxf>
      <border diagonalUp="0" diagonalDown="0">
        <left style="medium">
          <color indexed="64"/>
        </left>
        <right/>
        <top/>
        <bottom/>
        <vertical/>
        <horizontal/>
      </border>
    </dxf>
    <dxf>
      <numFmt numFmtId="0" formatCode="General"/>
    </dxf>
    <dxf>
      <numFmt numFmtId="188" formatCode="_-&quot;$&quot;\ * #,##0_-;\-&quot;$&quot;\ * #,##0_-;_-&quot;$&quot;\ * &quot;-&quot;??_-;_-@_-"/>
    </dxf>
    <dxf>
      <numFmt numFmtId="188" formatCode="_-&quot;$&quot;\ * #,##0_-;\-&quot;$&quot;\ * #,##0_-;_-&quot;$&quot;\ * &quot;-&quot;??_-;_-@_-"/>
    </dxf>
    <dxf>
      <font>
        <strike val="0"/>
        <outline val="0"/>
        <shadow val="0"/>
        <u val="none"/>
        <vertAlign val="baseline"/>
        <sz val="11"/>
        <color rgb="FFFF0000"/>
        <name val="Calibri"/>
        <family val="2"/>
        <scheme val="minor"/>
      </font>
    </dxf>
    <dxf>
      <numFmt numFmtId="189" formatCode="&quot;$&quot;\ #,##0"/>
    </dxf>
    <dxf>
      <numFmt numFmtId="188" formatCode="_-&quot;$&quot;\ * #,##0_-;\-&quot;$&quot;\ * #,##0_-;_-&quot;$&quot;\ * &quot;-&quot;??_-;_-@_-"/>
    </dxf>
    <dxf>
      <numFmt numFmtId="188" formatCode="_-&quot;$&quot;\ * #,##0_-;\-&quot;$&quot;\ * #,##0_-;_-&quot;$&quot;\ * &quot;-&quot;??_-;_-@_-"/>
    </dxf>
    <dxf>
      <numFmt numFmtId="188" formatCode="_-&quot;$&quot;\ * #,##0_-;\-&quot;$&quot;\ * #,##0_-;_-&quot;$&quot;\ * &quot;-&quot;??_-;_-@_-"/>
    </dxf>
    <dxf>
      <numFmt numFmtId="189" formatCode="&quot;$&quot;\ #,##0"/>
    </dxf>
    <dxf>
      <font>
        <strike val="0"/>
        <outline val="0"/>
        <shadow val="0"/>
        <u val="none"/>
        <vertAlign val="baseline"/>
        <sz val="11"/>
        <color rgb="FFFF0000"/>
        <name val="Calibri"/>
        <family val="2"/>
        <scheme val="minor"/>
      </font>
    </dxf>
    <dxf>
      <numFmt numFmtId="178" formatCode="&quot;$&quot;\ #,##0.00"/>
    </dxf>
    <dxf>
      <numFmt numFmtId="14" formatCode="0.00%"/>
      <alignment horizontal="center" vertical="center" textRotation="0" wrapText="0" indent="0" justifyLastLine="0" shrinkToFit="0" readingOrder="0"/>
    </dxf>
    <dxf>
      <numFmt numFmtId="181" formatCode="0.00\ &quot;MESES&quot;"/>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numFmt numFmtId="178" formatCode="&quot;$&quot;\ #,##0.00"/>
    </dxf>
    <dxf>
      <numFmt numFmtId="178" formatCode="&quot;$&quot;\ #,##0.00"/>
    </dxf>
    <dxf>
      <numFmt numFmtId="14" formatCode="0.00%"/>
    </dxf>
    <dxf>
      <numFmt numFmtId="178" formatCode="&quot;$&quot;\ #,##0.00"/>
    </dxf>
    <dxf>
      <numFmt numFmtId="178" formatCode="&quot;$&quot;\ #,##0.00"/>
    </dxf>
    <dxf>
      <numFmt numFmtId="178" formatCode="&quot;$&quot;\ #,##0.00"/>
    </dxf>
    <dxf>
      <numFmt numFmtId="178" formatCode="&quot;$&quot;\ #,##0.00"/>
    </dxf>
    <dxf>
      <numFmt numFmtId="178" formatCode="&quot;$&quot;\ #,##0.00"/>
    </dxf>
    <dxf>
      <numFmt numFmtId="178" formatCode="&quot;$&quot;\ #,##0.00"/>
    </dxf>
    <dxf>
      <numFmt numFmtId="178" formatCode="&quot;$&quot;\ #,##0.00"/>
    </dxf>
    <dxf>
      <numFmt numFmtId="178" formatCode="&quot;$&quot;\ #,##0.00"/>
    </dxf>
    <dxf>
      <numFmt numFmtId="178" formatCode="&quot;$&quot;\ #,##0.00"/>
    </dxf>
    <dxf>
      <alignment horizontal="center" vertical="bottom" textRotation="0" wrapText="0" indent="0" justifyLastLine="0" shrinkToFit="0" readingOrder="0"/>
    </dxf>
    <dxf>
      <alignment horizontal="center" vertical="bottom" textRotation="0" wrapText="0" indent="0" justifyLastLine="0" shrinkToFit="0" readingOrder="0"/>
    </dxf>
    <dxf>
      <numFmt numFmtId="188" formatCode="_-&quot;$&quot;\ * #,##0_-;\-&quot;$&quot;\ * #,##0_-;_-&quot;$&quot;\ * &quot;-&quot;??_-;_-@_-"/>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188" formatCode="_-&quot;$&quot;\ * #,##0_-;\-&quot;$&quot;\ * #,##0_-;_-&quot;$&quot;\ * &quot;-&quot;??_-;_-@_-"/>
      <border diagonalUp="0" diagonalDown="0">
        <left/>
        <right style="medium">
          <color indexed="64"/>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numFmt numFmtId="189" formatCode="&quot;$&quot;\ #,##0"/>
    </dxf>
    <dxf>
      <numFmt numFmtId="180" formatCode="0.00\ &quot;Galones&quot;"/>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border diagonalUp="0" diagonalDown="0">
        <left style="medium">
          <color indexed="64"/>
        </left>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numFmt numFmtId="190" formatCode="0.0"/>
    </dxf>
    <dxf>
      <numFmt numFmtId="189" formatCode="&quot;$&quot;\ #,##0"/>
    </dxf>
    <dxf>
      <font>
        <strike val="0"/>
        <outline val="0"/>
        <shadow val="0"/>
        <u val="none"/>
        <vertAlign val="baseline"/>
        <sz val="11"/>
        <color rgb="FFFF0000"/>
        <name val="Calibri"/>
        <family val="2"/>
        <scheme val="minor"/>
      </font>
    </dxf>
    <dxf>
      <border diagonalUp="0" diagonalDown="0">
        <left style="medium">
          <color indexed="64"/>
        </left>
        <right/>
        <top/>
        <bottom/>
        <vertical/>
        <horizontal/>
      </border>
    </dxf>
    <dxf>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border diagonalUp="0" diagonalDown="0">
        <left/>
        <right style="medium">
          <color indexed="64"/>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numFmt numFmtId="189" formatCode="&quot;$&quot;\ #,##0"/>
    </dxf>
    <dxf>
      <numFmt numFmtId="180" formatCode="0.00\ &quot;Galones&quot;"/>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border diagonalUp="0" diagonalDown="0">
        <left style="medium">
          <color indexed="64"/>
        </left>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numFmt numFmtId="190" formatCode="0.0"/>
    </dxf>
    <dxf>
      <numFmt numFmtId="189" formatCode="&quot;$&quot;\ #,##0"/>
    </dxf>
    <dxf>
      <font>
        <strike val="0"/>
        <outline val="0"/>
        <shadow val="0"/>
        <u val="none"/>
        <vertAlign val="baseline"/>
        <sz val="11"/>
        <color rgb="FFFF0000"/>
        <name val="Calibri"/>
        <family val="2"/>
        <scheme val="minor"/>
      </font>
    </dxf>
    <dxf>
      <border diagonalUp="0" diagonalDown="0">
        <left style="medium">
          <color indexed="64"/>
        </left>
        <right/>
        <top/>
        <bottom/>
        <vertical/>
        <horizontal/>
      </border>
    </dxf>
    <dxf>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border diagonalUp="0" diagonalDown="0">
        <left/>
        <right style="medium">
          <color indexed="64"/>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numFmt numFmtId="189" formatCode="&quot;$&quot;\ #,##0"/>
    </dxf>
    <dxf>
      <numFmt numFmtId="180" formatCode="0.00\ &quot;Galones&quot;"/>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border diagonalUp="0" diagonalDown="0">
        <left style="medium">
          <color indexed="64"/>
        </left>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numFmt numFmtId="190" formatCode="0.0"/>
    </dxf>
    <dxf>
      <numFmt numFmtId="189" formatCode="&quot;$&quot;\ #,##0"/>
    </dxf>
    <dxf>
      <font>
        <strike val="0"/>
        <outline val="0"/>
        <shadow val="0"/>
        <u val="none"/>
        <vertAlign val="baseline"/>
        <sz val="11"/>
        <color rgb="FFFF0000"/>
        <name val="Calibri"/>
        <family val="2"/>
        <scheme val="minor"/>
      </font>
    </dxf>
    <dxf>
      <border diagonalUp="0" diagonalDown="0">
        <left style="medium">
          <color indexed="64"/>
        </left>
        <right/>
        <top/>
        <bottom/>
        <vertical/>
        <horizontal/>
      </border>
    </dxf>
    <dxf>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border diagonalUp="0" diagonalDown="0">
        <left/>
        <right style="medium">
          <color indexed="64"/>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numFmt numFmtId="189" formatCode="&quot;$&quot;\ #,##0"/>
    </dxf>
    <dxf>
      <numFmt numFmtId="180" formatCode="0.00\ &quot;Galones&quot;"/>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border diagonalUp="0" diagonalDown="0">
        <left style="medium">
          <color indexed="64"/>
        </left>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numFmt numFmtId="190" formatCode="0.0"/>
    </dxf>
    <dxf>
      <numFmt numFmtId="189" formatCode="&quot;$&quot;\ #,##0"/>
    </dxf>
    <dxf>
      <font>
        <strike val="0"/>
        <outline val="0"/>
        <shadow val="0"/>
        <u val="none"/>
        <vertAlign val="baseline"/>
        <sz val="11"/>
        <color rgb="FFFF0000"/>
        <name val="Calibri"/>
        <family val="2"/>
        <scheme val="minor"/>
      </font>
    </dxf>
    <dxf>
      <border diagonalUp="0" diagonalDown="0">
        <left style="medium">
          <color indexed="64"/>
        </left>
        <right/>
        <top/>
        <bottom/>
        <vertical/>
        <horizontal/>
      </border>
    </dxf>
    <dxf>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border diagonalUp="0" diagonalDown="0">
        <left/>
        <right style="medium">
          <color indexed="64"/>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numFmt numFmtId="189" formatCode="&quot;$&quot;\ #,##0"/>
    </dxf>
    <dxf>
      <numFmt numFmtId="180" formatCode="0.00\ &quot;Galones&quot;"/>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border diagonalUp="0" diagonalDown="0">
        <left style="medium">
          <color indexed="64"/>
        </left>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numFmt numFmtId="190" formatCode="0.0"/>
    </dxf>
    <dxf>
      <numFmt numFmtId="189" formatCode="&quot;$&quot;\ #,##0"/>
    </dxf>
    <dxf>
      <font>
        <strike val="0"/>
        <outline val="0"/>
        <shadow val="0"/>
        <u val="none"/>
        <vertAlign val="baseline"/>
        <sz val="11"/>
        <color rgb="FFFF0000"/>
        <name val="Calibri"/>
        <family val="2"/>
        <scheme val="minor"/>
      </font>
    </dxf>
    <dxf>
      <border diagonalUp="0" diagonalDown="0">
        <left style="medium">
          <color indexed="64"/>
        </left>
        <right/>
        <top/>
        <bottom/>
        <vertical/>
        <horizontal/>
      </border>
    </dxf>
    <dxf>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border diagonalUp="0" diagonalDown="0">
        <left/>
        <right style="medium">
          <color indexed="64"/>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numFmt numFmtId="189" formatCode="&quot;$&quot;\ #,##0"/>
    </dxf>
    <dxf>
      <numFmt numFmtId="180" formatCode="0.00\ &quot;Galones&quot;"/>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border diagonalUp="0" diagonalDown="0">
        <left style="medium">
          <color indexed="64"/>
        </left>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numFmt numFmtId="190" formatCode="0.0"/>
    </dxf>
    <dxf>
      <numFmt numFmtId="189" formatCode="&quot;$&quot;\ #,##0"/>
    </dxf>
    <dxf>
      <font>
        <strike val="0"/>
        <outline val="0"/>
        <shadow val="0"/>
        <u val="none"/>
        <vertAlign val="baseline"/>
        <sz val="11"/>
        <color rgb="FFFF0000"/>
        <name val="Calibri"/>
        <family val="2"/>
        <scheme val="minor"/>
      </font>
    </dxf>
    <dxf>
      <border diagonalUp="0" diagonalDown="0">
        <left style="medium">
          <color indexed="64"/>
        </left>
        <right/>
        <top/>
        <bottom/>
        <vertical/>
        <horizontal/>
      </border>
    </dxf>
    <dxf>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border diagonalUp="0" diagonalDown="0">
        <left/>
        <right style="medium">
          <color indexed="64"/>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numFmt numFmtId="189" formatCode="&quot;$&quot;\ #,##0"/>
    </dxf>
    <dxf>
      <numFmt numFmtId="180" formatCode="0.00\ &quot;Galones&quot;"/>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border diagonalUp="0" diagonalDown="0">
        <left style="medium">
          <color indexed="64"/>
        </left>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numFmt numFmtId="190" formatCode="0.0"/>
    </dxf>
    <dxf>
      <numFmt numFmtId="189" formatCode="&quot;$&quot;\ #,##0"/>
    </dxf>
    <dxf>
      <font>
        <strike val="0"/>
        <outline val="0"/>
        <shadow val="0"/>
        <u val="none"/>
        <vertAlign val="baseline"/>
        <sz val="11"/>
        <color rgb="FFFF0000"/>
        <name val="Calibri"/>
        <family val="2"/>
        <scheme val="minor"/>
      </font>
    </dxf>
    <dxf>
      <border diagonalUp="0" diagonalDown="0">
        <left style="medium">
          <color indexed="64"/>
        </left>
        <right/>
        <top/>
        <bottom/>
        <vertical/>
        <horizontal/>
      </border>
    </dxf>
    <dxf>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border diagonalUp="0" diagonalDown="0">
        <left/>
        <right style="medium">
          <color indexed="64"/>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numFmt numFmtId="189" formatCode="&quot;$&quot;\ #,##0"/>
    </dxf>
    <dxf>
      <numFmt numFmtId="180" formatCode="0.00\ &quot;Galones&quot;"/>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border diagonalUp="0" diagonalDown="0">
        <left style="medium">
          <color indexed="64"/>
        </left>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numFmt numFmtId="190" formatCode="0.0"/>
    </dxf>
    <dxf>
      <numFmt numFmtId="189" formatCode="&quot;$&quot;\ #,##0"/>
    </dxf>
    <dxf>
      <font>
        <strike val="0"/>
        <outline val="0"/>
        <shadow val="0"/>
        <u val="none"/>
        <vertAlign val="baseline"/>
        <sz val="11"/>
        <color rgb="FFFF0000"/>
        <name val="Calibri"/>
        <family val="2"/>
        <scheme val="minor"/>
      </font>
    </dxf>
    <dxf>
      <border diagonalUp="0" diagonalDown="0">
        <left style="medium">
          <color indexed="64"/>
        </left>
        <right/>
        <top/>
        <bottom/>
        <vertical/>
        <horizontal/>
      </border>
    </dxf>
    <dxf>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border diagonalUp="0" diagonalDown="0">
        <left/>
        <right style="medium">
          <color indexed="64"/>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numFmt numFmtId="189" formatCode="&quot;$&quot;\ #,##0"/>
    </dxf>
    <dxf>
      <numFmt numFmtId="180" formatCode="0.00\ &quot;Galones&quot;"/>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border diagonalUp="0" diagonalDown="0">
        <left style="medium">
          <color indexed="64"/>
        </left>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numFmt numFmtId="190" formatCode="0.0"/>
    </dxf>
    <dxf>
      <numFmt numFmtId="189" formatCode="&quot;$&quot;\ #,##0"/>
    </dxf>
    <dxf>
      <font>
        <strike val="0"/>
        <outline val="0"/>
        <shadow val="0"/>
        <u val="none"/>
        <vertAlign val="baseline"/>
        <sz val="11"/>
        <color rgb="FFFF0000"/>
        <name val="Calibri"/>
        <family val="2"/>
        <scheme val="minor"/>
      </font>
    </dxf>
    <dxf>
      <border diagonalUp="0" diagonalDown="0">
        <left style="medium">
          <color indexed="64"/>
        </left>
        <right/>
        <top/>
        <bottom/>
        <vertical/>
        <horizontal/>
      </border>
    </dxf>
    <dxf>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border diagonalUp="0" diagonalDown="0">
        <left/>
        <right style="medium">
          <color indexed="64"/>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numFmt numFmtId="189" formatCode="&quot;$&quot;\ #,##0"/>
    </dxf>
    <dxf>
      <numFmt numFmtId="180" formatCode="0.00\ &quot;Galones&quot;"/>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border diagonalUp="0" diagonalDown="0">
        <left style="medium">
          <color indexed="64"/>
        </left>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numFmt numFmtId="190" formatCode="0.0"/>
    </dxf>
    <dxf>
      <numFmt numFmtId="189" formatCode="&quot;$&quot;\ #,##0"/>
    </dxf>
    <dxf>
      <font>
        <strike val="0"/>
        <outline val="0"/>
        <shadow val="0"/>
        <u val="none"/>
        <vertAlign val="baseline"/>
        <sz val="11"/>
        <color rgb="FFFF0000"/>
        <name val="Calibri"/>
        <family val="2"/>
        <scheme val="minor"/>
      </font>
    </dxf>
    <dxf>
      <border diagonalUp="0" diagonalDown="0">
        <left style="medium">
          <color indexed="64"/>
        </left>
        <right/>
        <top/>
        <bottom/>
        <vertical/>
        <horizontal/>
      </border>
    </dxf>
    <dxf>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border diagonalUp="0" diagonalDown="0">
        <left/>
        <right style="medium">
          <color indexed="64"/>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numFmt numFmtId="189" formatCode="&quot;$&quot;\ #,##0"/>
    </dxf>
    <dxf>
      <numFmt numFmtId="180" formatCode="0.00\ &quot;Galones&quot;"/>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border diagonalUp="0" diagonalDown="0">
        <left style="medium">
          <color indexed="64"/>
        </left>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numFmt numFmtId="190" formatCode="0.0"/>
    </dxf>
    <dxf>
      <numFmt numFmtId="189" formatCode="&quot;$&quot;\ #,##0"/>
    </dxf>
    <dxf>
      <font>
        <strike val="0"/>
        <outline val="0"/>
        <shadow val="0"/>
        <u val="none"/>
        <vertAlign val="baseline"/>
        <sz val="11"/>
        <color rgb="FFFF0000"/>
        <name val="Calibri"/>
        <family val="2"/>
        <scheme val="minor"/>
      </font>
    </dxf>
    <dxf>
      <border diagonalUp="0" diagonalDown="0">
        <left style="medium">
          <color indexed="64"/>
        </left>
        <right/>
        <top/>
        <bottom/>
        <vertical/>
        <horizontal/>
      </border>
    </dxf>
    <dxf>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border diagonalUp="0" diagonalDown="0">
        <left/>
        <right style="medium">
          <color indexed="64"/>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numFmt numFmtId="189" formatCode="&quot;$&quot;\ #,##0"/>
    </dxf>
    <dxf>
      <numFmt numFmtId="180" formatCode="0.00\ &quot;Galones&quot;"/>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border diagonalUp="0" diagonalDown="0">
        <left style="medium">
          <color indexed="64"/>
        </left>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numFmt numFmtId="190" formatCode="0.0"/>
    </dxf>
    <dxf>
      <numFmt numFmtId="189" formatCode="&quot;$&quot;\ #,##0"/>
    </dxf>
    <dxf>
      <font>
        <strike val="0"/>
        <outline val="0"/>
        <shadow val="0"/>
        <u val="none"/>
        <vertAlign val="baseline"/>
        <sz val="11"/>
        <color rgb="FFFF0000"/>
        <name val="Calibri"/>
        <family val="2"/>
        <scheme val="minor"/>
      </font>
    </dxf>
    <dxf>
      <border diagonalUp="0" diagonalDown="0">
        <left style="medium">
          <color indexed="64"/>
        </left>
        <right/>
        <top/>
        <bottom/>
        <vertical/>
        <horizontal/>
      </border>
    </dxf>
    <dxf>
      <numFmt numFmtId="0" formatCode="Genera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188" formatCode="_-&quot;$&quot;\ * #,##0_-;\-&quot;$&quot;\ * #,##0_-;_-&quot;$&quot;\ * &quot;-&quot;??_-;_-@_-"/>
      <border diagonalUp="0" diagonalDown="0">
        <left/>
        <right style="medium">
          <color indexed="64"/>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numFmt numFmtId="189" formatCode="&quot;$&quot;\ #,##0"/>
    </dxf>
    <dxf>
      <numFmt numFmtId="180" formatCode="0.00\ &quot;Galones&quot;"/>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border diagonalUp="0" diagonalDown="0">
        <left style="medium">
          <color indexed="64"/>
        </left>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numFmt numFmtId="190" formatCode="0.0"/>
    </dxf>
    <dxf>
      <numFmt numFmtId="189" formatCode="&quot;$&quot;\ #,##0"/>
    </dxf>
    <dxf>
      <font>
        <strike val="0"/>
        <outline val="0"/>
        <shadow val="0"/>
        <u val="none"/>
        <vertAlign val="baseline"/>
        <sz val="11"/>
        <color rgb="FFFF0000"/>
        <name val="Calibri"/>
        <family val="2"/>
        <scheme val="minor"/>
      </font>
    </dxf>
    <dxf>
      <border diagonalUp="0" diagonalDown="0">
        <left style="medium">
          <color indexed="64"/>
        </left>
        <right/>
        <top/>
        <bottom/>
        <vertical/>
        <horizontal/>
      </border>
    </dxf>
    <dxf>
      <numFmt numFmtId="0" formatCode="Genera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188" formatCode="_-&quot;$&quot;\ * #,##0_-;\-&quot;$&quot;\ * #,##0_-;_-&quot;$&quot;\ * &quot;-&quot;??_-;_-@_-"/>
      <border diagonalUp="0" diagonalDown="0">
        <left/>
        <right style="medium">
          <color indexed="64"/>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numFmt numFmtId="189" formatCode="&quot;$&quot;\ #,##0"/>
    </dxf>
    <dxf>
      <numFmt numFmtId="180" formatCode="0.00\ &quot;Galones&quot;"/>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border diagonalUp="0" diagonalDown="0">
        <left style="medium">
          <color indexed="64"/>
        </left>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numFmt numFmtId="190" formatCode="0.0"/>
    </dxf>
    <dxf>
      <numFmt numFmtId="189" formatCode="&quot;$&quot;\ #,##0"/>
    </dxf>
    <dxf>
      <font>
        <strike val="0"/>
        <outline val="0"/>
        <shadow val="0"/>
        <u val="none"/>
        <vertAlign val="baseline"/>
        <sz val="11"/>
        <color rgb="FFFF0000"/>
        <name val="Calibri"/>
        <family val="2"/>
        <scheme val="minor"/>
      </font>
    </dxf>
    <dxf>
      <border diagonalUp="0" diagonalDown="0">
        <left style="medium">
          <color indexed="64"/>
        </left>
        <right/>
        <top/>
        <bottom/>
        <vertical/>
        <horizontal/>
      </border>
    </dxf>
    <dxf>
      <numFmt numFmtId="0" formatCode="Genera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188" formatCode="_-&quot;$&quot;\ * #,##0_-;\-&quot;$&quot;\ * #,##0_-;_-&quot;$&quot;\ * &quot;-&quot;??_-;_-@_-"/>
      <border diagonalUp="0" diagonalDown="0">
        <left/>
        <right style="medium">
          <color indexed="64"/>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numFmt numFmtId="189" formatCode="&quot;$&quot;\ #,##0"/>
    </dxf>
    <dxf>
      <numFmt numFmtId="180" formatCode="0.00\ &quot;Galones&quot;"/>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border diagonalUp="0" diagonalDown="0">
        <left style="medium">
          <color indexed="64"/>
        </left>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numFmt numFmtId="190" formatCode="0.0"/>
    </dxf>
    <dxf>
      <numFmt numFmtId="189" formatCode="&quot;$&quot;\ #,##0"/>
    </dxf>
    <dxf>
      <font>
        <strike val="0"/>
        <outline val="0"/>
        <shadow val="0"/>
        <u val="none"/>
        <vertAlign val="baseline"/>
        <sz val="11"/>
        <color rgb="FFFF0000"/>
        <name val="Calibri"/>
        <family val="2"/>
        <scheme val="minor"/>
      </font>
    </dxf>
    <dxf>
      <border diagonalUp="0" diagonalDown="0">
        <left style="medium">
          <color indexed="64"/>
        </left>
        <right/>
        <top/>
        <bottom/>
        <vertical/>
        <horizontal/>
      </border>
    </dxf>
    <dxf>
      <numFmt numFmtId="0" formatCode="General"/>
      <border diagonalUp="0" diagonalDown="0">
        <left/>
        <right style="medium">
          <color indexed="64"/>
        </right>
        <top/>
        <bottom/>
        <vertical/>
        <horizontal/>
      </border>
    </dxf>
    <dxf>
      <font>
        <b val="0"/>
        <i val="0"/>
        <strike val="0"/>
        <condense val="0"/>
        <extend val="0"/>
        <outline val="0"/>
        <shadow val="0"/>
        <u val="none"/>
        <vertAlign val="baseline"/>
        <sz val="11"/>
        <color theme="1"/>
        <name val="Calibri"/>
        <family val="2"/>
        <scheme val="minor"/>
      </font>
    </dxf>
    <dxf>
      <border diagonalUp="0" diagonalDown="0">
        <left style="medium">
          <color indexed="64"/>
        </left>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border diagonalUp="0" diagonalDown="0">
        <left/>
        <right style="medium">
          <color indexed="64"/>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numFmt numFmtId="189" formatCode="&quot;$&quot;\ #,##0"/>
    </dxf>
    <dxf>
      <numFmt numFmtId="180" formatCode="0.00\ &quot;Galones&quot;"/>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border diagonalUp="0" diagonalDown="0">
        <left style="medium">
          <color indexed="64"/>
        </left>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numFmt numFmtId="190" formatCode="0.0"/>
    </dxf>
    <dxf>
      <numFmt numFmtId="189" formatCode="&quot;$&quot;\ #,##0"/>
    </dxf>
    <dxf>
      <font>
        <strike val="0"/>
        <outline val="0"/>
        <shadow val="0"/>
        <u val="none"/>
        <vertAlign val="baseline"/>
        <sz val="11"/>
        <color rgb="FFFF0000"/>
        <name val="Calibri"/>
        <family val="2"/>
        <scheme val="minor"/>
      </font>
    </dxf>
    <dxf>
      <border diagonalUp="0" diagonalDown="0">
        <left style="medium">
          <color indexed="64"/>
        </left>
        <right/>
        <top/>
        <bottom/>
        <vertical/>
        <horizontal/>
      </border>
    </dxf>
    <dxf>
      <numFmt numFmtId="0" formatCode="General"/>
      <border diagonalUp="0" diagonalDown="0">
        <left/>
        <right style="medium">
          <color indexed="64"/>
        </right>
        <top/>
        <bottom/>
        <vertical/>
        <horizontal/>
      </border>
    </dxf>
    <dxf>
      <font>
        <b val="0"/>
        <i val="0"/>
        <strike val="0"/>
        <condense val="0"/>
        <extend val="0"/>
        <outline val="0"/>
        <shadow val="0"/>
        <u val="none"/>
        <vertAlign val="baseline"/>
        <sz val="11"/>
        <color theme="1"/>
        <name val="Calibri"/>
        <family val="2"/>
        <scheme val="minor"/>
      </font>
    </dxf>
    <dxf>
      <border diagonalUp="0" diagonalDown="0">
        <left style="medium">
          <color indexed="64"/>
        </left>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border diagonalUp="0" diagonalDown="0">
        <left/>
        <right style="medium">
          <color indexed="64"/>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numFmt numFmtId="189" formatCode="&quot;$&quot;\ #,##0"/>
    </dxf>
    <dxf>
      <numFmt numFmtId="180" formatCode="0.00\ &quot;Galones&quot;"/>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border diagonalUp="0" diagonalDown="0">
        <left style="medium">
          <color indexed="64"/>
        </left>
        <right/>
        <top/>
        <bottom/>
        <vertical/>
        <horizontal/>
      </border>
    </dxf>
    <dxf>
      <numFmt numFmtId="178" formatCode="&quot;$&quot;\ #,##0.00"/>
    </dxf>
    <dxf>
      <font>
        <strike val="0"/>
        <outline val="0"/>
        <shadow val="0"/>
        <u val="none"/>
        <vertAlign val="baseline"/>
        <sz val="11"/>
        <color rgb="FFFF0000"/>
        <name val="Calibri"/>
        <family val="2"/>
        <scheme val="minor"/>
      </font>
    </dxf>
    <dxf>
      <border diagonalUp="0" diagonalDown="0">
        <left style="medium">
          <color indexed="64"/>
        </left>
        <right/>
        <top/>
        <bottom/>
        <vertical/>
        <horizontal/>
      </border>
    </dxf>
    <dxf>
      <numFmt numFmtId="0" formatCode="General"/>
    </dxf>
    <dxf>
      <numFmt numFmtId="188" formatCode="_-&quot;$&quot;\ * #,##0_-;\-&quot;$&quot;\ * #,##0_-;_-&quot;$&quot;\ * &quot;-&quot;??_-;_-@_-"/>
    </dxf>
    <dxf>
      <numFmt numFmtId="188" formatCode="_-&quot;$&quot;\ * #,##0_-;\-&quot;$&quot;\ * #,##0_-;_-&quot;$&quot;\ * &quot;-&quot;??_-;_-@_-"/>
    </dxf>
    <dxf>
      <font>
        <strike val="0"/>
        <outline val="0"/>
        <shadow val="0"/>
        <u val="none"/>
        <vertAlign val="baseline"/>
        <sz val="11"/>
        <color rgb="FFFF0000"/>
        <name val="Calibri"/>
        <family val="2"/>
        <scheme val="minor"/>
      </font>
    </dxf>
    <dxf>
      <numFmt numFmtId="189" formatCode="&quot;$&quot;\ #,##0"/>
    </dxf>
    <dxf>
      <numFmt numFmtId="188" formatCode="_-&quot;$&quot;\ * #,##0_-;\-&quot;$&quot;\ * #,##0_-;_-&quot;$&quot;\ * &quot;-&quot;??_-;_-@_-"/>
    </dxf>
    <dxf>
      <numFmt numFmtId="188" formatCode="_-&quot;$&quot;\ * #,##0_-;\-&quot;$&quot;\ * #,##0_-;_-&quot;$&quot;\ * &quot;-&quot;??_-;_-@_-"/>
    </dxf>
    <dxf>
      <numFmt numFmtId="188" formatCode="_-&quot;$&quot;\ * #,##0_-;\-&quot;$&quot;\ * #,##0_-;_-&quot;$&quot;\ * &quot;-&quot;??_-;_-@_-"/>
    </dxf>
    <dxf>
      <numFmt numFmtId="189" formatCode="&quot;$&quot;\ #,##0"/>
    </dxf>
    <dxf>
      <font>
        <strike val="0"/>
        <outline val="0"/>
        <shadow val="0"/>
        <u val="none"/>
        <vertAlign val="baseline"/>
        <sz val="11"/>
        <color rgb="FFFF0000"/>
        <name val="Calibri"/>
        <family val="2"/>
        <scheme val="minor"/>
      </font>
    </dxf>
    <dxf>
      <numFmt numFmtId="178" formatCode="&quot;$&quot;\ #,##0.00"/>
    </dxf>
    <dxf>
      <numFmt numFmtId="14" formatCode="0.00%"/>
      <alignment horizontal="center" vertical="center" textRotation="0" wrapText="0" indent="0" justifyLastLine="0" shrinkToFit="0" readingOrder="0"/>
    </dxf>
    <dxf>
      <numFmt numFmtId="181" formatCode="0.00\ &quot;MESES&quot;"/>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numFmt numFmtId="0" formatCode="General"/>
    </dxf>
    <dxf>
      <numFmt numFmtId="178" formatCode="&quot;$&quot;\ #,##0.00"/>
    </dxf>
    <dxf>
      <numFmt numFmtId="14" formatCode="0.00%"/>
    </dxf>
    <dxf>
      <numFmt numFmtId="178" formatCode="&quot;$&quot;\ #,##0.00"/>
    </dxf>
    <dxf>
      <numFmt numFmtId="178" formatCode="&quot;$&quot;\ #,##0.00"/>
    </dxf>
    <dxf>
      <numFmt numFmtId="178" formatCode="&quot;$&quot;\ #,##0.00"/>
    </dxf>
    <dxf>
      <numFmt numFmtId="178" formatCode="&quot;$&quot;\ #,##0.00"/>
    </dxf>
    <dxf>
      <numFmt numFmtId="178" formatCode="&quot;$&quot;\ #,##0.00"/>
    </dxf>
    <dxf>
      <numFmt numFmtId="178" formatCode="&quot;$&quot;\ #,##0.00"/>
    </dxf>
    <dxf>
      <numFmt numFmtId="178" formatCode="&quot;$&quot;\ #,##0.00"/>
    </dxf>
    <dxf>
      <numFmt numFmtId="178" formatCode="&quot;$&quot;\ #,##0.00"/>
    </dxf>
    <dxf>
      <numFmt numFmtId="178" formatCode="&quot;$&quot;\ #,##0.00"/>
    </dxf>
    <dxf>
      <alignment horizontal="center" vertical="bottom" textRotation="0" wrapText="0" indent="0" justifyLastLine="0" shrinkToFit="0" readingOrder="0"/>
    </dxf>
    <dxf>
      <alignment horizontal="center" vertical="bottom" textRotation="0" wrapText="0" indent="0" justifyLastLine="0" shrinkToFit="0" readingOrder="0"/>
    </dxf>
    <dxf>
      <numFmt numFmtId="188" formatCode="_-&quot;$&quot;\ * #,##0_-;\-&quot;$&quot;\ * #,##0_-;_-&quot;$&quot;\ * &quot;-&quot;??_-;_-@_-"/>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188" formatCode="_-&quot;$&quot;\ * #,##0_-;\-&quot;$&quot;\ * #,##0_-;_-&quot;$&quot;\ * &quot;-&quot;??_-;_-@_-"/>
      <border diagonalUp="0" diagonalDown="0">
        <left/>
        <right style="medium">
          <color indexed="64"/>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numFmt numFmtId="189" formatCode="&quot;$&quot;\ #,##0"/>
    </dxf>
    <dxf>
      <numFmt numFmtId="180" formatCode="0.00\ &quot;Galones&quot;"/>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border diagonalUp="0" diagonalDown="0">
        <left style="medium">
          <color indexed="64"/>
        </left>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numFmt numFmtId="190" formatCode="0.0"/>
    </dxf>
    <dxf>
      <numFmt numFmtId="189" formatCode="&quot;$&quot;\ #,##0"/>
    </dxf>
    <dxf>
      <font>
        <strike val="0"/>
        <outline val="0"/>
        <shadow val="0"/>
        <u val="none"/>
        <vertAlign val="baseline"/>
        <sz val="11"/>
        <color rgb="FFFF0000"/>
        <name val="Calibri"/>
        <family val="2"/>
        <scheme val="minor"/>
      </font>
    </dxf>
    <dxf>
      <border diagonalUp="0" diagonalDown="0">
        <left style="medium">
          <color indexed="64"/>
        </left>
        <right/>
        <top/>
        <bottom/>
        <vertical/>
        <horizontal/>
      </border>
    </dxf>
    <dxf>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border diagonalUp="0" diagonalDown="0">
        <left/>
        <right style="medium">
          <color indexed="64"/>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numFmt numFmtId="189" formatCode="&quot;$&quot;\ #,##0"/>
    </dxf>
    <dxf>
      <numFmt numFmtId="180" formatCode="0.00\ &quot;Galones&quot;"/>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border diagonalUp="0" diagonalDown="0">
        <left style="medium">
          <color indexed="64"/>
        </left>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numFmt numFmtId="190" formatCode="0.0"/>
    </dxf>
    <dxf>
      <numFmt numFmtId="189" formatCode="&quot;$&quot;\ #,##0"/>
    </dxf>
    <dxf>
      <font>
        <strike val="0"/>
        <outline val="0"/>
        <shadow val="0"/>
        <u val="none"/>
        <vertAlign val="baseline"/>
        <sz val="11"/>
        <color rgb="FFFF0000"/>
        <name val="Calibri"/>
        <family val="2"/>
        <scheme val="minor"/>
      </font>
    </dxf>
    <dxf>
      <border diagonalUp="0" diagonalDown="0">
        <left style="medium">
          <color indexed="64"/>
        </left>
        <right/>
        <top/>
        <bottom/>
        <vertical/>
        <horizontal/>
      </border>
    </dxf>
    <dxf>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border diagonalUp="0" diagonalDown="0">
        <left/>
        <right style="medium">
          <color indexed="64"/>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numFmt numFmtId="189" formatCode="&quot;$&quot;\ #,##0"/>
    </dxf>
    <dxf>
      <numFmt numFmtId="180" formatCode="0.00\ &quot;Galones&quot;"/>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border diagonalUp="0" diagonalDown="0">
        <left style="medium">
          <color indexed="64"/>
        </left>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numFmt numFmtId="190" formatCode="0.0"/>
    </dxf>
    <dxf>
      <numFmt numFmtId="189" formatCode="&quot;$&quot;\ #,##0"/>
    </dxf>
    <dxf>
      <font>
        <strike val="0"/>
        <outline val="0"/>
        <shadow val="0"/>
        <u val="none"/>
        <vertAlign val="baseline"/>
        <sz val="11"/>
        <color rgb="FFFF0000"/>
        <name val="Calibri"/>
        <family val="2"/>
        <scheme val="minor"/>
      </font>
    </dxf>
    <dxf>
      <border diagonalUp="0" diagonalDown="0">
        <left style="medium">
          <color indexed="64"/>
        </left>
        <right/>
        <top/>
        <bottom/>
        <vertical/>
        <horizontal/>
      </border>
    </dxf>
    <dxf>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border diagonalUp="0" diagonalDown="0">
        <left/>
        <right style="medium">
          <color indexed="64"/>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numFmt numFmtId="189" formatCode="&quot;$&quot;\ #,##0"/>
    </dxf>
    <dxf>
      <numFmt numFmtId="180" formatCode="0.00\ &quot;Galones&quot;"/>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border diagonalUp="0" diagonalDown="0">
        <left style="medium">
          <color indexed="64"/>
        </left>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numFmt numFmtId="190" formatCode="0.0"/>
    </dxf>
    <dxf>
      <numFmt numFmtId="189" formatCode="&quot;$&quot;\ #,##0"/>
    </dxf>
    <dxf>
      <font>
        <strike val="0"/>
        <outline val="0"/>
        <shadow val="0"/>
        <u val="none"/>
        <vertAlign val="baseline"/>
        <sz val="11"/>
        <color rgb="FFFF0000"/>
        <name val="Calibri"/>
        <family val="2"/>
        <scheme val="minor"/>
      </font>
    </dxf>
    <dxf>
      <border diagonalUp="0" diagonalDown="0">
        <left style="medium">
          <color indexed="64"/>
        </left>
        <right/>
        <top/>
        <bottom/>
        <vertical/>
        <horizontal/>
      </border>
    </dxf>
    <dxf>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border diagonalUp="0" diagonalDown="0">
        <left/>
        <right style="medium">
          <color indexed="64"/>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numFmt numFmtId="189" formatCode="&quot;$&quot;\ #,##0"/>
    </dxf>
    <dxf>
      <numFmt numFmtId="180" formatCode="0.00\ &quot;Galones&quot;"/>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border diagonalUp="0" diagonalDown="0">
        <left style="medium">
          <color indexed="64"/>
        </left>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numFmt numFmtId="190" formatCode="0.0"/>
    </dxf>
    <dxf>
      <numFmt numFmtId="189" formatCode="&quot;$&quot;\ #,##0"/>
    </dxf>
    <dxf>
      <font>
        <strike val="0"/>
        <outline val="0"/>
        <shadow val="0"/>
        <u val="none"/>
        <vertAlign val="baseline"/>
        <sz val="11"/>
        <color rgb="FFFF0000"/>
        <name val="Calibri"/>
        <family val="2"/>
        <scheme val="minor"/>
      </font>
    </dxf>
    <dxf>
      <border diagonalUp="0" diagonalDown="0">
        <left style="medium">
          <color indexed="64"/>
        </left>
        <right/>
        <top/>
        <bottom/>
        <vertical/>
        <horizontal/>
      </border>
    </dxf>
    <dxf>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border diagonalUp="0" diagonalDown="0">
        <left/>
        <right style="medium">
          <color indexed="64"/>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numFmt numFmtId="189" formatCode="&quot;$&quot;\ #,##0"/>
    </dxf>
    <dxf>
      <numFmt numFmtId="180" formatCode="0.00\ &quot;Galones&quot;"/>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border diagonalUp="0" diagonalDown="0">
        <left style="medium">
          <color indexed="64"/>
        </left>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numFmt numFmtId="190" formatCode="0.0"/>
    </dxf>
    <dxf>
      <numFmt numFmtId="189" formatCode="&quot;$&quot;\ #,##0"/>
    </dxf>
    <dxf>
      <font>
        <strike val="0"/>
        <outline val="0"/>
        <shadow val="0"/>
        <u val="none"/>
        <vertAlign val="baseline"/>
        <sz val="11"/>
        <color rgb="FFFF0000"/>
        <name val="Calibri"/>
        <family val="2"/>
        <scheme val="minor"/>
      </font>
    </dxf>
    <dxf>
      <border diagonalUp="0" diagonalDown="0">
        <left style="medium">
          <color indexed="64"/>
        </left>
        <right/>
        <top/>
        <bottom/>
        <vertical/>
        <horizontal/>
      </border>
    </dxf>
    <dxf>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border diagonalUp="0" diagonalDown="0">
        <left/>
        <right style="medium">
          <color indexed="64"/>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numFmt numFmtId="189" formatCode="&quot;$&quot;\ #,##0"/>
    </dxf>
    <dxf>
      <numFmt numFmtId="180" formatCode="0.00\ &quot;Galones&quot;"/>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border diagonalUp="0" diagonalDown="0">
        <left style="medium">
          <color indexed="64"/>
        </left>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numFmt numFmtId="190" formatCode="0.0"/>
    </dxf>
    <dxf>
      <numFmt numFmtId="189" formatCode="&quot;$&quot;\ #,##0"/>
    </dxf>
    <dxf>
      <font>
        <strike val="0"/>
        <outline val="0"/>
        <shadow val="0"/>
        <u val="none"/>
        <vertAlign val="baseline"/>
        <sz val="11"/>
        <color rgb="FFFF0000"/>
        <name val="Calibri"/>
        <family val="2"/>
        <scheme val="minor"/>
      </font>
    </dxf>
    <dxf>
      <border diagonalUp="0" diagonalDown="0">
        <left style="medium">
          <color indexed="64"/>
        </left>
        <right/>
        <top/>
        <bottom/>
        <vertical/>
        <horizontal/>
      </border>
    </dxf>
    <dxf>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border diagonalUp="0" diagonalDown="0">
        <left/>
        <right style="medium">
          <color indexed="64"/>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numFmt numFmtId="189" formatCode="&quot;$&quot;\ #,##0"/>
    </dxf>
    <dxf>
      <numFmt numFmtId="180" formatCode="0.00\ &quot;Galones&quot;"/>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border diagonalUp="0" diagonalDown="0">
        <left style="medium">
          <color indexed="64"/>
        </left>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numFmt numFmtId="190" formatCode="0.0"/>
    </dxf>
    <dxf>
      <numFmt numFmtId="189" formatCode="&quot;$&quot;\ #,##0"/>
    </dxf>
    <dxf>
      <font>
        <strike val="0"/>
        <outline val="0"/>
        <shadow val="0"/>
        <u val="none"/>
        <vertAlign val="baseline"/>
        <sz val="11"/>
        <color rgb="FFFF0000"/>
        <name val="Calibri"/>
        <family val="2"/>
        <scheme val="minor"/>
      </font>
    </dxf>
    <dxf>
      <border diagonalUp="0" diagonalDown="0">
        <left style="medium">
          <color indexed="64"/>
        </left>
        <right/>
        <top/>
        <bottom/>
        <vertical/>
        <horizontal/>
      </border>
    </dxf>
    <dxf>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border diagonalUp="0" diagonalDown="0">
        <left/>
        <right style="medium">
          <color indexed="64"/>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numFmt numFmtId="189" formatCode="&quot;$&quot;\ #,##0"/>
    </dxf>
    <dxf>
      <numFmt numFmtId="180" formatCode="0.00\ &quot;Galones&quot;"/>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border diagonalUp="0" diagonalDown="0">
        <left style="medium">
          <color indexed="64"/>
        </left>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numFmt numFmtId="190" formatCode="0.0"/>
    </dxf>
    <dxf>
      <numFmt numFmtId="189" formatCode="&quot;$&quot;\ #,##0"/>
    </dxf>
    <dxf>
      <font>
        <strike val="0"/>
        <outline val="0"/>
        <shadow val="0"/>
        <u val="none"/>
        <vertAlign val="baseline"/>
        <sz val="11"/>
        <color rgb="FFFF0000"/>
        <name val="Calibri"/>
        <family val="2"/>
        <scheme val="minor"/>
      </font>
    </dxf>
    <dxf>
      <border diagonalUp="0" diagonalDown="0">
        <left style="medium">
          <color indexed="64"/>
        </left>
        <right/>
        <top/>
        <bottom/>
        <vertical/>
        <horizontal/>
      </border>
    </dxf>
    <dxf>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border diagonalUp="0" diagonalDown="0">
        <left/>
        <right style="medium">
          <color indexed="64"/>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numFmt numFmtId="189" formatCode="&quot;$&quot;\ #,##0"/>
    </dxf>
    <dxf>
      <numFmt numFmtId="180" formatCode="0.00\ &quot;Galones&quot;"/>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border diagonalUp="0" diagonalDown="0">
        <left style="medium">
          <color indexed="64"/>
        </left>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numFmt numFmtId="190" formatCode="0.0"/>
    </dxf>
    <dxf>
      <numFmt numFmtId="189" formatCode="&quot;$&quot;\ #,##0"/>
    </dxf>
    <dxf>
      <font>
        <strike val="0"/>
        <outline val="0"/>
        <shadow val="0"/>
        <u val="none"/>
        <vertAlign val="baseline"/>
        <sz val="11"/>
        <color rgb="FFFF0000"/>
        <name val="Calibri"/>
        <family val="2"/>
        <scheme val="minor"/>
      </font>
    </dxf>
    <dxf>
      <border diagonalUp="0" diagonalDown="0">
        <left style="medium">
          <color indexed="64"/>
        </left>
        <right/>
        <top/>
        <bottom/>
        <vertical/>
        <horizontal/>
      </border>
    </dxf>
    <dxf>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border diagonalUp="0" diagonalDown="0">
        <left/>
        <right style="medium">
          <color indexed="64"/>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numFmt numFmtId="189" formatCode="&quot;$&quot;\ #,##0"/>
    </dxf>
    <dxf>
      <numFmt numFmtId="180" formatCode="0.00\ &quot;Galones&quot;"/>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border diagonalUp="0" diagonalDown="0">
        <left style="medium">
          <color indexed="64"/>
        </left>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numFmt numFmtId="190" formatCode="0.0"/>
    </dxf>
    <dxf>
      <numFmt numFmtId="189" formatCode="&quot;$&quot;\ #,##0"/>
    </dxf>
    <dxf>
      <font>
        <strike val="0"/>
        <outline val="0"/>
        <shadow val="0"/>
        <u val="none"/>
        <vertAlign val="baseline"/>
        <sz val="11"/>
        <color rgb="FFFF0000"/>
        <name val="Calibri"/>
        <family val="2"/>
        <scheme val="minor"/>
      </font>
    </dxf>
    <dxf>
      <border diagonalUp="0" diagonalDown="0">
        <left style="medium">
          <color indexed="64"/>
        </left>
        <right/>
        <top/>
        <bottom/>
        <vertical/>
        <horizontal/>
      </border>
    </dxf>
    <dxf>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border diagonalUp="0" diagonalDown="0">
        <left/>
        <right style="medium">
          <color indexed="64"/>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numFmt numFmtId="189" formatCode="&quot;$&quot;\ #,##0"/>
    </dxf>
    <dxf>
      <numFmt numFmtId="180" formatCode="0.00\ &quot;Galones&quot;"/>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border diagonalUp="0" diagonalDown="0">
        <left style="medium">
          <color indexed="64"/>
        </left>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numFmt numFmtId="190" formatCode="0.0"/>
    </dxf>
    <dxf>
      <numFmt numFmtId="189" formatCode="&quot;$&quot;\ #,##0"/>
    </dxf>
    <dxf>
      <font>
        <strike val="0"/>
        <outline val="0"/>
        <shadow val="0"/>
        <u val="none"/>
        <vertAlign val="baseline"/>
        <sz val="11"/>
        <color rgb="FFFF0000"/>
        <name val="Calibri"/>
        <family val="2"/>
        <scheme val="minor"/>
      </font>
    </dxf>
    <dxf>
      <border diagonalUp="0" diagonalDown="0">
        <left style="medium">
          <color indexed="64"/>
        </left>
        <right/>
        <top/>
        <bottom/>
        <vertical/>
        <horizontal/>
      </border>
    </dxf>
    <dxf>
      <numFmt numFmtId="0" formatCode="Genera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188" formatCode="_-&quot;$&quot;\ * #,##0_-;\-&quot;$&quot;\ * #,##0_-;_-&quot;$&quot;\ * &quot;-&quot;??_-;_-@_-"/>
      <border diagonalUp="0" diagonalDown="0">
        <left/>
        <right style="medium">
          <color indexed="64"/>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numFmt numFmtId="189" formatCode="&quot;$&quot;\ #,##0"/>
    </dxf>
    <dxf>
      <numFmt numFmtId="180" formatCode="0.00\ &quot;Galones&quot;"/>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border diagonalUp="0" diagonalDown="0">
        <left style="medium">
          <color indexed="64"/>
        </left>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numFmt numFmtId="190" formatCode="0.0"/>
    </dxf>
    <dxf>
      <numFmt numFmtId="189" formatCode="&quot;$&quot;\ #,##0"/>
    </dxf>
    <dxf>
      <font>
        <strike val="0"/>
        <outline val="0"/>
        <shadow val="0"/>
        <u val="none"/>
        <vertAlign val="baseline"/>
        <sz val="11"/>
        <color rgb="FFFF0000"/>
        <name val="Calibri"/>
        <family val="2"/>
        <scheme val="minor"/>
      </font>
    </dxf>
    <dxf>
      <border diagonalUp="0" diagonalDown="0">
        <left style="medium">
          <color indexed="64"/>
        </left>
        <right/>
        <top/>
        <bottom/>
        <vertical/>
        <horizontal/>
      </border>
    </dxf>
    <dxf>
      <numFmt numFmtId="0" formatCode="Genera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188" formatCode="_-&quot;$&quot;\ * #,##0_-;\-&quot;$&quot;\ * #,##0_-;_-&quot;$&quot;\ * &quot;-&quot;??_-;_-@_-"/>
      <border diagonalUp="0" diagonalDown="0">
        <left/>
        <right style="medium">
          <color indexed="64"/>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numFmt numFmtId="189" formatCode="&quot;$&quot;\ #,##0"/>
    </dxf>
    <dxf>
      <numFmt numFmtId="180" formatCode="0.00\ &quot;Galones&quot;"/>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border diagonalUp="0" diagonalDown="0">
        <left style="medium">
          <color indexed="64"/>
        </left>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numFmt numFmtId="190" formatCode="0.0"/>
    </dxf>
    <dxf>
      <numFmt numFmtId="189" formatCode="&quot;$&quot;\ #,##0"/>
    </dxf>
    <dxf>
      <font>
        <strike val="0"/>
        <outline val="0"/>
        <shadow val="0"/>
        <u val="none"/>
        <vertAlign val="baseline"/>
        <sz val="11"/>
        <color rgb="FFFF0000"/>
        <name val="Calibri"/>
        <family val="2"/>
        <scheme val="minor"/>
      </font>
    </dxf>
    <dxf>
      <border diagonalUp="0" diagonalDown="0">
        <left style="medium">
          <color indexed="64"/>
        </left>
        <right/>
        <top/>
        <bottom/>
        <vertical/>
        <horizontal/>
      </border>
    </dxf>
    <dxf>
      <numFmt numFmtId="0" formatCode="Genera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188" formatCode="_-&quot;$&quot;\ * #,##0_-;\-&quot;$&quot;\ * #,##0_-;_-&quot;$&quot;\ * &quot;-&quot;??_-;_-@_-"/>
      <border diagonalUp="0" diagonalDown="0">
        <left/>
        <right style="medium">
          <color indexed="64"/>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numFmt numFmtId="189" formatCode="&quot;$&quot;\ #,##0"/>
    </dxf>
    <dxf>
      <numFmt numFmtId="180" formatCode="0.00\ &quot;Galones&quot;"/>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border diagonalUp="0" diagonalDown="0">
        <left style="medium">
          <color indexed="64"/>
        </left>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numFmt numFmtId="190" formatCode="0.0"/>
    </dxf>
    <dxf>
      <numFmt numFmtId="189" formatCode="&quot;$&quot;\ #,##0"/>
    </dxf>
    <dxf>
      <font>
        <strike val="0"/>
        <outline val="0"/>
        <shadow val="0"/>
        <u val="none"/>
        <vertAlign val="baseline"/>
        <sz val="11"/>
        <color rgb="FFFF0000"/>
        <name val="Calibri"/>
        <family val="2"/>
        <scheme val="minor"/>
      </font>
    </dxf>
    <dxf>
      <border diagonalUp="0" diagonalDown="0">
        <left style="medium">
          <color indexed="64"/>
        </left>
        <right/>
        <top/>
        <bottom/>
        <vertical/>
        <horizontal/>
      </border>
    </dxf>
    <dxf>
      <numFmt numFmtId="0" formatCode="General"/>
      <border diagonalUp="0" diagonalDown="0">
        <left/>
        <right style="medium">
          <color indexed="64"/>
        </right>
        <top/>
        <bottom/>
        <vertical/>
        <horizontal/>
      </border>
    </dxf>
    <dxf>
      <font>
        <b val="0"/>
        <i val="0"/>
        <strike val="0"/>
        <condense val="0"/>
        <extend val="0"/>
        <outline val="0"/>
        <shadow val="0"/>
        <u val="none"/>
        <vertAlign val="baseline"/>
        <sz val="11"/>
        <color theme="1"/>
        <name val="Calibri"/>
        <family val="2"/>
        <scheme val="minor"/>
      </font>
    </dxf>
    <dxf>
      <border diagonalUp="0" diagonalDown="0">
        <left style="medium">
          <color indexed="64"/>
        </left>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border diagonalUp="0" diagonalDown="0">
        <left/>
        <right style="medium">
          <color indexed="64"/>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numFmt numFmtId="189" formatCode="&quot;$&quot;\ #,##0"/>
    </dxf>
    <dxf>
      <numFmt numFmtId="180" formatCode="0.00\ &quot;Galones&quot;"/>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border diagonalUp="0" diagonalDown="0">
        <left style="medium">
          <color indexed="64"/>
        </left>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theme="1"/>
        <name val="Calibri"/>
        <family val="2"/>
        <scheme val="minor"/>
      </font>
      <numFmt numFmtId="188" formatCode="_-&quot;$&quot;\ * #,##0_-;\-&quot;$&quot;\ * #,##0_-;_-&quot;$&quot;\ * &quot;-&quot;??_-;_-@_-"/>
    </dxf>
    <dxf>
      <numFmt numFmtId="190" formatCode="0.0"/>
    </dxf>
    <dxf>
      <numFmt numFmtId="189" formatCode="&quot;$&quot;\ #,##0"/>
    </dxf>
    <dxf>
      <font>
        <strike val="0"/>
        <outline val="0"/>
        <shadow val="0"/>
        <u val="none"/>
        <vertAlign val="baseline"/>
        <sz val="11"/>
        <color rgb="FFFF0000"/>
        <name val="Calibri"/>
        <family val="2"/>
        <scheme val="minor"/>
      </font>
    </dxf>
    <dxf>
      <border diagonalUp="0" diagonalDown="0">
        <left style="medium">
          <color indexed="64"/>
        </left>
        <right/>
        <top/>
        <bottom/>
        <vertical/>
        <horizontal/>
      </border>
    </dxf>
    <dxf>
      <numFmt numFmtId="0" formatCode="General"/>
      <border diagonalUp="0" diagonalDown="0">
        <left/>
        <right style="medium">
          <color indexed="64"/>
        </right>
        <top/>
        <bottom/>
        <vertical/>
        <horizontal/>
      </border>
    </dxf>
    <dxf>
      <font>
        <b val="0"/>
        <i val="0"/>
        <strike val="0"/>
        <condense val="0"/>
        <extend val="0"/>
        <outline val="0"/>
        <shadow val="0"/>
        <u val="none"/>
        <vertAlign val="baseline"/>
        <sz val="11"/>
        <color theme="1"/>
        <name val="Calibri"/>
        <family val="2"/>
        <scheme val="minor"/>
      </font>
    </dxf>
    <dxf>
      <border diagonalUp="0" diagonalDown="0">
        <left style="medium">
          <color indexed="64"/>
        </left>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border diagonalUp="0" diagonalDown="0">
        <left/>
        <right style="medium">
          <color indexed="64"/>
        </right>
        <top/>
        <bottom/>
        <vertical/>
        <horizontal/>
      </border>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numFmt numFmtId="189" formatCode="&quot;$&quot;\ #,##0"/>
    </dxf>
    <dxf>
      <numFmt numFmtId="180" formatCode="0.00\ &quot;Galones&quot;"/>
    </dxf>
    <dxf>
      <font>
        <b val="0"/>
        <i val="0"/>
        <strike val="0"/>
        <condense val="0"/>
        <extend val="0"/>
        <outline val="0"/>
        <shadow val="0"/>
        <u val="none"/>
        <vertAlign val="baseline"/>
        <sz val="11"/>
        <color theme="1"/>
        <name val="Calibri"/>
        <family val="2"/>
        <scheme val="minor"/>
      </font>
      <numFmt numFmtId="188" formatCode="_-&quot;$&quot;\ * #,##0_-;\-&quot;$&quot;\ * #,##0_-;_-&quot;$&quot;\ * &quot;-&quot;??_-;_-@_-"/>
    </dxf>
    <dxf>
      <font>
        <b val="0"/>
        <i val="0"/>
        <strike val="0"/>
        <condense val="0"/>
        <extend val="0"/>
        <outline val="0"/>
        <shadow val="0"/>
        <u val="none"/>
        <vertAlign val="baseline"/>
        <sz val="11"/>
        <color rgb="FFFF0000"/>
        <name val="Calibri"/>
        <family val="2"/>
        <scheme val="minor"/>
      </font>
    </dxf>
    <dxf>
      <border diagonalUp="0" diagonalDown="0">
        <left style="medium">
          <color indexed="64"/>
        </left>
        <right/>
        <top/>
        <bottom/>
        <vertical/>
        <horizontal/>
      </border>
    </dxf>
    <dxf>
      <numFmt numFmtId="178" formatCode="&quot;$&quot;\ #,##0.00"/>
    </dxf>
    <dxf>
      <font>
        <strike val="0"/>
        <outline val="0"/>
        <shadow val="0"/>
        <u val="none"/>
        <vertAlign val="baseline"/>
        <sz val="11"/>
        <color rgb="FFFF0000"/>
        <name val="Calibri"/>
        <family val="2"/>
        <scheme val="minor"/>
      </font>
    </dxf>
    <dxf>
      <border diagonalUp="0" diagonalDown="0">
        <left style="medium">
          <color indexed="64"/>
        </left>
        <right/>
        <top/>
        <bottom/>
        <vertical/>
        <horizontal/>
      </border>
    </dxf>
    <dxf>
      <numFmt numFmtId="0" formatCode="General"/>
    </dxf>
    <dxf>
      <numFmt numFmtId="188" formatCode="_-&quot;$&quot;\ * #,##0_-;\-&quot;$&quot;\ * #,##0_-;_-&quot;$&quot;\ * &quot;-&quot;??_-;_-@_-"/>
    </dxf>
    <dxf>
      <numFmt numFmtId="188" formatCode="_-&quot;$&quot;\ * #,##0_-;\-&quot;$&quot;\ * #,##0_-;_-&quot;$&quot;\ * &quot;-&quot;??_-;_-@_-"/>
    </dxf>
    <dxf>
      <font>
        <strike val="0"/>
        <outline val="0"/>
        <shadow val="0"/>
        <u val="none"/>
        <vertAlign val="baseline"/>
        <sz val="11"/>
        <color rgb="FFFF0000"/>
        <name val="Calibri"/>
        <family val="2"/>
        <scheme val="minor"/>
      </font>
    </dxf>
    <dxf>
      <numFmt numFmtId="189" formatCode="&quot;$&quot;\ #,##0"/>
    </dxf>
    <dxf>
      <numFmt numFmtId="188" formatCode="_-&quot;$&quot;\ * #,##0_-;\-&quot;$&quot;\ * #,##0_-;_-&quot;$&quot;\ * &quot;-&quot;??_-;_-@_-"/>
    </dxf>
    <dxf>
      <numFmt numFmtId="188" formatCode="_-&quot;$&quot;\ * #,##0_-;\-&quot;$&quot;\ * #,##0_-;_-&quot;$&quot;\ * &quot;-&quot;??_-;_-@_-"/>
    </dxf>
    <dxf>
      <numFmt numFmtId="188" formatCode="_-&quot;$&quot;\ * #,##0_-;\-&quot;$&quot;\ * #,##0_-;_-&quot;$&quot;\ * &quot;-&quot;??_-;_-@_-"/>
    </dxf>
    <dxf>
      <numFmt numFmtId="189" formatCode="&quot;$&quot;\ #,##0"/>
    </dxf>
    <dxf>
      <font>
        <strike val="0"/>
        <outline val="0"/>
        <shadow val="0"/>
        <u val="none"/>
        <vertAlign val="baseline"/>
        <sz val="11"/>
        <color rgb="FFFF0000"/>
        <name val="Calibri"/>
        <family val="2"/>
        <scheme val="minor"/>
      </font>
    </dxf>
    <dxf>
      <font>
        <strike val="0"/>
        <outline val="0"/>
        <shadow val="0"/>
        <u val="none"/>
        <vertAlign val="baseline"/>
        <sz val="11"/>
        <color rgb="FF0070C0"/>
        <name val="Calibri"/>
        <family val="2"/>
        <scheme val="minor"/>
      </font>
    </dxf>
    <dxf>
      <font>
        <strike val="0"/>
        <outline val="0"/>
        <shadow val="0"/>
        <u val="none"/>
        <vertAlign val="baseline"/>
        <sz val="11"/>
        <color rgb="FF0070C0"/>
        <name val="Calibri"/>
        <family val="2"/>
        <scheme val="minor"/>
      </font>
    </dxf>
    <dxf>
      <font>
        <strike val="0"/>
        <outline val="0"/>
        <shadow val="0"/>
        <u val="none"/>
        <vertAlign val="baseline"/>
        <sz val="11"/>
        <color rgb="FF0070C0"/>
        <name val="Calibri"/>
        <family val="2"/>
        <scheme val="minor"/>
      </font>
    </dxf>
    <dxf>
      <font>
        <strike val="0"/>
        <outline val="0"/>
        <shadow val="0"/>
        <u val="none"/>
        <vertAlign val="baseline"/>
        <sz val="11"/>
        <color rgb="FF0070C0"/>
        <name val="Calibri"/>
        <family val="2"/>
        <scheme val="minor"/>
      </font>
    </dxf>
    <dxf>
      <font>
        <strike val="0"/>
        <outline val="0"/>
        <shadow val="0"/>
        <u val="none"/>
        <vertAlign val="baseline"/>
        <sz val="11"/>
        <color rgb="FF0070C0"/>
        <name val="Calibri"/>
        <family val="2"/>
        <scheme val="minor"/>
      </font>
    </dxf>
    <dxf>
      <font>
        <strike val="0"/>
        <outline val="0"/>
        <shadow val="0"/>
        <u val="none"/>
        <vertAlign val="baseline"/>
        <sz val="11"/>
        <color rgb="FF0070C0"/>
        <name val="Calibri"/>
        <family val="2"/>
        <scheme val="minor"/>
      </font>
    </dxf>
    <dxf>
      <font>
        <strike val="0"/>
        <outline val="0"/>
        <shadow val="0"/>
        <u val="none"/>
        <vertAlign val="baseline"/>
        <sz val="11"/>
        <color rgb="FF0070C0"/>
        <name val="Calibri"/>
        <family val="2"/>
        <scheme val="minor"/>
      </font>
    </dxf>
    <dxf>
      <font>
        <strike val="0"/>
        <outline val="0"/>
        <shadow val="0"/>
        <u val="none"/>
        <vertAlign val="baseline"/>
        <sz val="11"/>
        <color rgb="FF0070C0"/>
        <name val="Calibri"/>
        <family val="2"/>
        <scheme val="minor"/>
      </font>
    </dxf>
    <dxf>
      <font>
        <strike val="0"/>
        <outline val="0"/>
        <shadow val="0"/>
        <u val="none"/>
        <vertAlign val="baseline"/>
        <sz val="11"/>
        <color rgb="FF0070C0"/>
        <name val="Calibri"/>
        <family val="2"/>
        <scheme val="minor"/>
      </font>
    </dxf>
    <dxf>
      <numFmt numFmtId="2" formatCode="0.00"/>
    </dxf>
    <dxf>
      <font>
        <strike val="0"/>
        <outline val="0"/>
        <shadow val="0"/>
        <u val="none"/>
        <vertAlign val="baseline"/>
        <sz val="11"/>
        <color rgb="FF0070C0"/>
        <name val="Calibri"/>
        <family val="2"/>
        <scheme val="minor"/>
      </font>
      <numFmt numFmtId="179" formatCode="0.00\ &quot;Horas&quot;"/>
    </dxf>
    <dxf>
      <numFmt numFmtId="178" formatCode="&quot;$&quot;\ #,##0.00"/>
    </dxf>
    <dxf>
      <font>
        <strike val="0"/>
        <outline val="0"/>
        <shadow val="0"/>
        <u val="none"/>
        <vertAlign val="baseline"/>
        <sz val="11"/>
        <color auto="1"/>
        <name val="Calibri"/>
        <family val="2"/>
        <scheme val="minor"/>
      </font>
      <numFmt numFmtId="14" formatCode="0.00%"/>
    </dxf>
    <dxf>
      <numFmt numFmtId="14" formatCode="0.00%"/>
    </dxf>
    <dxf>
      <numFmt numFmtId="178" formatCode="&quot;$&quot;\ #,##0.00"/>
      <fill>
        <patternFill patternType="none">
          <fgColor indexed="64"/>
          <bgColor auto="1"/>
        </patternFill>
      </fill>
    </dxf>
    <dxf>
      <numFmt numFmtId="178" formatCode="&quot;$&quot;\ #,##0.00"/>
      <fill>
        <patternFill patternType="solid">
          <fgColor indexed="64"/>
          <bgColor rgb="FFFFFF00"/>
        </patternFill>
      </fill>
    </dxf>
    <dxf>
      <numFmt numFmtId="178" formatCode="&quot;$&quot;\ #,##0.00"/>
      <fill>
        <patternFill patternType="solid">
          <fgColor indexed="64"/>
          <bgColor rgb="FFFFFF00"/>
        </patternFill>
      </fill>
    </dxf>
    <dxf>
      <numFmt numFmtId="178" formatCode="&quot;$&quot;\ #,##0.00"/>
      <fill>
        <patternFill patternType="solid">
          <fgColor indexed="64"/>
          <bgColor rgb="FFFFFF00"/>
        </patternFill>
      </fill>
    </dxf>
    <dxf>
      <numFmt numFmtId="14" formatCode="0.00%"/>
    </dxf>
    <dxf>
      <fill>
        <patternFill patternType="solid">
          <fgColor indexed="64"/>
          <bgColor theme="6" tint="0.79998168889431442"/>
        </patternFill>
      </fill>
      <border diagonalUp="0" diagonalDown="0">
        <left/>
        <right style="medium">
          <color indexed="64"/>
        </right>
        <top/>
        <bottom/>
        <vertical/>
        <horizontal/>
      </border>
    </dxf>
    <dxf>
      <numFmt numFmtId="178" formatCode="&quot;$&quot;\ #,##0.00"/>
      <fill>
        <patternFill patternType="solid">
          <fgColor indexed="64"/>
          <bgColor theme="6" tint="0.79998168889431442"/>
        </patternFill>
      </fill>
    </dxf>
    <dxf>
      <font>
        <strike val="0"/>
        <outline val="0"/>
        <shadow val="0"/>
        <u val="none"/>
        <vertAlign val="baseline"/>
        <sz val="11"/>
        <color rgb="FF0070C0"/>
        <name val="Calibri"/>
        <family val="2"/>
        <scheme val="minor"/>
      </font>
      <numFmt numFmtId="178" formatCode="&quot;$&quot;\ #,##0.00"/>
      <fill>
        <patternFill patternType="solid">
          <fgColor indexed="64"/>
          <bgColor theme="6" tint="0.79998168889431442"/>
        </patternFill>
      </fill>
      <border diagonalUp="0" diagonalDown="0">
        <left style="medium">
          <color indexed="64"/>
        </left>
        <right/>
        <top/>
        <bottom/>
        <vertical/>
        <horizontal/>
      </border>
    </dxf>
    <dxf>
      <font>
        <strike val="0"/>
        <outline val="0"/>
        <shadow val="0"/>
        <u val="none"/>
        <vertAlign val="baseline"/>
        <sz val="11"/>
        <color rgb="FF0070C0"/>
        <name val="Calibri"/>
        <family val="2"/>
        <scheme val="minor"/>
      </font>
    </dxf>
    <dxf>
      <font>
        <strike val="0"/>
        <outline val="0"/>
        <shadow val="0"/>
        <u val="none"/>
        <vertAlign val="baseline"/>
        <sz val="11"/>
        <color rgb="FF0070C0"/>
        <name val="Calibri"/>
        <family val="2"/>
        <scheme val="minor"/>
      </font>
      <fill>
        <patternFill patternType="solid">
          <fgColor indexed="64"/>
          <bgColor theme="6" tint="0.79998168889431442"/>
        </patternFill>
      </fill>
      <border diagonalUp="0" diagonalDown="0">
        <left style="medium">
          <color indexed="64"/>
        </left>
        <right style="medium">
          <color indexed="64"/>
        </right>
        <top/>
        <bottom/>
        <vertical/>
        <horizontal/>
      </border>
    </dxf>
    <dxf>
      <numFmt numFmtId="178" formatCode="&quot;$&quot;\ #,##0.00"/>
      <border diagonalUp="0" diagonalDown="0">
        <left style="thin">
          <color indexed="64"/>
        </left>
        <right/>
        <top style="thin">
          <color indexed="64"/>
        </top>
        <bottom style="thin">
          <color indexed="64"/>
        </bottom>
        <vertical style="thin">
          <color indexed="64"/>
        </vertical>
        <horizontal style="thin">
          <color indexed="64"/>
        </horizontal>
      </border>
    </dxf>
    <dxf>
      <numFmt numFmtId="0" formatCode="General"/>
      <border diagonalUp="0" diagonalDown="0" outline="0">
        <left style="thin">
          <color indexed="64"/>
        </left>
        <right style="thin">
          <color indexed="64"/>
        </right>
        <top style="thin">
          <color indexed="64"/>
        </top>
        <bottom style="thin">
          <color indexed="64"/>
        </bottom>
      </border>
    </dxf>
    <dxf>
      <fill>
        <patternFill patternType="solid">
          <fgColor indexed="64"/>
          <bgColor theme="3" tint="0.79998168889431442"/>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3" tint="0.79998168889431442"/>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3" tint="0.79998168889431442"/>
        </patternFill>
      </fill>
      <border diagonalUp="0" diagonalDown="0" outline="0">
        <left style="thin">
          <color indexed="64"/>
        </left>
        <right style="thin">
          <color indexed="64"/>
        </right>
        <top style="thin">
          <color indexed="64"/>
        </top>
        <bottom style="thin">
          <color indexed="64"/>
        </bottom>
      </border>
    </dxf>
    <dxf>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alignment horizontal="center" vertical="center" textRotation="0" wrapText="1" indent="0" justifyLastLine="0" shrinkToFit="0" readingOrder="0"/>
      <border diagonalUp="0" diagonalDown="0" outline="0">
        <left style="thin">
          <color indexed="64"/>
        </left>
        <right style="thin">
          <color indexed="64"/>
        </right>
        <top/>
        <bottom/>
      </border>
    </dxf>
    <dxf>
      <numFmt numFmtId="178" formatCode="&quot;$&quot;\ #,##0.00"/>
      <border diagonalUp="0" diagonalDown="0">
        <left style="thin">
          <color indexed="64"/>
        </left>
        <right/>
        <top style="thin">
          <color indexed="64"/>
        </top>
        <bottom style="thin">
          <color indexed="64"/>
        </bottom>
        <vertical style="thin">
          <color indexed="64"/>
        </vertical>
        <horizontal style="thin">
          <color indexed="64"/>
        </horizontal>
      </border>
    </dxf>
    <dxf>
      <numFmt numFmtId="0" formatCode="General"/>
      <border diagonalUp="0" diagonalDown="0" outline="0">
        <left style="thin">
          <color indexed="64"/>
        </left>
        <right style="thin">
          <color indexed="64"/>
        </right>
        <top style="thin">
          <color indexed="64"/>
        </top>
        <bottom style="thin">
          <color indexed="64"/>
        </bottom>
      </border>
    </dxf>
    <dxf>
      <fill>
        <patternFill patternType="solid">
          <fgColor indexed="64"/>
          <bgColor theme="3" tint="0.79998168889431442"/>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3" tint="0.79998168889431442"/>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3" tint="0.79998168889431442"/>
        </patternFill>
      </fill>
      <border diagonalUp="0" diagonalDown="0" outline="0">
        <left style="thin">
          <color indexed="64"/>
        </left>
        <right style="thin">
          <color indexed="64"/>
        </right>
        <top style="thin">
          <color indexed="64"/>
        </top>
        <bottom style="thin">
          <color indexed="64"/>
        </bottom>
      </border>
    </dxf>
    <dxf>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alignment horizontal="center" vertical="center" textRotation="0" wrapText="1" indent="0" justifyLastLine="0" shrinkToFit="0" readingOrder="0"/>
      <border diagonalUp="0" diagonalDown="0" outline="0">
        <left style="thin">
          <color indexed="64"/>
        </left>
        <right style="thin">
          <color indexed="64"/>
        </right>
        <top/>
        <bottom/>
      </border>
    </dxf>
    <dxf>
      <font>
        <strike val="0"/>
        <outline val="0"/>
        <shadow val="0"/>
        <u val="none"/>
        <vertAlign val="baseline"/>
        <sz val="11"/>
        <color rgb="FF0070C0"/>
        <name val="Calibri"/>
        <family val="2"/>
        <scheme val="minor"/>
      </font>
      <fill>
        <patternFill patternType="solid">
          <fgColor indexed="64"/>
          <bgColor theme="3" tint="0.79998168889431442"/>
        </patternFill>
      </fill>
      <border diagonalUp="0" diagonalDown="0">
        <left/>
        <right style="medium">
          <color indexed="64"/>
        </right>
        <top/>
        <bottom/>
        <vertical/>
        <horizontal/>
      </border>
    </dxf>
    <dxf>
      <font>
        <strike val="0"/>
        <outline val="0"/>
        <shadow val="0"/>
        <u val="none"/>
        <vertAlign val="baseline"/>
        <sz val="11"/>
        <color rgb="FF0070C0"/>
        <name val="Calibri"/>
        <family val="2"/>
        <scheme val="minor"/>
      </font>
      <fill>
        <patternFill patternType="solid">
          <fgColor indexed="64"/>
          <bgColor theme="3" tint="0.79998168889431442"/>
        </patternFill>
      </fill>
    </dxf>
    <dxf>
      <font>
        <strike val="0"/>
        <outline val="0"/>
        <shadow val="0"/>
        <u val="none"/>
        <vertAlign val="baseline"/>
        <sz val="11"/>
        <color rgb="FF0070C0"/>
        <name val="Calibri"/>
        <family val="2"/>
        <scheme val="minor"/>
      </font>
      <fill>
        <patternFill patternType="solid">
          <fgColor indexed="64"/>
          <bgColor theme="3" tint="0.79998168889431442"/>
        </patternFill>
      </fill>
    </dxf>
    <dxf>
      <font>
        <strike val="0"/>
        <outline val="0"/>
        <shadow val="0"/>
        <u val="none"/>
        <vertAlign val="baseline"/>
        <sz val="11"/>
        <color rgb="FF0070C0"/>
        <name val="Calibri"/>
        <family val="2"/>
        <scheme val="minor"/>
      </font>
      <fill>
        <patternFill patternType="solid">
          <fgColor indexed="64"/>
          <bgColor theme="3" tint="0.79998168889431442"/>
        </patternFill>
      </fill>
    </dxf>
    <dxf>
      <font>
        <strike val="0"/>
        <outline val="0"/>
        <shadow val="0"/>
        <u val="none"/>
        <vertAlign val="baseline"/>
        <sz val="11"/>
        <color rgb="FF0070C0"/>
        <name val="Calibri"/>
        <family val="2"/>
        <scheme val="minor"/>
      </font>
      <fill>
        <patternFill patternType="solid">
          <fgColor indexed="64"/>
          <bgColor theme="3" tint="0.79998168889431442"/>
        </patternFill>
      </fill>
      <border diagonalUp="0" diagonalDown="0">
        <left style="medium">
          <color indexed="64"/>
        </left>
        <right/>
        <top/>
        <bottom/>
        <vertical/>
        <horizontal/>
      </border>
    </dxf>
    <dxf>
      <numFmt numFmtId="178" formatCode="&quot;$&quot;\ #,##0.00"/>
    </dxf>
    <dxf>
      <numFmt numFmtId="178" formatCode="&quot;$&quot;\ #,##0.00"/>
    </dxf>
    <dxf>
      <font>
        <strike val="0"/>
        <outline val="0"/>
        <shadow val="0"/>
        <u val="none"/>
        <vertAlign val="baseline"/>
        <sz val="11"/>
        <color rgb="FF0070C0"/>
        <name val="Calibri"/>
        <family val="2"/>
        <scheme val="minor"/>
      </font>
      <numFmt numFmtId="178" formatCode="&quot;$&quot;\ #,##0.00"/>
      <fill>
        <patternFill patternType="solid">
          <fgColor indexed="64"/>
          <bgColor theme="3" tint="0.79998168889431442"/>
        </patternFill>
      </fill>
      <border diagonalUp="0" diagonalDown="0">
        <left/>
        <right style="medium">
          <color indexed="64"/>
        </right>
        <top/>
        <bottom/>
        <vertical/>
        <horizontal/>
      </border>
    </dxf>
    <dxf>
      <font>
        <strike val="0"/>
        <outline val="0"/>
        <shadow val="0"/>
        <u val="none"/>
        <vertAlign val="baseline"/>
        <sz val="11"/>
        <color rgb="FF0070C0"/>
        <name val="Calibri"/>
        <family val="2"/>
        <scheme val="minor"/>
      </font>
      <numFmt numFmtId="187" formatCode="0.0\ &quot;GL/H&quot;"/>
      <fill>
        <patternFill patternType="solid">
          <fgColor indexed="64"/>
          <bgColor theme="3" tint="0.79998168889431442"/>
        </patternFill>
      </fill>
      <border diagonalUp="0" diagonalDown="0">
        <left style="medium">
          <color indexed="64"/>
        </left>
        <right/>
        <top/>
        <bottom/>
        <vertical/>
        <horizontal/>
      </border>
    </dxf>
    <dxf>
      <numFmt numFmtId="178" formatCode="&quot;$&quot;\ #,##0.00"/>
    </dxf>
    <dxf>
      <font>
        <strike val="0"/>
        <outline val="0"/>
        <shadow val="0"/>
        <u val="none"/>
        <vertAlign val="baseline"/>
        <sz val="11"/>
        <color rgb="FF0070C0"/>
        <name val="Calibri"/>
        <family val="2"/>
        <scheme val="minor"/>
      </font>
      <numFmt numFmtId="179" formatCode="0.00\ &quot;Horas&quot;"/>
      <fill>
        <patternFill patternType="solid">
          <fgColor indexed="64"/>
          <bgColor theme="3" tint="0.79998168889431442"/>
        </patternFill>
      </fill>
      <border diagonalUp="0" diagonalDown="0">
        <left/>
        <right style="medium">
          <color indexed="64"/>
        </right>
        <vertical/>
      </border>
    </dxf>
    <dxf>
      <font>
        <strike val="0"/>
        <outline val="0"/>
        <shadow val="0"/>
        <u val="none"/>
        <vertAlign val="baseline"/>
        <sz val="11"/>
        <color rgb="FF0070C0"/>
        <name val="Calibri"/>
        <family val="2"/>
        <scheme val="minor"/>
      </font>
      <numFmt numFmtId="178" formatCode="&quot;$&quot;\ #,##0.00"/>
    </dxf>
    <dxf>
      <font>
        <strike val="0"/>
        <outline val="0"/>
        <shadow val="0"/>
        <u val="none"/>
        <vertAlign val="baseline"/>
        <sz val="11"/>
        <color rgb="FF0070C0"/>
        <name val="Calibri"/>
        <family val="2"/>
        <scheme val="minor"/>
      </font>
    </dxf>
    <dxf>
      <font>
        <strike val="0"/>
        <outline val="0"/>
        <shadow val="0"/>
        <u val="none"/>
        <vertAlign val="baseline"/>
        <sz val="11"/>
        <color rgb="FF0070C0"/>
        <name val="Calibri"/>
        <family val="2"/>
        <scheme val="minor"/>
      </font>
      <border diagonalUp="0" diagonalDown="0">
        <left style="medium">
          <color indexed="64"/>
        </left>
        <right/>
        <vertical/>
      </border>
    </dxf>
    <dxf>
      <font>
        <b val="0"/>
      </font>
    </dxf>
    <dxf>
      <font>
        <sz val="20"/>
        <color theme="1"/>
      </font>
      <border>
        <bottom style="thin">
          <color theme="4"/>
        </bottom>
        <vertical/>
        <horizontal/>
      </border>
    </dxf>
    <dxf>
      <font>
        <sz val="20"/>
        <color theme="1"/>
      </font>
      <border>
        <left style="thin">
          <color theme="4"/>
        </left>
        <right style="thin">
          <color theme="4"/>
        </right>
        <top style="thin">
          <color theme="4"/>
        </top>
        <bottom style="thin">
          <color theme="4"/>
        </bottom>
        <vertical/>
        <horizontal/>
      </border>
    </dxf>
    <dxf>
      <font>
        <sz val="24"/>
        <color theme="1"/>
      </font>
      <border>
        <bottom style="thin">
          <color theme="4"/>
        </bottom>
        <vertical/>
        <horizontal/>
      </border>
    </dxf>
    <dxf>
      <font>
        <sz val="24"/>
        <color theme="1"/>
      </font>
      <border>
        <left style="thin">
          <color theme="4"/>
        </left>
        <right style="thin">
          <color theme="4"/>
        </right>
        <top style="thin">
          <color theme="4"/>
        </top>
        <bottom style="thin">
          <color theme="4"/>
        </bottom>
        <vertical/>
        <horizontal/>
      </border>
    </dxf>
  </dxfs>
  <tableStyles count="2" defaultTableStyle="TableStyleMedium2" defaultPivotStyle="PivotStyleLight16">
    <tableStyle name="QQQ" pivot="0" table="0" count="10" xr9:uid="{8BF21447-3D51-4FFA-A4C1-6AC853CE2674}">
      <tableStyleElement type="wholeTable" dxfId="1071"/>
      <tableStyleElement type="headerRow" dxfId="1070"/>
    </tableStyle>
    <tableStyle name="SlicerStyleDark1 2" pivot="0" table="0" count="10" xr9:uid="{2104FB9C-E29A-44AA-A68F-BF7712CDBA58}">
      <tableStyleElement type="wholeTable" dxfId="1069"/>
      <tableStyleElement type="headerRow" dxfId="1068"/>
    </tableStyle>
  </tableStyles>
  <colors>
    <mruColors>
      <color rgb="FFFFFF79"/>
      <color rgb="FFFFFFFF"/>
      <color rgb="FF5AE498"/>
      <color rgb="FFF3C9FF"/>
      <color rgb="FFF0A138"/>
      <color rgb="FFE85324"/>
      <color rgb="FF227447"/>
      <color rgb="FFE58A11"/>
      <color rgb="FFEF9167"/>
      <color rgb="FFA8F0C2"/>
    </mruColors>
  </colors>
  <extLst>
    <ext xmlns:x14="http://schemas.microsoft.com/office/spreadsheetml/2009/9/main" uri="{46F421CA-312F-682f-3DD2-61675219B42D}">
      <x14:dxfs count="16">
        <dxf>
          <font>
            <sz val="20"/>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20"/>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20"/>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10"/>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20"/>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sz val="20"/>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sz val="20"/>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sz val="20"/>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sz val="24"/>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24"/>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24"/>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24"/>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24"/>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sz val="24"/>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sz val="24"/>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sz val="24"/>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QQQ">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102"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externalLink" Target="externalLinks/externalLink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microsoft.com/office/2007/relationships/slicerCache" Target="slicerCaches/slicerCache4.xml"/><Relationship Id="rId105"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microsoft.com/office/2007/relationships/slicerCache" Target="slicerCaches/slicerCache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microsoft.com/office/2007/relationships/slicerCache" Target="slicerCaches/slicerCache3.xml"/><Relationship Id="rId10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microsoft.com/office/2007/relationships/slicerCache" Target="slicerCaches/slicerCache1.xml"/><Relationship Id="rId10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3" Type="http://schemas.openxmlformats.org/officeDocument/2006/relationships/image" Target="../media/image8.jpeg"/><Relationship Id="rId2" Type="http://schemas.microsoft.com/office/2011/relationships/chartColorStyle" Target="colors3.xml"/><Relationship Id="rId1" Type="http://schemas.microsoft.com/office/2011/relationships/chartStyle" Target="style3.xml"/><Relationship Id="rId4" Type="http://schemas.openxmlformats.org/officeDocument/2006/relationships/image" Target="../media/image9.jpeg"/></Relationships>
</file>

<file path=xl/charts/_rels/chart2.xml.rels><?xml version="1.0" encoding="UTF-8" standalone="yes"?>
<Relationships xmlns="http://schemas.openxmlformats.org/package/2006/relationships"><Relationship Id="rId2" Type="http://schemas.openxmlformats.org/officeDocument/2006/relationships/image" Target="../media/image8.jpeg"/><Relationship Id="rId1" Type="http://schemas.openxmlformats.org/officeDocument/2006/relationships/image" Target="../media/image9.jpeg"/></Relationships>
</file>

<file path=xl/charts/_rels/chart3.xml.rels><?xml version="1.0" encoding="UTF-8" standalone="yes"?>
<Relationships xmlns="http://schemas.openxmlformats.org/package/2006/relationships"><Relationship Id="rId3" Type="http://schemas.openxmlformats.org/officeDocument/2006/relationships/image" Target="../media/image8.jpeg"/><Relationship Id="rId2" Type="http://schemas.microsoft.com/office/2011/relationships/chartColorStyle" Target="colors4.xml"/><Relationship Id="rId1" Type="http://schemas.microsoft.com/office/2011/relationships/chartStyle" Target="style4.xml"/><Relationship Id="rId4" Type="http://schemas.openxmlformats.org/officeDocument/2006/relationships/image" Target="../media/image9.jpeg"/></Relationships>
</file>

<file path=xl/charts/_rels/chart4.xml.rels><?xml version="1.0" encoding="UTF-8" standalone="yes"?>
<Relationships xmlns="http://schemas.openxmlformats.org/package/2006/relationships"><Relationship Id="rId3" Type="http://schemas.openxmlformats.org/officeDocument/2006/relationships/image" Target="../media/image8.jpeg"/><Relationship Id="rId2" Type="http://schemas.microsoft.com/office/2011/relationships/chartColorStyle" Target="colors7.xml"/><Relationship Id="rId1" Type="http://schemas.microsoft.com/office/2011/relationships/chartStyle" Target="style7.xml"/><Relationship Id="rId4" Type="http://schemas.openxmlformats.org/officeDocument/2006/relationships/image" Target="../media/image9.jpeg"/></Relationships>
</file>

<file path=xl/charts/_rels/chart5.xml.rels><?xml version="1.0" encoding="UTF-8" standalone="yes"?>
<Relationships xmlns="http://schemas.openxmlformats.org/package/2006/relationships"><Relationship Id="rId3" Type="http://schemas.openxmlformats.org/officeDocument/2006/relationships/image" Target="../media/image9.jpeg"/><Relationship Id="rId2" Type="http://schemas.microsoft.com/office/2011/relationships/chartColorStyle" Target="colors8.xml"/><Relationship Id="rId1" Type="http://schemas.microsoft.com/office/2011/relationships/chartStyle" Target="style8.xml"/><Relationship Id="rId4" Type="http://schemas.openxmlformats.org/officeDocument/2006/relationships/image" Target="../media/image8.jpeg"/></Relationships>
</file>

<file path=xl/charts/_rels/chart6.xml.rels><?xml version="1.0" encoding="UTF-8" standalone="yes"?>
<Relationships xmlns="http://schemas.openxmlformats.org/package/2006/relationships"><Relationship Id="rId2" Type="http://schemas.openxmlformats.org/officeDocument/2006/relationships/image" Target="../media/image9.jpeg"/><Relationship Id="rId1" Type="http://schemas.openxmlformats.org/officeDocument/2006/relationships/image" Target="../media/image8.jpeg"/></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pivotSource>
    <c:name>[TEPUY 26-09 revision 00 - copia-1.xlsx]TABLAS!TablaDinámica8</c:name>
    <c:fmtId val="2"/>
  </c:pivotSource>
  <c:chart>
    <c:autoTitleDeleted val="1"/>
    <c:pivotFmts>
      <c:pivotFmt>
        <c:idx val="0"/>
        <c:spPr>
          <a:solidFill>
            <a:srgbClr val="E85324"/>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s-CO"/>
            </a:p>
          </c:txPr>
          <c:showLegendKey val="0"/>
          <c:showVal val="1"/>
          <c:showCatName val="0"/>
          <c:showSerName val="0"/>
          <c:showPercent val="0"/>
          <c:showBubbleSize val="0"/>
          <c:extLst>
            <c:ext xmlns:c15="http://schemas.microsoft.com/office/drawing/2012/chart" uri="{CE6537A1-D6FC-4f65-9D91-7224C49458BB}"/>
          </c:extLst>
        </c:dLbl>
      </c:pivotFmt>
      <c:pivotFmt>
        <c:idx val="1"/>
        <c:spPr>
          <a:blipFill>
            <a:blip xmlns:r="http://schemas.openxmlformats.org/officeDocument/2006/relationships" r:embed="rId3"/>
            <a:tile tx="0" ty="0" sx="100000" sy="100000" flip="none" algn="tl"/>
          </a:blip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s-CO"/>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FF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s-CO"/>
            </a:p>
          </c:txPr>
          <c:showLegendKey val="0"/>
          <c:showVal val="1"/>
          <c:showCatName val="0"/>
          <c:showSerName val="0"/>
          <c:showPercent val="0"/>
          <c:showBubbleSize val="0"/>
          <c:extLst>
            <c:ext xmlns:c15="http://schemas.microsoft.com/office/drawing/2012/chart" uri="{CE6537A1-D6FC-4f65-9D91-7224C49458BB}"/>
          </c:extLst>
        </c:dLbl>
      </c:pivotFmt>
      <c:pivotFmt>
        <c:idx val="3"/>
        <c:spPr>
          <a:blipFill>
            <a:blip xmlns:r="http://schemas.openxmlformats.org/officeDocument/2006/relationships" r:embed="rId4"/>
            <a:tile tx="0" ty="0" sx="100000" sy="100000" flip="none" algn="tl"/>
          </a:blip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FFC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s-CO"/>
            </a:p>
          </c:txPr>
          <c:showLegendKey val="0"/>
          <c:showVal val="1"/>
          <c:showCatName val="0"/>
          <c:showSerName val="0"/>
          <c:showPercent val="0"/>
          <c:showBubbleSize val="0"/>
          <c:extLst>
            <c:ext xmlns:c15="http://schemas.microsoft.com/office/drawing/2012/chart" uri="{CE6537A1-D6FC-4f65-9D91-7224C49458BB}"/>
          </c:extLst>
        </c:dLbl>
      </c:pivotFmt>
      <c:pivotFmt>
        <c:idx val="4"/>
        <c:spPr>
          <a:blipFill>
            <a:blip xmlns:r="http://schemas.openxmlformats.org/officeDocument/2006/relationships" r:embed="rId4"/>
            <a:tile tx="0" ty="0" sx="100000" sy="100000" flip="none" algn="tl"/>
          </a:blip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dLbl>
          <c:idx val="0"/>
          <c:layout>
            <c:manualLayout>
              <c:x val="6.456659401411749E-2"/>
              <c:y val="-4.5959605098147838E-2"/>
            </c:manualLayout>
          </c:layout>
          <c:spPr>
            <a:solidFill>
              <a:srgbClr val="FFC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s-CO"/>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85324"/>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s-CO"/>
            </a:p>
          </c:txPr>
          <c:showLegendKey val="0"/>
          <c:showVal val="1"/>
          <c:showCatName val="0"/>
          <c:showSerName val="0"/>
          <c:showPercent val="0"/>
          <c:showBubbleSize val="0"/>
          <c:extLst>
            <c:ext xmlns:c15="http://schemas.microsoft.com/office/drawing/2012/chart" uri="{CE6537A1-D6FC-4f65-9D91-7224C49458BB}"/>
          </c:extLst>
        </c:dLbl>
      </c:pivotFmt>
      <c:pivotFmt>
        <c:idx val="6"/>
        <c:spPr>
          <a:blipFill>
            <a:blip xmlns:r="http://schemas.openxmlformats.org/officeDocument/2006/relationships" r:embed="rId3"/>
            <a:tile tx="0" ty="0" sx="100000" sy="100000" flip="none" algn="tl"/>
          </a:blip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s-CO"/>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FF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s-CO"/>
            </a:p>
          </c:txPr>
          <c:showLegendKey val="0"/>
          <c:showVal val="1"/>
          <c:showCatName val="0"/>
          <c:showSerName val="0"/>
          <c:showPercent val="0"/>
          <c:showBubbleSize val="0"/>
          <c:extLst>
            <c:ext xmlns:c15="http://schemas.microsoft.com/office/drawing/2012/chart" uri="{CE6537A1-D6FC-4f65-9D91-7224C49458BB}"/>
          </c:extLst>
        </c:dLbl>
      </c:pivotFmt>
      <c:pivotFmt>
        <c:idx val="8"/>
        <c:spPr>
          <a:blipFill>
            <a:blip xmlns:r="http://schemas.openxmlformats.org/officeDocument/2006/relationships" r:embed="rId4"/>
            <a:tile tx="0" ty="0" sx="100000" sy="100000" flip="none" algn="tl"/>
          </a:blip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FFC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s-CO"/>
            </a:p>
          </c:txPr>
          <c:showLegendKey val="0"/>
          <c:showVal val="1"/>
          <c:showCatName val="0"/>
          <c:showSerName val="0"/>
          <c:showPercent val="0"/>
          <c:showBubbleSize val="0"/>
          <c:extLst>
            <c:ext xmlns:c15="http://schemas.microsoft.com/office/drawing/2012/chart" uri="{CE6537A1-D6FC-4f65-9D91-7224C49458BB}"/>
          </c:extLst>
        </c:dLbl>
      </c:pivotFmt>
      <c:pivotFmt>
        <c:idx val="9"/>
        <c:spPr>
          <a:blipFill>
            <a:blip xmlns:r="http://schemas.openxmlformats.org/officeDocument/2006/relationships" r:embed="rId4"/>
            <a:tile tx="0" ty="0" sx="100000" sy="100000" flip="none" algn="tl"/>
          </a:blipFill>
          <a:ln>
            <a:solidFill>
              <a:schemeClr val="accent4">
                <a:lumMod val="50000"/>
              </a:schemeClr>
            </a:solidFill>
          </a:ln>
          <a:effectLst/>
          <a:scene3d>
            <a:camera prst="orthographicFront"/>
            <a:lightRig rig="threePt" dir="t"/>
          </a:scene3d>
          <a:sp3d prstMaterial="flat">
            <a:contourClr>
              <a:schemeClr val="accent4">
                <a:lumMod val="50000"/>
              </a:schemeClr>
            </a:contourClr>
          </a:sp3d>
        </c:spPr>
        <c:dLbl>
          <c:idx val="0"/>
          <c:layout>
            <c:manualLayout>
              <c:x val="6.456659401411749E-2"/>
              <c:y val="-4.5959605098147838E-2"/>
            </c:manualLayout>
          </c:layout>
          <c:spPr>
            <a:solidFill>
              <a:srgbClr val="FFC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s-CO"/>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0A138"/>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numFmt formatCode="&quot;$&quot;\ #,##0.00" sourceLinked="0"/>
          <c:spPr>
            <a:no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anchor="ctr" anchorCtr="1"/>
            <a:lstStyle/>
            <a:p>
              <a:pPr>
                <a:defRPr sz="2500" b="1" i="0" u="none" strike="noStrike" kern="1200" baseline="0">
                  <a:solidFill>
                    <a:schemeClr val="lt1"/>
                  </a:solidFill>
                  <a:latin typeface="+mn-lt"/>
                  <a:ea typeface="+mn-ea"/>
                  <a:cs typeface="+mn-cs"/>
                </a:defRPr>
              </a:pPr>
              <a:endParaRPr lang="es-CO"/>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3C9FF"/>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numFmt formatCode="&quot;$&quot;\ #,##0.00" sourceLinked="0"/>
          <c:spPr>
            <a:no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anchor="ctr" anchorCtr="1"/>
            <a:lstStyle/>
            <a:p>
              <a:pPr>
                <a:defRPr sz="2500" b="1" i="0" u="none" strike="noStrike" kern="1200" baseline="0">
                  <a:solidFill>
                    <a:schemeClr val="lt1"/>
                  </a:solidFill>
                  <a:latin typeface="+mn-lt"/>
                  <a:ea typeface="+mn-ea"/>
                  <a:cs typeface="+mn-cs"/>
                </a:defRPr>
              </a:pPr>
              <a:endParaRPr lang="es-CO"/>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FF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numFmt formatCode="&quot;$&quot;\ #,##0.00" sourceLinked="0"/>
          <c:spPr>
            <a:no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anchor="ctr" anchorCtr="1"/>
            <a:lstStyle/>
            <a:p>
              <a:pPr>
                <a:defRPr sz="2500" b="1" i="0" u="none" strike="noStrike" kern="1200" baseline="0">
                  <a:solidFill>
                    <a:schemeClr val="lt1"/>
                  </a:solidFill>
                  <a:latin typeface="+mn-lt"/>
                  <a:ea typeface="+mn-ea"/>
                  <a:cs typeface="+mn-cs"/>
                </a:defRPr>
              </a:pPr>
              <a:endParaRPr lang="es-CO"/>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5AE498"/>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numFmt formatCode="&quot;$&quot;\ #,##0.00" sourceLinked="0"/>
          <c:spPr>
            <a:no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anchor="ctr" anchorCtr="1"/>
            <a:lstStyle/>
            <a:p>
              <a:pPr>
                <a:defRPr sz="2500" b="1" i="0" u="none" strike="noStrike" kern="1200" baseline="0">
                  <a:solidFill>
                    <a:schemeClr val="lt1"/>
                  </a:solidFill>
                  <a:latin typeface="+mn-lt"/>
                  <a:ea typeface="+mn-ea"/>
                  <a:cs typeface="+mn-cs"/>
                </a:defRPr>
              </a:pPr>
              <a:endParaRPr lang="es-CO"/>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5AE498"/>
          </a:solidFill>
          <a:ln>
            <a:solidFill>
              <a:schemeClr val="accent4">
                <a:lumMod val="50000"/>
              </a:schemeClr>
            </a:solidFill>
          </a:ln>
          <a:effectLst/>
          <a:scene3d>
            <a:camera prst="orthographicFront"/>
            <a:lightRig rig="threePt" dir="t"/>
          </a:scene3d>
          <a:sp3d prstMaterial="flat">
            <a:contourClr>
              <a:schemeClr val="accent4">
                <a:lumMod val="50000"/>
              </a:schemeClr>
            </a:contourClr>
          </a:sp3d>
        </c:spPr>
        <c:dLbl>
          <c:idx val="0"/>
          <c:layout>
            <c:manualLayout>
              <c:x val="6.456659401411749E-2"/>
              <c:y val="-4.5959605098147838E-2"/>
            </c:manualLayout>
          </c:layout>
          <c:numFmt formatCode="&quot;$&quot;\ #,##0.00" sourceLinked="0"/>
          <c:spPr>
            <a:no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anchor="ctr" anchorCtr="1"/>
            <a:lstStyle/>
            <a:p>
              <a:pPr>
                <a:defRPr sz="2500" b="1" i="0" u="none" strike="noStrike" kern="1200" baseline="0">
                  <a:solidFill>
                    <a:schemeClr val="lt1"/>
                  </a:solidFill>
                  <a:latin typeface="+mn-lt"/>
                  <a:ea typeface="+mn-ea"/>
                  <a:cs typeface="+mn-cs"/>
                </a:defRPr>
              </a:pPr>
              <a:endParaRPr lang="es-CO"/>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0A138"/>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16"/>
        <c:spPr>
          <a:solidFill>
            <a:srgbClr val="FFFF79"/>
          </a:solidFill>
          <a:ln>
            <a:solidFill>
              <a:schemeClr val="accent3">
                <a:lumMod val="50000"/>
              </a:schemeClr>
            </a:solidFill>
          </a:ln>
          <a:effectLst/>
          <a:scene3d>
            <a:camera prst="orthographicFront"/>
            <a:lightRig rig="threePt" dir="t"/>
          </a:scene3d>
          <a:sp3d prstMaterial="flat">
            <a:contourClr>
              <a:schemeClr val="accent3">
                <a:lumMod val="50000"/>
              </a:schemeClr>
            </a:contourClr>
          </a:sp3d>
        </c:spPr>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236569943320192"/>
          <c:y val="2.3740042897487254E-2"/>
          <c:w val="0.78763397293784887"/>
          <c:h val="0.89424586300919884"/>
        </c:manualLayout>
      </c:layout>
      <c:bar3DChart>
        <c:barDir val="col"/>
        <c:grouping val="clustered"/>
        <c:varyColors val="0"/>
        <c:ser>
          <c:idx val="0"/>
          <c:order val="0"/>
          <c:tx>
            <c:strRef>
              <c:f>TABLAS!$A$57</c:f>
              <c:strCache>
                <c:ptCount val="1"/>
                <c:pt idx="0">
                  <c:v>Suma de V.TOTAL. MAQUINARIA </c:v>
                </c:pt>
              </c:strCache>
            </c:strRef>
          </c:tx>
          <c:spPr>
            <a:solidFill>
              <a:srgbClr val="F0A138"/>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numFmt formatCode="&quot;$&quot;\ #,##0.00" sourceLinked="0"/>
            <c:spPr>
              <a:no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anchor="ctr" anchorCtr="1"/>
              <a:lstStyle/>
              <a:p>
                <a:pPr>
                  <a:defRPr sz="2500" b="1" i="0" u="none" strike="noStrike" kern="1200" baseline="0">
                    <a:solidFill>
                      <a:schemeClr val="lt1"/>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TABLAS!$A$58</c:f>
              <c:strCache>
                <c:ptCount val="1"/>
                <c:pt idx="0">
                  <c:v>요약</c:v>
                </c:pt>
              </c:strCache>
            </c:strRef>
          </c:cat>
          <c:val>
            <c:numRef>
              <c:f>TABLAS!$A$58</c:f>
              <c:numCache>
                <c:formatCode>"$"\ #,##0.00</c:formatCode>
                <c:ptCount val="1"/>
                <c:pt idx="0">
                  <c:v>3206131451.313168</c:v>
                </c:pt>
              </c:numCache>
            </c:numRef>
          </c:val>
          <c:extLst>
            <c:ext xmlns:c16="http://schemas.microsoft.com/office/drawing/2014/chart" uri="{C3380CC4-5D6E-409C-BE32-E72D297353CC}">
              <c16:uniqueId val="{00000000-BA4D-4EA2-A213-40072C66E77B}"/>
            </c:ext>
          </c:extLst>
        </c:ser>
        <c:ser>
          <c:idx val="1"/>
          <c:order val="1"/>
          <c:tx>
            <c:strRef>
              <c:f>TABLAS!$B$57</c:f>
              <c:strCache>
                <c:ptCount val="1"/>
                <c:pt idx="0">
                  <c:v>Suma de V.TOTAL. COMBUSTIBLE</c:v>
                </c:pt>
              </c:strCache>
            </c:strRef>
          </c:tx>
          <c:spPr>
            <a:solidFill>
              <a:srgbClr val="F3C9FF"/>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numFmt formatCode="&quot;$&quot;\ #,##0.00" sourceLinked="0"/>
            <c:spPr>
              <a:no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anchor="ctr" anchorCtr="1"/>
              <a:lstStyle/>
              <a:p>
                <a:pPr>
                  <a:defRPr sz="2500" b="1" i="0" u="none" strike="noStrike" kern="1200" baseline="0">
                    <a:solidFill>
                      <a:schemeClr val="lt1"/>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TABLAS!$A$58</c:f>
              <c:strCache>
                <c:ptCount val="1"/>
                <c:pt idx="0">
                  <c:v>요약</c:v>
                </c:pt>
              </c:strCache>
            </c:strRef>
          </c:cat>
          <c:val>
            <c:numRef>
              <c:f>TABLAS!$B$58</c:f>
              <c:numCache>
                <c:formatCode>"$"\ #,##0.00</c:formatCode>
                <c:ptCount val="1"/>
                <c:pt idx="0">
                  <c:v>510474929.9699856</c:v>
                </c:pt>
              </c:numCache>
            </c:numRef>
          </c:val>
          <c:extLst>
            <c:ext xmlns:c16="http://schemas.microsoft.com/office/drawing/2014/chart" uri="{C3380CC4-5D6E-409C-BE32-E72D297353CC}">
              <c16:uniqueId val="{00000001-BA4D-4EA2-A213-40072C66E77B}"/>
            </c:ext>
          </c:extLst>
        </c:ser>
        <c:ser>
          <c:idx val="2"/>
          <c:order val="2"/>
          <c:tx>
            <c:strRef>
              <c:f>TABLAS!$C$57</c:f>
              <c:strCache>
                <c:ptCount val="1"/>
                <c:pt idx="0">
                  <c:v>Suma de V.TOTAL MATERIALES</c:v>
                </c:pt>
              </c:strCache>
            </c:strRef>
          </c:tx>
          <c:spPr>
            <a:solidFill>
              <a:srgbClr val="FFFF00"/>
            </a:solidFill>
            <a:ln>
              <a:solidFill>
                <a:schemeClr val="accent3">
                  <a:lumMod val="50000"/>
                </a:schemeClr>
              </a:solidFill>
            </a:ln>
            <a:effectLst/>
            <a:scene3d>
              <a:camera prst="orthographicFront"/>
              <a:lightRig rig="threePt" dir="t"/>
            </a:scene3d>
            <a:sp3d prstMaterial="flat">
              <a:contourClr>
                <a:schemeClr val="accent3">
                  <a:lumMod val="50000"/>
                </a:schemeClr>
              </a:contourClr>
            </a:sp3d>
          </c:spPr>
          <c:invertIfNegative val="0"/>
          <c:dPt>
            <c:idx val="0"/>
            <c:invertIfNegative val="0"/>
            <c:bubble3D val="0"/>
            <c:spPr>
              <a:solidFill>
                <a:srgbClr val="FFFF79"/>
              </a:solidFill>
              <a:ln>
                <a:solidFill>
                  <a:schemeClr val="accent3">
                    <a:lumMod val="50000"/>
                  </a:schemeClr>
                </a:solidFill>
              </a:ln>
              <a:effectLst/>
              <a:scene3d>
                <a:camera prst="orthographicFront"/>
                <a:lightRig rig="threePt" dir="t"/>
              </a:scene3d>
              <a:sp3d prstMaterial="flat">
                <a:contourClr>
                  <a:schemeClr val="accent3">
                    <a:lumMod val="50000"/>
                  </a:schemeClr>
                </a:contourClr>
              </a:sp3d>
            </c:spPr>
            <c:extLst>
              <c:ext xmlns:c16="http://schemas.microsoft.com/office/drawing/2014/chart" uri="{C3380CC4-5D6E-409C-BE32-E72D297353CC}">
                <c16:uniqueId val="{00000004-53B1-4C7D-8D6A-CF775B348215}"/>
              </c:ext>
            </c:extLst>
          </c:dPt>
          <c:dLbls>
            <c:numFmt formatCode="&quot;$&quot;\ #,##0.00" sourceLinked="0"/>
            <c:spPr>
              <a:no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anchor="ctr" anchorCtr="1"/>
              <a:lstStyle/>
              <a:p>
                <a:pPr>
                  <a:defRPr sz="2500" b="1" i="0" u="none" strike="noStrike" kern="1200" baseline="0">
                    <a:solidFill>
                      <a:schemeClr val="lt1"/>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TABLAS!$A$58</c:f>
              <c:strCache>
                <c:ptCount val="1"/>
                <c:pt idx="0">
                  <c:v>요약</c:v>
                </c:pt>
              </c:strCache>
            </c:strRef>
          </c:cat>
          <c:val>
            <c:numRef>
              <c:f>TABLAS!$C$58</c:f>
              <c:numCache>
                <c:formatCode>"$"\ #,##0.00</c:formatCode>
                <c:ptCount val="1"/>
                <c:pt idx="0">
                  <c:v>12642530228.837402</c:v>
                </c:pt>
              </c:numCache>
            </c:numRef>
          </c:val>
          <c:extLst>
            <c:ext xmlns:c16="http://schemas.microsoft.com/office/drawing/2014/chart" uri="{C3380CC4-5D6E-409C-BE32-E72D297353CC}">
              <c16:uniqueId val="{00000002-BA4D-4EA2-A213-40072C66E77B}"/>
            </c:ext>
          </c:extLst>
        </c:ser>
        <c:ser>
          <c:idx val="3"/>
          <c:order val="3"/>
          <c:tx>
            <c:strRef>
              <c:f>TABLAS!$D$57</c:f>
              <c:strCache>
                <c:ptCount val="1"/>
                <c:pt idx="0">
                  <c:v>Suma de V.TOTAL MANO OBRA</c:v>
                </c:pt>
              </c:strCache>
            </c:strRef>
          </c:tx>
          <c:spPr>
            <a:solidFill>
              <a:srgbClr val="5AE498"/>
            </a:solidFill>
            <a:ln>
              <a:solidFill>
                <a:schemeClr val="accent4">
                  <a:lumMod val="50000"/>
                </a:schemeClr>
              </a:solidFill>
            </a:ln>
            <a:effectLst/>
            <a:scene3d>
              <a:camera prst="orthographicFront"/>
              <a:lightRig rig="threePt" dir="t"/>
            </a:scene3d>
            <a:sp3d prstMaterial="flat">
              <a:contourClr>
                <a:schemeClr val="accent4">
                  <a:lumMod val="50000"/>
                </a:schemeClr>
              </a:contourClr>
            </a:sp3d>
          </c:spPr>
          <c:invertIfNegative val="0"/>
          <c:dPt>
            <c:idx val="0"/>
            <c:invertIfNegative val="0"/>
            <c:bubble3D val="0"/>
            <c:spPr>
              <a:solidFill>
                <a:srgbClr val="5AE498"/>
              </a:solidFill>
              <a:ln>
                <a:solidFill>
                  <a:schemeClr val="accent4">
                    <a:lumMod val="50000"/>
                  </a:schemeClr>
                </a:solidFill>
              </a:ln>
              <a:effectLst/>
              <a:scene3d>
                <a:camera prst="orthographicFront"/>
                <a:lightRig rig="threePt" dir="t"/>
              </a:scene3d>
              <a:sp3d prstMaterial="flat">
                <a:contourClr>
                  <a:schemeClr val="accent4">
                    <a:lumMod val="50000"/>
                  </a:schemeClr>
                </a:contourClr>
              </a:sp3d>
            </c:spPr>
            <c:extLst>
              <c:ext xmlns:c16="http://schemas.microsoft.com/office/drawing/2014/chart" uri="{C3380CC4-5D6E-409C-BE32-E72D297353CC}">
                <c16:uniqueId val="{00000003-BA4D-4EA2-A213-40072C66E77B}"/>
              </c:ext>
            </c:extLst>
          </c:dPt>
          <c:dLbls>
            <c:dLbl>
              <c:idx val="0"/>
              <c:layout>
                <c:manualLayout>
                  <c:x val="6.456659401411749E-2"/>
                  <c:y val="-4.595960509814783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A4D-4EA2-A213-40072C66E77B}"/>
                </c:ext>
              </c:extLst>
            </c:dLbl>
            <c:numFmt formatCode="&quot;$&quot;\ #,##0.00" sourceLinked="0"/>
            <c:spPr>
              <a:no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anchor="ctr" anchorCtr="1"/>
              <a:lstStyle/>
              <a:p>
                <a:pPr>
                  <a:defRPr sz="2500" b="1" i="0" u="none" strike="noStrike" kern="1200" baseline="0">
                    <a:solidFill>
                      <a:schemeClr val="lt1"/>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TABLAS!$A$58</c:f>
              <c:strCache>
                <c:ptCount val="1"/>
                <c:pt idx="0">
                  <c:v>요약</c:v>
                </c:pt>
              </c:strCache>
            </c:strRef>
          </c:cat>
          <c:val>
            <c:numRef>
              <c:f>TABLAS!$D$58</c:f>
              <c:numCache>
                <c:formatCode>"$"\ #,##0.00</c:formatCode>
                <c:ptCount val="1"/>
                <c:pt idx="0">
                  <c:v>16894469400.35409</c:v>
                </c:pt>
              </c:numCache>
            </c:numRef>
          </c:val>
          <c:extLst>
            <c:ext xmlns:c16="http://schemas.microsoft.com/office/drawing/2014/chart" uri="{C3380CC4-5D6E-409C-BE32-E72D297353CC}">
              <c16:uniqueId val="{00000004-BA4D-4EA2-A213-40072C66E77B}"/>
            </c:ext>
          </c:extLst>
        </c:ser>
        <c:dLbls>
          <c:showLegendKey val="0"/>
          <c:showVal val="1"/>
          <c:showCatName val="0"/>
          <c:showSerName val="0"/>
          <c:showPercent val="0"/>
          <c:showBubbleSize val="0"/>
        </c:dLbls>
        <c:gapWidth val="84"/>
        <c:gapDepth val="53"/>
        <c:shape val="box"/>
        <c:axId val="1741982719"/>
        <c:axId val="1741993951"/>
        <c:axId val="0"/>
      </c:bar3DChart>
      <c:catAx>
        <c:axId val="1741982719"/>
        <c:scaling>
          <c:orientation val="minMax"/>
        </c:scaling>
        <c:delete val="1"/>
        <c:axPos val="b"/>
        <c:numFmt formatCode="General" sourceLinked="1"/>
        <c:majorTickMark val="none"/>
        <c:minorTickMark val="none"/>
        <c:tickLblPos val="nextTo"/>
        <c:crossAx val="1741993951"/>
        <c:crosses val="autoZero"/>
        <c:auto val="1"/>
        <c:lblAlgn val="ctr"/>
        <c:lblOffset val="100"/>
        <c:noMultiLvlLbl val="0"/>
      </c:catAx>
      <c:valAx>
        <c:axId val="1741993951"/>
        <c:scaling>
          <c:orientation val="minMax"/>
        </c:scaling>
        <c:delete val="0"/>
        <c:axPos val="l"/>
        <c:majorGridlines>
          <c:spPr>
            <a:ln w="9525">
              <a:solidFill>
                <a:schemeClr val="lt1">
                  <a:lumMod val="50000"/>
                </a:schemeClr>
              </a:solidFill>
            </a:ln>
            <a:effectLst/>
          </c:spPr>
        </c:majorGridlines>
        <c:numFmt formatCode="&quot;$&quot;\ #,##0.00" sourceLinked="1"/>
        <c:majorTickMark val="out"/>
        <c:minorTickMark val="none"/>
        <c:tickLblPos val="nextTo"/>
        <c:spPr>
          <a:noFill/>
          <a:ln>
            <a:noFill/>
          </a:ln>
          <a:effectLst/>
        </c:spPr>
        <c:txPr>
          <a:bodyPr rot="-60000000" spcFirstLastPara="1" vertOverflow="ellipsis" vert="horz" wrap="square" anchor="ctr" anchorCtr="1"/>
          <a:lstStyle/>
          <a:p>
            <a:pPr>
              <a:defRPr sz="2000" b="1" i="0" u="none" strike="noStrike" kern="1200" baseline="0">
                <a:solidFill>
                  <a:schemeClr val="lt1">
                    <a:lumMod val="75000"/>
                  </a:schemeClr>
                </a:solidFill>
                <a:latin typeface="+mn-lt"/>
                <a:ea typeface="+mn-ea"/>
                <a:cs typeface="+mn-cs"/>
              </a:defRPr>
            </a:pPr>
            <a:endParaRPr lang="es-CO"/>
          </a:p>
        </c:txPr>
        <c:crossAx val="1741982719"/>
        <c:crosses val="autoZero"/>
        <c:crossBetween val="between"/>
      </c:valAx>
      <c:spPr>
        <a:noFill/>
        <a:ln>
          <a:noFill/>
        </a:ln>
        <a:effectLst/>
      </c:spPr>
    </c:plotArea>
    <c:legend>
      <c:legendPos val="r"/>
      <c:layout>
        <c:manualLayout>
          <c:xMode val="edge"/>
          <c:yMode val="edge"/>
          <c:x val="0.85173801697117968"/>
          <c:y val="6.8059637518583849E-2"/>
          <c:w val="0.1386822217611148"/>
          <c:h val="0.90959233160178565"/>
        </c:manualLayout>
      </c:layout>
      <c:overlay val="0"/>
      <c:spPr>
        <a:noFill/>
        <a:ln>
          <a:noFill/>
        </a:ln>
        <a:effectLst/>
      </c:spPr>
      <c:txPr>
        <a:bodyPr rot="0" spcFirstLastPara="1" vertOverflow="ellipsis" vert="horz" wrap="square" anchor="ctr" anchorCtr="1"/>
        <a:lstStyle/>
        <a:p>
          <a:pPr>
            <a:defRPr sz="2500" b="1" i="0" u="none" strike="noStrike" kern="1200" baseline="0">
              <a:solidFill>
                <a:schemeClr val="lt1">
                  <a:lumMod val="7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bg1"/>
      </a:solidFill>
      <a:round/>
    </a:ln>
    <a:effectLst/>
  </c:spPr>
  <c:txPr>
    <a:bodyPr/>
    <a:lstStyle/>
    <a:p>
      <a:pPr>
        <a:defRPr sz="1400"/>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pivotSource>
    <c:name>[TEPUY 26-09 revision 00 - copia-1.xlsx]TABLAS!TablaDinámica6</c:name>
    <c:fmtId val="4"/>
  </c:pivotSource>
  <c:chart>
    <c:autoTitleDeleted val="1"/>
    <c:pivotFmts>
      <c:pivotFmt>
        <c:idx val="0"/>
        <c:dLbl>
          <c:idx val="0"/>
          <c:dLblPos val="bestFit"/>
          <c:showLegendKey val="0"/>
          <c:showVal val="1"/>
          <c:showCatName val="0"/>
          <c:showSerName val="0"/>
          <c:showPercent val="1"/>
          <c:showBubbleSize val="0"/>
          <c:extLst>
            <c:ext xmlns:c15="http://schemas.microsoft.com/office/drawing/2012/chart" uri="{CE6537A1-D6FC-4f65-9D91-7224C49458BB}"/>
          </c:extLst>
        </c:dLbl>
      </c:pivotFmt>
      <c:pivotFmt>
        <c:idx val="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8"/>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9"/>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10"/>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11"/>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12"/>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13"/>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14"/>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15"/>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16"/>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17"/>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18"/>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19"/>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20"/>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21"/>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22"/>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23"/>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24"/>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25"/>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26"/>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27"/>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28"/>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29"/>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30"/>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31"/>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32"/>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33"/>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34"/>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35"/>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36"/>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37"/>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38"/>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39"/>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40"/>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41"/>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42"/>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43"/>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44"/>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45"/>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46"/>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47"/>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48"/>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49"/>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50"/>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51"/>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52"/>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53"/>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54"/>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55"/>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56"/>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57"/>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58"/>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59"/>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60"/>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61"/>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62"/>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63"/>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64"/>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65"/>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66"/>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67"/>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68"/>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69"/>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70"/>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71"/>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72"/>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73"/>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74"/>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75"/>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76"/>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77"/>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78"/>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79"/>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80"/>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81"/>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82"/>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83"/>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84"/>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solidFill>
                <a:schemeClr val="bg1"/>
              </a:solid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s-CO"/>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86"/>
        <c:spPr>
          <a:blipFill>
            <a:blip xmlns:r="http://schemas.openxmlformats.org/officeDocument/2006/relationships" r:embed="rId1"/>
            <a:tile tx="0" ty="0" sx="100000" sy="100000" flip="none" algn="tl"/>
          </a:blipFill>
          <a:ln>
            <a:noFill/>
          </a:ln>
          <a:effectLst>
            <a:outerShdw blurRad="57150" dist="19050" dir="5400000" algn="ctr" rotWithShape="0">
              <a:srgbClr val="000000">
                <a:alpha val="63000"/>
              </a:srgbClr>
            </a:outerShdw>
          </a:effectLst>
          <a:sp3d/>
        </c:spPr>
        <c:dLbl>
          <c:idx val="0"/>
          <c:layout>
            <c:manualLayout>
              <c:x val="-6.398791613434417E-3"/>
              <c:y val="-3.5970127774775651E-2"/>
            </c:manualLayout>
          </c:layout>
          <c:spPr>
            <a:noFill/>
            <a:ln>
              <a:solidFill>
                <a:schemeClr val="bg1"/>
              </a:solid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1"/>
                  </a:solidFill>
                  <a:latin typeface="+mn-lt"/>
                  <a:ea typeface="+mn-ea"/>
                  <a:cs typeface="+mn-cs"/>
                </a:defRPr>
              </a:pPr>
              <a:endParaRPr lang="es-CO"/>
            </a:p>
          </c:txPr>
          <c:dLblPos val="bestFit"/>
          <c:showLegendKey val="0"/>
          <c:showVal val="1"/>
          <c:showCatName val="0"/>
          <c:showSerName val="0"/>
          <c:showPercent val="1"/>
          <c:showBubbleSize val="0"/>
          <c:extLst>
            <c:ext xmlns:c15="http://schemas.microsoft.com/office/drawing/2012/chart" uri="{CE6537A1-D6FC-4f65-9D91-7224C49458BB}">
              <c15:layout>
                <c:manualLayout>
                  <c:w val="0.20356695212067602"/>
                  <c:h val="5.719054855890586E-2"/>
                </c:manualLayout>
              </c15:layout>
            </c:ext>
          </c:extLst>
        </c:dLbl>
      </c:pivotFmt>
      <c:pivotFmt>
        <c:idx val="87"/>
        <c:spPr>
          <a:blipFill>
            <a:blip xmlns:r="http://schemas.openxmlformats.org/officeDocument/2006/relationships" r:embed="rId2"/>
            <a:tile tx="0" ty="0" sx="100000" sy="100000" flip="none" algn="tl"/>
          </a:blipFill>
          <a:ln>
            <a:noFill/>
          </a:ln>
          <a:effectLst>
            <a:outerShdw blurRad="57150" dist="19050" dir="5400000" algn="ctr" rotWithShape="0">
              <a:srgbClr val="000000">
                <a:alpha val="63000"/>
              </a:srgbClr>
            </a:outerShdw>
          </a:effectLst>
          <a:sp3d/>
        </c:spPr>
        <c:dLbl>
          <c:idx val="0"/>
          <c:layout>
            <c:manualLayout>
              <c:x val="1.2134563667879086E-2"/>
              <c:y val="-6.6395654141271312E-2"/>
            </c:manualLayout>
          </c:layout>
          <c:spPr>
            <a:noFill/>
            <a:ln>
              <a:solidFill>
                <a:schemeClr val="bg1"/>
              </a:solid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s-CO"/>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88"/>
        <c:spPr>
          <a:solidFill>
            <a:srgbClr val="E85324"/>
          </a:solidFill>
          <a:ln>
            <a:noFill/>
          </a:ln>
          <a:effectLst>
            <a:outerShdw blurRad="57150" dist="19050" dir="5400000" algn="ctr" rotWithShape="0">
              <a:srgbClr val="000000">
                <a:alpha val="63000"/>
              </a:srgbClr>
            </a:outerShdw>
          </a:effectLst>
          <a:sp3d/>
        </c:spPr>
        <c:dLbl>
          <c:idx val="0"/>
          <c:layout>
            <c:manualLayout>
              <c:x val="-0.13333371028491178"/>
              <c:y val="-6.2689997310157189E-2"/>
            </c:manualLayout>
          </c:layout>
          <c:spPr>
            <a:noFill/>
            <a:ln>
              <a:solidFill>
                <a:schemeClr val="bg1"/>
              </a:solid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s-CO"/>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89"/>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lin ang="0" scaled="1"/>
            <a:tileRect/>
          </a:gradFill>
          <a:ln>
            <a:noFill/>
          </a:ln>
          <a:effectLst>
            <a:outerShdw blurRad="57150" dist="19050" dir="5400000" algn="ctr" rotWithShape="0">
              <a:srgbClr val="000000">
                <a:alpha val="63000"/>
              </a:srgbClr>
            </a:outerShdw>
          </a:effectLst>
          <a:sp3d/>
        </c:spPr>
        <c:dLbl>
          <c:idx val="0"/>
          <c:layout>
            <c:manualLayout>
              <c:x val="9.6122511147753928E-2"/>
              <c:y val="8.897632890064619E-2"/>
            </c:manualLayout>
          </c:layout>
          <c:spPr>
            <a:noFill/>
            <a:ln>
              <a:solidFill>
                <a:schemeClr val="bg1"/>
              </a:solid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1"/>
                  </a:solidFill>
                  <a:latin typeface="+mn-lt"/>
                  <a:ea typeface="+mn-ea"/>
                  <a:cs typeface="+mn-cs"/>
                </a:defRPr>
              </a:pPr>
              <a:endParaRPr lang="es-CO"/>
            </a:p>
          </c:txPr>
          <c:dLblPos val="bestFit"/>
          <c:showLegendKey val="0"/>
          <c:showVal val="1"/>
          <c:showCatName val="0"/>
          <c:showSerName val="0"/>
          <c:showPercent val="1"/>
          <c:showBubbleSize val="0"/>
          <c:extLst>
            <c:ext xmlns:c15="http://schemas.microsoft.com/office/drawing/2012/chart" uri="{CE6537A1-D6FC-4f65-9D91-7224C49458BB}">
              <c15:layout>
                <c:manualLayout>
                  <c:w val="0.19590475093277845"/>
                  <c:h val="7.1848501487140184E-2"/>
                </c:manualLayout>
              </c15:layout>
            </c:ext>
          </c:extLst>
        </c:dLbl>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solidFill>
                <a:schemeClr val="bg1"/>
              </a:solid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s-CO"/>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91"/>
        <c:spPr>
          <a:solidFill>
            <a:srgbClr val="E85324"/>
          </a:solidFill>
          <a:ln>
            <a:noFill/>
          </a:ln>
          <a:effectLst>
            <a:outerShdw blurRad="57150" dist="19050" dir="5400000" algn="ctr" rotWithShape="0">
              <a:srgbClr val="000000">
                <a:alpha val="63000"/>
              </a:srgbClr>
            </a:outerShdw>
          </a:effectLst>
          <a:sp3d/>
        </c:spPr>
        <c:dLbl>
          <c:idx val="0"/>
          <c:layout>
            <c:manualLayout>
              <c:x val="-0.13333371028491178"/>
              <c:y val="-6.2689997310157189E-2"/>
            </c:manualLayout>
          </c:layout>
          <c:spPr>
            <a:noFill/>
            <a:ln>
              <a:solidFill>
                <a:schemeClr val="bg1"/>
              </a:solid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s-CO"/>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92"/>
        <c:spPr>
          <a:blipFill>
            <a:blip xmlns:r="http://schemas.openxmlformats.org/officeDocument/2006/relationships" r:embed="rId2"/>
            <a:tile tx="0" ty="0" sx="100000" sy="100000" flip="none" algn="tl"/>
          </a:blipFill>
          <a:ln>
            <a:noFill/>
          </a:ln>
          <a:effectLst>
            <a:outerShdw blurRad="57150" dist="19050" dir="5400000" algn="ctr" rotWithShape="0">
              <a:srgbClr val="000000">
                <a:alpha val="63000"/>
              </a:srgbClr>
            </a:outerShdw>
          </a:effectLst>
          <a:sp3d/>
        </c:spPr>
        <c:dLbl>
          <c:idx val="0"/>
          <c:layout>
            <c:manualLayout>
              <c:x val="1.2134563667879086E-2"/>
              <c:y val="-6.6395654141271312E-2"/>
            </c:manualLayout>
          </c:layout>
          <c:spPr>
            <a:noFill/>
            <a:ln>
              <a:solidFill>
                <a:schemeClr val="bg1"/>
              </a:solid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s-CO"/>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93"/>
        <c:spPr>
          <a:blipFill>
            <a:blip xmlns:r="http://schemas.openxmlformats.org/officeDocument/2006/relationships" r:embed="rId1"/>
            <a:tile tx="0" ty="0" sx="100000" sy="100000" flip="none" algn="tl"/>
          </a:blipFill>
          <a:ln>
            <a:noFill/>
          </a:ln>
          <a:effectLst>
            <a:outerShdw blurRad="57150" dist="19050" dir="5400000" algn="ctr" rotWithShape="0">
              <a:srgbClr val="000000">
                <a:alpha val="63000"/>
              </a:srgbClr>
            </a:outerShdw>
          </a:effectLst>
          <a:sp3d/>
        </c:spPr>
        <c:dLbl>
          <c:idx val="0"/>
          <c:layout>
            <c:manualLayout>
              <c:x val="-6.398791613434417E-3"/>
              <c:y val="-3.5970127774775651E-2"/>
            </c:manualLayout>
          </c:layout>
          <c:spPr>
            <a:noFill/>
            <a:ln>
              <a:solidFill>
                <a:schemeClr val="bg1"/>
              </a:solid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1"/>
                  </a:solidFill>
                  <a:latin typeface="+mn-lt"/>
                  <a:ea typeface="+mn-ea"/>
                  <a:cs typeface="+mn-cs"/>
                </a:defRPr>
              </a:pPr>
              <a:endParaRPr lang="es-CO"/>
            </a:p>
          </c:txPr>
          <c:dLblPos val="bestFit"/>
          <c:showLegendKey val="0"/>
          <c:showVal val="1"/>
          <c:showCatName val="0"/>
          <c:showSerName val="0"/>
          <c:showPercent val="1"/>
          <c:showBubbleSize val="0"/>
          <c:extLst>
            <c:ext xmlns:c15="http://schemas.microsoft.com/office/drawing/2012/chart" uri="{CE6537A1-D6FC-4f65-9D91-7224C49458BB}">
              <c15:layout>
                <c:manualLayout>
                  <c:w val="0.20356695212067602"/>
                  <c:h val="5.719054855890586E-2"/>
                </c:manualLayout>
              </c15:layout>
            </c:ext>
          </c:extLst>
        </c:dLbl>
      </c:pivotFmt>
      <c:pivotFmt>
        <c:idx val="94"/>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lin ang="0" scaled="1"/>
            <a:tileRect/>
          </a:gradFill>
          <a:ln>
            <a:noFill/>
          </a:ln>
          <a:effectLst>
            <a:outerShdw blurRad="57150" dist="19050" dir="5400000" algn="ctr" rotWithShape="0">
              <a:srgbClr val="000000">
                <a:alpha val="63000"/>
              </a:srgbClr>
            </a:outerShdw>
          </a:effectLst>
          <a:sp3d/>
        </c:spPr>
        <c:dLbl>
          <c:idx val="0"/>
          <c:layout>
            <c:manualLayout>
              <c:x val="9.6122511147753928E-2"/>
              <c:y val="8.897632890064619E-2"/>
            </c:manualLayout>
          </c:layout>
          <c:spPr>
            <a:noFill/>
            <a:ln>
              <a:solidFill>
                <a:schemeClr val="bg1"/>
              </a:solid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1"/>
                  </a:solidFill>
                  <a:latin typeface="+mn-lt"/>
                  <a:ea typeface="+mn-ea"/>
                  <a:cs typeface="+mn-cs"/>
                </a:defRPr>
              </a:pPr>
              <a:endParaRPr lang="es-CO"/>
            </a:p>
          </c:txPr>
          <c:dLblPos val="bestFit"/>
          <c:showLegendKey val="0"/>
          <c:showVal val="1"/>
          <c:showCatName val="0"/>
          <c:showSerName val="0"/>
          <c:showPercent val="1"/>
          <c:showBubbleSize val="0"/>
          <c:extLst>
            <c:ext xmlns:c15="http://schemas.microsoft.com/office/drawing/2012/chart" uri="{CE6537A1-D6FC-4f65-9D91-7224C49458BB}">
              <c15:layout>
                <c:manualLayout>
                  <c:w val="0.19590475093277845"/>
                  <c:h val="7.1848501487140184E-2"/>
                </c:manualLayout>
              </c15:layout>
            </c:ext>
          </c:extLst>
        </c:dLbl>
      </c:pivotFmt>
      <c:pivotFmt>
        <c:idx val="95"/>
        <c:marker>
          <c:symbol val="none"/>
        </c:marker>
        <c:dLbl>
          <c:idx val="0"/>
          <c:spPr>
            <a:solidFill>
              <a:schemeClr val="tx1">
                <a:lumMod val="50000"/>
                <a:lumOff val="50000"/>
              </a:schemeClr>
            </a:solidFill>
            <a:ln>
              <a:solidFill>
                <a:schemeClr val="bg1"/>
              </a:solid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s-CO"/>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96"/>
        <c:spPr>
          <a:solidFill>
            <a:srgbClr val="F0A138"/>
          </a:solidFill>
          <a:ln>
            <a:noFill/>
          </a:ln>
          <a:effectLst>
            <a:outerShdw blurRad="57150" dist="19050" dir="5400000" algn="ctr" rotWithShape="0">
              <a:srgbClr val="000000">
                <a:alpha val="63000"/>
              </a:srgbClr>
            </a:outerShdw>
          </a:effectLst>
          <a:sp3d/>
        </c:spPr>
      </c:pivotFmt>
      <c:pivotFmt>
        <c:idx val="97"/>
        <c:spPr>
          <a:solidFill>
            <a:srgbClr val="F3C9FF"/>
          </a:solidFill>
          <a:ln>
            <a:noFill/>
          </a:ln>
          <a:effectLst>
            <a:outerShdw blurRad="57150" dist="19050" dir="5400000" algn="ctr" rotWithShape="0">
              <a:srgbClr val="000000">
                <a:alpha val="63000"/>
              </a:srgbClr>
            </a:outerShdw>
          </a:effectLst>
          <a:sp3d/>
        </c:spPr>
      </c:pivotFmt>
      <c:pivotFmt>
        <c:idx val="98"/>
        <c:spPr>
          <a:solidFill>
            <a:srgbClr val="5AE498"/>
          </a:solidFill>
          <a:ln>
            <a:noFill/>
          </a:ln>
          <a:effectLst>
            <a:outerShdw blurRad="57150" dist="19050" dir="5400000" algn="ctr" rotWithShape="0">
              <a:srgbClr val="000000">
                <a:alpha val="63000"/>
              </a:srgbClr>
            </a:outerShdw>
          </a:effectLst>
          <a:sp3d/>
        </c:spPr>
        <c:dLbl>
          <c:idx val="0"/>
          <c:spPr>
            <a:solidFill>
              <a:schemeClr val="tx1">
                <a:lumMod val="50000"/>
                <a:lumOff val="50000"/>
              </a:schemeClr>
            </a:solidFill>
            <a:ln>
              <a:solidFill>
                <a:schemeClr val="bg1"/>
              </a:solidFill>
            </a:ln>
            <a:effectLst/>
          </c:spPr>
          <c:txPr>
            <a:bodyPr rot="0" spcFirstLastPara="1" vertOverflow="ellipsis" vert="horz" wrap="square" lIns="38100" tIns="19050" rIns="38100" bIns="19050" anchor="ctr" anchorCtr="1">
              <a:noAutofit/>
            </a:bodyPr>
            <a:lstStyle/>
            <a:p>
              <a:pPr>
                <a:defRPr sz="1600" b="0" i="0" u="none" strike="noStrike" kern="1200" baseline="0">
                  <a:solidFill>
                    <a:schemeClr val="bg1"/>
                  </a:solidFill>
                  <a:latin typeface="+mn-lt"/>
                  <a:ea typeface="+mn-ea"/>
                  <a:cs typeface="+mn-cs"/>
                </a:defRPr>
              </a:pPr>
              <a:endParaRPr lang="es-CO"/>
            </a:p>
          </c:txPr>
          <c:dLblPos val="outEnd"/>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99"/>
        <c:spPr>
          <a:solidFill>
            <a:srgbClr val="FFFF79"/>
          </a:solidFill>
          <a:ln>
            <a:noFill/>
          </a:ln>
          <a:effectLst>
            <a:outerShdw blurRad="57150" dist="19050" dir="5400000" algn="ctr" rotWithShape="0">
              <a:srgbClr val="000000">
                <a:alpha val="63000"/>
              </a:srgbClr>
            </a:outerShdw>
          </a:effectLst>
          <a:sp3d/>
        </c:spPr>
        <c:dLbl>
          <c:idx val="0"/>
          <c:spPr>
            <a:solidFill>
              <a:schemeClr val="tx1">
                <a:lumMod val="50000"/>
                <a:lumOff val="50000"/>
              </a:schemeClr>
            </a:solidFill>
            <a:ln>
              <a:solidFill>
                <a:schemeClr val="bg1"/>
              </a:solidFill>
            </a:ln>
            <a:effectLst/>
          </c:spPr>
          <c:txPr>
            <a:bodyPr rot="0" spcFirstLastPara="1" vertOverflow="ellipsis" vert="horz" wrap="square" lIns="38100" tIns="19050" rIns="38100" bIns="19050" anchor="ctr" anchorCtr="1">
              <a:noAutofit/>
            </a:bodyPr>
            <a:lstStyle/>
            <a:p>
              <a:pPr>
                <a:defRPr sz="1600" b="0" i="0" u="none" strike="noStrike" kern="1200" baseline="0">
                  <a:solidFill>
                    <a:schemeClr val="bg1"/>
                  </a:solidFill>
                  <a:latin typeface="+mn-lt"/>
                  <a:ea typeface="+mn-ea"/>
                  <a:cs typeface="+mn-cs"/>
                </a:defRPr>
              </a:pPr>
              <a:endParaRPr lang="es-CO"/>
            </a:p>
          </c:txPr>
          <c:dLblPos val="outEnd"/>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2271714922048998E-2"/>
          <c:y val="8.7657693230824021E-2"/>
          <c:w val="0.94334093789607099"/>
          <c:h val="0.87732788631738146"/>
        </c:manualLayout>
      </c:layout>
      <c:pie3DChart>
        <c:varyColors val="1"/>
        <c:ser>
          <c:idx val="0"/>
          <c:order val="0"/>
          <c:tx>
            <c:strRef>
              <c:f>TABLAS!$C$13</c:f>
              <c:strCache>
                <c:ptCount val="1"/>
                <c:pt idx="0">
                  <c:v>요약</c:v>
                </c:pt>
              </c:strCache>
            </c:strRef>
          </c:tx>
          <c:explosion val="48"/>
          <c:dPt>
            <c:idx val="0"/>
            <c:bubble3D val="0"/>
            <c:explosion val="15"/>
            <c:spPr>
              <a:solidFill>
                <a:srgbClr val="F0A138"/>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AA8E-4EF2-969B-08C88AB15E40}"/>
              </c:ext>
            </c:extLst>
          </c:dPt>
          <c:dPt>
            <c:idx val="1"/>
            <c:bubble3D val="0"/>
            <c:explosion val="15"/>
            <c:spPr>
              <a:solidFill>
                <a:srgbClr val="F3C9FF"/>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AA8E-4EF2-969B-08C88AB15E40}"/>
              </c:ext>
            </c:extLst>
          </c:dPt>
          <c:dPt>
            <c:idx val="2"/>
            <c:bubble3D val="0"/>
            <c:explosion val="7"/>
            <c:spPr>
              <a:solidFill>
                <a:srgbClr val="5AE498"/>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AA8E-4EF2-969B-08C88AB15E40}"/>
              </c:ext>
            </c:extLst>
          </c:dPt>
          <c:dPt>
            <c:idx val="3"/>
            <c:bubble3D val="0"/>
            <c:explosion val="0"/>
            <c:spPr>
              <a:solidFill>
                <a:srgbClr val="FFFF79"/>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AA8E-4EF2-969B-08C88AB15E40}"/>
              </c:ext>
            </c:extLst>
          </c:dPt>
          <c:dLbls>
            <c:dLbl>
              <c:idx val="2"/>
              <c:spPr>
                <a:solidFill>
                  <a:schemeClr val="tx1">
                    <a:lumMod val="50000"/>
                    <a:lumOff val="50000"/>
                  </a:schemeClr>
                </a:solidFill>
                <a:ln>
                  <a:solidFill>
                    <a:schemeClr val="bg1"/>
                  </a:solidFill>
                </a:ln>
                <a:effectLst/>
              </c:spPr>
              <c:txPr>
                <a:bodyPr rot="0" spcFirstLastPara="1" vertOverflow="ellipsis" vert="horz" wrap="square" lIns="38100" tIns="19050" rIns="38100" bIns="19050" anchor="ctr" anchorCtr="1">
                  <a:noAutofit/>
                </a:bodyPr>
                <a:lstStyle/>
                <a:p>
                  <a:pPr>
                    <a:defRPr sz="1600" b="0" i="0" u="none" strike="noStrike" kern="1200" baseline="0">
                      <a:solidFill>
                        <a:schemeClr val="bg1"/>
                      </a:solidFill>
                      <a:latin typeface="+mn-lt"/>
                      <a:ea typeface="+mn-ea"/>
                      <a:cs typeface="+mn-cs"/>
                    </a:defRPr>
                  </a:pPr>
                  <a:endParaRPr lang="es-CO"/>
                </a:p>
              </c:txPr>
              <c:dLblPos val="outEnd"/>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5-AA8E-4EF2-969B-08C88AB15E40}"/>
                </c:ext>
              </c:extLst>
            </c:dLbl>
            <c:dLbl>
              <c:idx val="3"/>
              <c:spPr>
                <a:solidFill>
                  <a:schemeClr val="tx1">
                    <a:lumMod val="50000"/>
                    <a:lumOff val="50000"/>
                  </a:schemeClr>
                </a:solidFill>
                <a:ln>
                  <a:solidFill>
                    <a:schemeClr val="bg1"/>
                  </a:solidFill>
                </a:ln>
                <a:effectLst/>
              </c:spPr>
              <c:txPr>
                <a:bodyPr rot="0" spcFirstLastPara="1" vertOverflow="ellipsis" vert="horz" wrap="square" lIns="38100" tIns="19050" rIns="38100" bIns="19050" anchor="ctr" anchorCtr="1">
                  <a:noAutofit/>
                </a:bodyPr>
                <a:lstStyle/>
                <a:p>
                  <a:pPr>
                    <a:defRPr sz="1600" b="0" i="0" u="none" strike="noStrike" kern="1200" baseline="0">
                      <a:solidFill>
                        <a:schemeClr val="bg1"/>
                      </a:solidFill>
                      <a:latin typeface="+mn-lt"/>
                      <a:ea typeface="+mn-ea"/>
                      <a:cs typeface="+mn-cs"/>
                    </a:defRPr>
                  </a:pPr>
                  <a:endParaRPr lang="es-CO"/>
                </a:p>
              </c:txPr>
              <c:dLblPos val="outEnd"/>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7-AA8E-4EF2-969B-08C88AB15E40}"/>
                </c:ext>
              </c:extLst>
            </c:dLbl>
            <c:spPr>
              <a:solidFill>
                <a:schemeClr val="tx1">
                  <a:lumMod val="50000"/>
                  <a:lumOff val="50000"/>
                </a:schemeClr>
              </a:solidFill>
              <a:ln>
                <a:solidFill>
                  <a:schemeClr val="bg1"/>
                </a:solid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s-CO"/>
              </a:p>
            </c:txPr>
            <c:dLblPos val="outEnd"/>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TABLAS!$B$14:$B$17</c:f>
              <c:strCache>
                <c:ptCount val="4"/>
                <c:pt idx="0">
                  <c:v>Suma de V.TOTAL. MAQUINARIA </c:v>
                </c:pt>
                <c:pt idx="1">
                  <c:v>Suma de V.TOTAL. COMBUSTIBLE</c:v>
                </c:pt>
                <c:pt idx="2">
                  <c:v>Suma de V.TOTAL MANO OBRA</c:v>
                </c:pt>
                <c:pt idx="3">
                  <c:v>Suma de V.TOTAL MATERIALES</c:v>
                </c:pt>
              </c:strCache>
            </c:strRef>
          </c:cat>
          <c:val>
            <c:numRef>
              <c:f>TABLAS!$C$14:$C$17</c:f>
              <c:numCache>
                <c:formatCode>"$"\ #,##0.00</c:formatCode>
                <c:ptCount val="4"/>
                <c:pt idx="0">
                  <c:v>3206131451.313168</c:v>
                </c:pt>
                <c:pt idx="1">
                  <c:v>510474929.9699856</c:v>
                </c:pt>
                <c:pt idx="2">
                  <c:v>16894469400.35409</c:v>
                </c:pt>
                <c:pt idx="3">
                  <c:v>12642530228.837402</c:v>
                </c:pt>
              </c:numCache>
            </c:numRef>
          </c:val>
          <c:extLst>
            <c:ext xmlns:c16="http://schemas.microsoft.com/office/drawing/2014/chart" uri="{C3380CC4-5D6E-409C-BE32-E72D297353CC}">
              <c16:uniqueId val="{00000008-AA8E-4EF2-969B-08C88AB15E40}"/>
            </c:ext>
          </c:extLst>
        </c:ser>
        <c:dLbls>
          <c:dLblPos val="bestFit"/>
          <c:showLegendKey val="0"/>
          <c:showVal val="0"/>
          <c:showCatName val="0"/>
          <c:showSerName val="0"/>
          <c:showPercent val="1"/>
          <c:showBubbleSize val="0"/>
          <c:showLeaderLines val="1"/>
        </c:dLbls>
      </c:pie3DChart>
      <c:spPr>
        <a:noFill/>
        <a:ln>
          <a:noFill/>
        </a:ln>
        <a:effectLst/>
      </c:spPr>
    </c:plotArea>
    <c:legend>
      <c:legendPos val="r"/>
      <c:layout>
        <c:manualLayout>
          <c:xMode val="edge"/>
          <c:yMode val="edge"/>
          <c:x val="3.3024218297879812E-2"/>
          <c:y val="0.8705384835745088"/>
          <c:w val="0.9638025592012579"/>
          <c:h val="0.12748906386701661"/>
        </c:manualLayout>
      </c:layout>
      <c:overlay val="0"/>
      <c:spPr>
        <a:noFill/>
        <a:ln>
          <a:noFill/>
        </a:ln>
        <a:effectLst/>
      </c:spPr>
      <c:txPr>
        <a:bodyPr rot="0" spcFirstLastPara="1" vertOverflow="ellipsis" vert="horz" wrap="square" anchor="ctr" anchorCtr="1"/>
        <a:lstStyle/>
        <a:p>
          <a:pPr>
            <a:defRPr sz="2500" b="0" i="0" u="none" strike="noStrike" kern="1200" baseline="0">
              <a:solidFill>
                <a:schemeClr val="bg1"/>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bg1"/>
      </a:solidFill>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pivotSource>
    <c:name>[TEPUY 26-09 revision 00 - copia-1.xlsx]TABLAS!TablaDinámica2</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0800" dist="38100" dir="5400000" algn="t" rotWithShape="0">
              <a:prstClr val="black">
                <a:alpha val="40000"/>
              </a:prstClr>
            </a:outerShdw>
          </a:effectLst>
          <a:scene3d>
            <a:camera prst="orthographicFront"/>
            <a:lightRig rig="threePt" dir="t"/>
          </a:scene3d>
          <a:sp3d>
            <a:bevelT prst="angle"/>
          </a:sp3d>
        </c:spPr>
        <c:marker>
          <c:symbol val="none"/>
        </c:marker>
        <c:dLbl>
          <c:idx val="0"/>
          <c:spPr>
            <a:noFill/>
            <a:ln>
              <a:solidFill>
                <a:schemeClr val="bg1"/>
              </a:solidFill>
            </a:ln>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tx1"/>
                  </a:solidFill>
                  <a:latin typeface="+mn-lt"/>
                  <a:ea typeface="+mn-ea"/>
                  <a:cs typeface="+mn-cs"/>
                </a:defRPr>
              </a:pPr>
              <a:endParaRPr lang="es-CO"/>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blipFill>
            <a:blip xmlns:r="http://schemas.openxmlformats.org/officeDocument/2006/relationships" r:embed="rId3"/>
            <a:tile tx="0" ty="0" sx="100000" sy="100000" flip="none" algn="tl"/>
          </a:blipFill>
          <a:ln>
            <a:noFill/>
          </a:ln>
          <a:effectLst>
            <a:outerShdw blurRad="50800" dist="38100" dir="5400000" algn="t" rotWithShape="0">
              <a:prstClr val="black">
                <a:alpha val="40000"/>
              </a:prstClr>
            </a:outerShdw>
          </a:effectLst>
          <a:scene3d>
            <a:camera prst="orthographicFront"/>
            <a:lightRig rig="threePt" dir="t"/>
          </a:scene3d>
          <a:sp3d>
            <a:bevelT prst="angle"/>
          </a:sp3d>
        </c:spPr>
        <c:dLbl>
          <c:idx val="0"/>
          <c:spPr>
            <a:noFill/>
            <a:ln>
              <a:solidFill>
                <a:schemeClr val="bg1"/>
              </a:solidFill>
            </a:ln>
            <a:effectLst/>
          </c:spPr>
          <c:txPr>
            <a:bodyPr rot="0" spcFirstLastPara="1" vertOverflow="ellipsis" vert="horz" wrap="square" lIns="38100" tIns="19050" rIns="38100" bIns="19050" anchor="ctr" anchorCtr="1">
              <a:noAutofit/>
            </a:bodyPr>
            <a:lstStyle/>
            <a:p>
              <a:pPr>
                <a:defRPr sz="1800" b="0" i="0" u="none" strike="noStrike" kern="1200" baseline="0">
                  <a:solidFill>
                    <a:schemeClr val="tx1"/>
                  </a:solidFill>
                  <a:latin typeface="+mn-lt"/>
                  <a:ea typeface="+mn-ea"/>
                  <a:cs typeface="+mn-cs"/>
                </a:defRPr>
              </a:pPr>
              <a:endParaRPr lang="es-CO"/>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85324"/>
          </a:solidFill>
          <a:ln>
            <a:noFill/>
          </a:ln>
          <a:effectLst>
            <a:outerShdw blurRad="50800" dist="38100" dir="5400000" algn="t" rotWithShape="0">
              <a:prstClr val="black">
                <a:alpha val="40000"/>
              </a:prstClr>
            </a:outerShdw>
          </a:effectLst>
          <a:scene3d>
            <a:camera prst="orthographicFront"/>
            <a:lightRig rig="threePt" dir="t"/>
          </a:scene3d>
          <a:sp3d>
            <a:bevelT prst="angle"/>
          </a:sp3d>
        </c:spPr>
        <c:dLbl>
          <c:idx val="0"/>
          <c:spPr>
            <a:noFill/>
            <a:ln>
              <a:solidFill>
                <a:schemeClr val="bg1"/>
              </a:solidFill>
            </a:ln>
            <a:effectLst/>
          </c:spPr>
          <c:txPr>
            <a:bodyPr rot="0" spcFirstLastPara="1" vertOverflow="ellipsis" vert="horz" wrap="square" lIns="38100" tIns="19050" rIns="38100" bIns="19050" anchor="ctr" anchorCtr="1">
              <a:noAutofit/>
            </a:bodyPr>
            <a:lstStyle/>
            <a:p>
              <a:pPr>
                <a:defRPr sz="1800" b="0" i="0" u="none" strike="noStrike" kern="1200" baseline="0">
                  <a:solidFill>
                    <a:schemeClr val="tx1"/>
                  </a:solidFill>
                  <a:latin typeface="+mn-lt"/>
                  <a:ea typeface="+mn-ea"/>
                  <a:cs typeface="+mn-cs"/>
                </a:defRPr>
              </a:pPr>
              <a:endParaRPr lang="es-CO"/>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blipFill>
            <a:blip xmlns:r="http://schemas.openxmlformats.org/officeDocument/2006/relationships" r:embed="rId4"/>
            <a:tile tx="0" ty="0" sx="100000" sy="100000" flip="none" algn="tl"/>
          </a:blipFill>
          <a:ln>
            <a:noFill/>
          </a:ln>
          <a:effectLst>
            <a:outerShdw blurRad="50800" dist="38100" dir="5400000" algn="t" rotWithShape="0">
              <a:prstClr val="black">
                <a:alpha val="40000"/>
              </a:prstClr>
            </a:outerShdw>
          </a:effectLst>
          <a:scene3d>
            <a:camera prst="orthographicFront"/>
            <a:lightRig rig="threePt" dir="t"/>
          </a:scene3d>
          <a:sp3d>
            <a:bevelT prst="angle"/>
          </a:sp3d>
        </c:spPr>
        <c:dLbl>
          <c:idx val="0"/>
          <c:spPr>
            <a:noFill/>
            <a:ln>
              <a:solidFill>
                <a:schemeClr val="bg1"/>
              </a:solidFill>
            </a:ln>
            <a:effectLst/>
          </c:spPr>
          <c:txPr>
            <a:bodyPr rot="0" spcFirstLastPara="1" vertOverflow="ellipsis" vert="horz" wrap="square" lIns="38100" tIns="19050" rIns="38100" bIns="19050" anchor="ctr" anchorCtr="1">
              <a:noAutofit/>
            </a:bodyPr>
            <a:lstStyle/>
            <a:p>
              <a:pPr>
                <a:defRPr sz="1800" b="0" i="0" u="none" strike="noStrike" kern="1200" baseline="0">
                  <a:solidFill>
                    <a:schemeClr val="tx1"/>
                  </a:solidFill>
                  <a:latin typeface="+mn-lt"/>
                  <a:ea typeface="+mn-ea"/>
                  <a:cs typeface="+mn-cs"/>
                </a:defRPr>
              </a:pPr>
              <a:endParaRPr lang="es-CO"/>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lin ang="0" scaled="1"/>
            <a:tileRect/>
          </a:gradFill>
          <a:ln>
            <a:noFill/>
          </a:ln>
          <a:effectLst>
            <a:outerShdw blurRad="50800" dist="38100" dir="5400000" algn="t" rotWithShape="0">
              <a:prstClr val="black">
                <a:alpha val="40000"/>
              </a:prstClr>
            </a:outerShdw>
          </a:effectLst>
          <a:scene3d>
            <a:camera prst="orthographicFront"/>
            <a:lightRig rig="threePt" dir="t"/>
          </a:scene3d>
          <a:sp3d>
            <a:bevelT prst="angle"/>
          </a:sp3d>
        </c:spPr>
        <c:dLbl>
          <c:idx val="0"/>
          <c:spPr>
            <a:noFill/>
            <a:ln>
              <a:solidFill>
                <a:schemeClr val="bg1"/>
              </a:solidFill>
            </a:ln>
            <a:effectLst/>
          </c:spPr>
          <c:txPr>
            <a:bodyPr rot="0" spcFirstLastPara="1" vertOverflow="ellipsis" vert="horz" wrap="square" lIns="38100" tIns="19050" rIns="38100" bIns="19050" anchor="ctr" anchorCtr="1">
              <a:noAutofit/>
            </a:bodyPr>
            <a:lstStyle/>
            <a:p>
              <a:pPr>
                <a:defRPr sz="1800" b="0" i="0" u="none" strike="noStrike" kern="1200" baseline="0">
                  <a:solidFill>
                    <a:schemeClr val="tx1"/>
                  </a:solidFill>
                  <a:latin typeface="+mn-lt"/>
                  <a:ea typeface="+mn-ea"/>
                  <a:cs typeface="+mn-cs"/>
                </a:defRPr>
              </a:pPr>
              <a:endParaRPr lang="es-CO"/>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0800" dist="38100" dir="5400000" algn="t" rotWithShape="0">
              <a:prstClr val="black">
                <a:alpha val="40000"/>
              </a:prstClr>
            </a:outerShdw>
          </a:effectLst>
          <a:scene3d>
            <a:camera prst="orthographicFront"/>
            <a:lightRig rig="threePt" dir="t"/>
          </a:scene3d>
          <a:sp3d>
            <a:bevelT prst="angle"/>
          </a:sp3d>
        </c:spPr>
        <c:marker>
          <c:symbol val="none"/>
        </c:marker>
        <c:dLbl>
          <c:idx val="0"/>
          <c:spPr>
            <a:noFill/>
            <a:ln>
              <a:solidFill>
                <a:schemeClr val="bg1"/>
              </a:solidFill>
            </a:ln>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tx1"/>
                  </a:solidFill>
                  <a:latin typeface="+mn-lt"/>
                  <a:ea typeface="+mn-ea"/>
                  <a:cs typeface="+mn-cs"/>
                </a:defRPr>
              </a:pPr>
              <a:endParaRPr lang="es-CO"/>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E85324"/>
          </a:solidFill>
          <a:ln>
            <a:noFill/>
          </a:ln>
          <a:effectLst>
            <a:outerShdw blurRad="50800" dist="38100" dir="5400000" algn="t" rotWithShape="0">
              <a:prstClr val="black">
                <a:alpha val="40000"/>
              </a:prstClr>
            </a:outerShdw>
          </a:effectLst>
          <a:scene3d>
            <a:camera prst="orthographicFront"/>
            <a:lightRig rig="threePt" dir="t"/>
          </a:scene3d>
          <a:sp3d>
            <a:bevelT prst="angle"/>
          </a:sp3d>
        </c:spPr>
        <c:dLbl>
          <c:idx val="0"/>
          <c:spPr>
            <a:noFill/>
            <a:ln>
              <a:solidFill>
                <a:schemeClr val="bg1"/>
              </a:solidFill>
            </a:ln>
            <a:effectLst/>
          </c:spPr>
          <c:txPr>
            <a:bodyPr rot="0" spcFirstLastPara="1" vertOverflow="ellipsis" vert="horz" wrap="square" lIns="38100" tIns="19050" rIns="38100" bIns="19050" anchor="ctr" anchorCtr="1">
              <a:noAutofit/>
            </a:bodyPr>
            <a:lstStyle/>
            <a:p>
              <a:pPr>
                <a:defRPr sz="1800" b="0" i="0" u="none" strike="noStrike" kern="1200" baseline="0">
                  <a:solidFill>
                    <a:schemeClr val="tx1"/>
                  </a:solidFill>
                  <a:latin typeface="+mn-lt"/>
                  <a:ea typeface="+mn-ea"/>
                  <a:cs typeface="+mn-cs"/>
                </a:defRPr>
              </a:pPr>
              <a:endParaRPr lang="es-CO"/>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blipFill>
            <a:blip xmlns:r="http://schemas.openxmlformats.org/officeDocument/2006/relationships" r:embed="rId3"/>
            <a:tile tx="0" ty="0" sx="100000" sy="100000" flip="none" algn="tl"/>
          </a:blipFill>
          <a:ln>
            <a:noFill/>
          </a:ln>
          <a:effectLst>
            <a:outerShdw blurRad="50800" dist="38100" dir="5400000" algn="t" rotWithShape="0">
              <a:prstClr val="black">
                <a:alpha val="40000"/>
              </a:prstClr>
            </a:outerShdw>
          </a:effectLst>
          <a:scene3d>
            <a:camera prst="orthographicFront"/>
            <a:lightRig rig="threePt" dir="t"/>
          </a:scene3d>
          <a:sp3d>
            <a:bevelT prst="angle"/>
          </a:sp3d>
        </c:spPr>
        <c:dLbl>
          <c:idx val="0"/>
          <c:spPr>
            <a:noFill/>
            <a:ln>
              <a:solidFill>
                <a:schemeClr val="bg1"/>
              </a:solidFill>
            </a:ln>
            <a:effectLst/>
          </c:spPr>
          <c:txPr>
            <a:bodyPr rot="0" spcFirstLastPara="1" vertOverflow="ellipsis" vert="horz" wrap="square" lIns="38100" tIns="19050" rIns="38100" bIns="19050" anchor="ctr" anchorCtr="1">
              <a:noAutofit/>
            </a:bodyPr>
            <a:lstStyle/>
            <a:p>
              <a:pPr>
                <a:defRPr sz="1800" b="0" i="0" u="none" strike="noStrike" kern="1200" baseline="0">
                  <a:solidFill>
                    <a:schemeClr val="tx1"/>
                  </a:solidFill>
                  <a:latin typeface="+mn-lt"/>
                  <a:ea typeface="+mn-ea"/>
                  <a:cs typeface="+mn-cs"/>
                </a:defRPr>
              </a:pPr>
              <a:endParaRPr lang="es-CO"/>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blipFill>
            <a:blip xmlns:r="http://schemas.openxmlformats.org/officeDocument/2006/relationships" r:embed="rId4"/>
            <a:tile tx="0" ty="0" sx="100000" sy="100000" flip="none" algn="tl"/>
          </a:blipFill>
          <a:ln>
            <a:noFill/>
          </a:ln>
          <a:effectLst>
            <a:outerShdw blurRad="50800" dist="38100" dir="5400000" algn="t" rotWithShape="0">
              <a:prstClr val="black">
                <a:alpha val="40000"/>
              </a:prstClr>
            </a:outerShdw>
          </a:effectLst>
          <a:scene3d>
            <a:camera prst="orthographicFront"/>
            <a:lightRig rig="threePt" dir="t"/>
          </a:scene3d>
          <a:sp3d>
            <a:bevelT prst="angle"/>
          </a:sp3d>
        </c:spPr>
        <c:dLbl>
          <c:idx val="0"/>
          <c:spPr>
            <a:noFill/>
            <a:ln>
              <a:solidFill>
                <a:schemeClr val="bg1"/>
              </a:solidFill>
            </a:ln>
            <a:effectLst/>
          </c:spPr>
          <c:txPr>
            <a:bodyPr rot="0" spcFirstLastPara="1" vertOverflow="ellipsis" vert="horz" wrap="square" lIns="38100" tIns="19050" rIns="38100" bIns="19050" anchor="ctr" anchorCtr="1">
              <a:noAutofit/>
            </a:bodyPr>
            <a:lstStyle/>
            <a:p>
              <a:pPr>
                <a:defRPr sz="1800" b="0" i="0" u="none" strike="noStrike" kern="1200" baseline="0">
                  <a:solidFill>
                    <a:schemeClr val="tx1"/>
                  </a:solidFill>
                  <a:latin typeface="+mn-lt"/>
                  <a:ea typeface="+mn-ea"/>
                  <a:cs typeface="+mn-cs"/>
                </a:defRPr>
              </a:pPr>
              <a:endParaRPr lang="es-CO"/>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lin ang="0" scaled="1"/>
            <a:tileRect/>
          </a:gradFill>
          <a:ln>
            <a:noFill/>
          </a:ln>
          <a:effectLst>
            <a:outerShdw blurRad="50800" dist="38100" dir="5400000" algn="t" rotWithShape="0">
              <a:prstClr val="black">
                <a:alpha val="40000"/>
              </a:prstClr>
            </a:outerShdw>
          </a:effectLst>
          <a:scene3d>
            <a:camera prst="orthographicFront"/>
            <a:lightRig rig="threePt" dir="t"/>
          </a:scene3d>
          <a:sp3d>
            <a:bevelT prst="angle"/>
          </a:sp3d>
        </c:spPr>
        <c:dLbl>
          <c:idx val="0"/>
          <c:spPr>
            <a:noFill/>
            <a:ln>
              <a:solidFill>
                <a:schemeClr val="bg1"/>
              </a:solidFill>
            </a:ln>
            <a:effectLst/>
          </c:spPr>
          <c:txPr>
            <a:bodyPr rot="0" spcFirstLastPara="1" vertOverflow="ellipsis" vert="horz" wrap="square" lIns="38100" tIns="19050" rIns="38100" bIns="19050" anchor="ctr" anchorCtr="1">
              <a:noAutofit/>
            </a:bodyPr>
            <a:lstStyle/>
            <a:p>
              <a:pPr>
                <a:defRPr sz="1800" b="0" i="0" u="none" strike="noStrike" kern="1200" baseline="0">
                  <a:solidFill>
                    <a:schemeClr val="tx1"/>
                  </a:solidFill>
                  <a:latin typeface="+mn-lt"/>
                  <a:ea typeface="+mn-ea"/>
                  <a:cs typeface="+mn-cs"/>
                </a:defRPr>
              </a:pPr>
              <a:endParaRPr lang="es-CO"/>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0800" dist="38100" dir="5400000" algn="t" rotWithShape="0">
              <a:prstClr val="black">
                <a:alpha val="40000"/>
              </a:prstClr>
            </a:outerShdw>
          </a:effectLst>
          <a:scene3d>
            <a:camera prst="orthographicFront"/>
            <a:lightRig rig="threePt" dir="t"/>
          </a:scene3d>
          <a:sp3d>
            <a:bevelT prst="angle"/>
          </a:sp3d>
        </c:spPr>
        <c:marker>
          <c:symbol val="none"/>
        </c:marker>
        <c:dLbl>
          <c:idx val="0"/>
          <c:spPr>
            <a:solidFill>
              <a:schemeClr val="tx1">
                <a:lumMod val="50000"/>
                <a:lumOff val="50000"/>
              </a:schemeClr>
            </a:solidFill>
            <a:ln>
              <a:solidFill>
                <a:schemeClr val="bg1"/>
              </a:solidFill>
            </a:ln>
            <a:effectLst/>
          </c:spPr>
          <c:txPr>
            <a:bodyPr rot="0" spcFirstLastPara="1" vertOverflow="clip" horzOverflow="clip"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s-CO"/>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rgbClr val="F0A138"/>
          </a:solidFill>
          <a:ln>
            <a:noFill/>
          </a:ln>
          <a:effectLst>
            <a:outerShdw blurRad="50800" dist="38100" dir="5400000" algn="t" rotWithShape="0">
              <a:prstClr val="black">
                <a:alpha val="40000"/>
              </a:prstClr>
            </a:outerShdw>
          </a:effectLst>
          <a:scene3d>
            <a:camera prst="orthographicFront"/>
            <a:lightRig rig="threePt" dir="t"/>
          </a:scene3d>
          <a:sp3d>
            <a:bevelT prst="angle"/>
          </a:sp3d>
        </c:spPr>
        <c:dLbl>
          <c:idx val="0"/>
          <c:layout>
            <c:manualLayout>
              <c:x val="-9.6914366867146187E-3"/>
              <c:y val="-1.1553244598167225E-2"/>
            </c:manualLayout>
          </c:layout>
          <c:spPr>
            <a:solidFill>
              <a:schemeClr val="tx1">
                <a:lumMod val="50000"/>
                <a:lumOff val="50000"/>
              </a:schemeClr>
            </a:solidFill>
            <a:ln>
              <a:solidFill>
                <a:schemeClr val="bg1"/>
              </a:solid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bg1"/>
                  </a:solidFill>
                  <a:latin typeface="+mn-lt"/>
                  <a:ea typeface="+mn-ea"/>
                  <a:cs typeface="+mn-cs"/>
                </a:defRPr>
              </a:pPr>
              <a:endParaRPr lang="es-CO"/>
            </a:p>
          </c:txPr>
          <c:dLblPos val="bestFit"/>
          <c:showLegendKey val="0"/>
          <c:showVal val="1"/>
          <c:showCatName val="0"/>
          <c:showSerName val="0"/>
          <c:showPercent val="0"/>
          <c:showBubbleSize val="0"/>
          <c:extLst>
            <c:ext xmlns:c15="http://schemas.microsoft.com/office/drawing/2012/chart" uri="{CE6537A1-D6FC-4f65-9D91-7224C49458BB}">
              <c15:layout>
                <c:manualLayout>
                  <c:w val="0.15144876196046281"/>
                  <c:h val="5.4680214158046116E-2"/>
                </c:manualLayout>
              </c15:layout>
            </c:ext>
          </c:extLst>
        </c:dLbl>
      </c:pivotFmt>
      <c:pivotFmt>
        <c:idx val="13"/>
        <c:spPr>
          <a:solidFill>
            <a:srgbClr val="F3C9FF"/>
          </a:solidFill>
          <a:ln>
            <a:noFill/>
          </a:ln>
          <a:effectLst>
            <a:outerShdw blurRad="50800" dist="38100" dir="5400000" algn="t" rotWithShape="0">
              <a:prstClr val="black">
                <a:alpha val="40000"/>
              </a:prstClr>
            </a:outerShdw>
          </a:effectLst>
          <a:scene3d>
            <a:camera prst="orthographicFront"/>
            <a:lightRig rig="threePt" dir="t"/>
          </a:scene3d>
          <a:sp3d>
            <a:bevelT prst="angle"/>
          </a:sp3d>
        </c:spPr>
        <c:dLbl>
          <c:idx val="0"/>
          <c:layout>
            <c:manualLayout>
              <c:x val="5.0310666951247827E-2"/>
              <c:y val="-8.9640709926470843E-2"/>
            </c:manualLayout>
          </c:layout>
          <c:spPr>
            <a:solidFill>
              <a:schemeClr val="tx1">
                <a:lumMod val="50000"/>
                <a:lumOff val="50000"/>
              </a:schemeClr>
            </a:solidFill>
            <a:ln>
              <a:solidFill>
                <a:schemeClr val="bg1"/>
              </a:solid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bg1"/>
                  </a:solidFill>
                  <a:latin typeface="+mn-lt"/>
                  <a:ea typeface="+mn-ea"/>
                  <a:cs typeface="+mn-cs"/>
                </a:defRPr>
              </a:pPr>
              <a:endParaRPr lang="es-CO"/>
            </a:p>
          </c:txPr>
          <c:dLblPos val="bestFit"/>
          <c:showLegendKey val="0"/>
          <c:showVal val="1"/>
          <c:showCatName val="0"/>
          <c:showSerName val="0"/>
          <c:showPercent val="0"/>
          <c:showBubbleSize val="0"/>
          <c:extLst>
            <c:ext xmlns:c15="http://schemas.microsoft.com/office/drawing/2012/chart" uri="{CE6537A1-D6FC-4f65-9D91-7224C49458BB}">
              <c15:layout>
                <c:manualLayout>
                  <c:w val="0.13340159487241174"/>
                  <c:h val="6.1118846764853282E-2"/>
                </c:manualLayout>
              </c15:layout>
            </c:ext>
          </c:extLst>
        </c:dLbl>
      </c:pivotFmt>
      <c:pivotFmt>
        <c:idx val="14"/>
        <c:spPr>
          <a:solidFill>
            <a:srgbClr val="5AE498"/>
          </a:solidFill>
          <a:ln>
            <a:noFill/>
          </a:ln>
          <a:effectLst>
            <a:outerShdw blurRad="50800" dist="38100" dir="5400000" algn="t" rotWithShape="0">
              <a:prstClr val="black">
                <a:alpha val="40000"/>
              </a:prstClr>
            </a:outerShdw>
          </a:effectLst>
          <a:scene3d>
            <a:camera prst="orthographicFront"/>
            <a:lightRig rig="threePt" dir="t"/>
          </a:scene3d>
          <a:sp3d>
            <a:bevelT prst="angle"/>
          </a:sp3d>
        </c:spPr>
        <c:dLbl>
          <c:idx val="0"/>
          <c:layout>
            <c:manualLayout>
              <c:x val="4.0091419014985405E-2"/>
              <c:y val="3.0572485598084471E-2"/>
            </c:manualLayout>
          </c:layout>
          <c:spPr>
            <a:solidFill>
              <a:schemeClr val="tx1">
                <a:lumMod val="50000"/>
                <a:lumOff val="50000"/>
              </a:schemeClr>
            </a:solidFill>
            <a:ln>
              <a:solidFill>
                <a:schemeClr val="bg1"/>
              </a:solid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bg1"/>
                  </a:solidFill>
                  <a:latin typeface="+mn-lt"/>
                  <a:ea typeface="+mn-ea"/>
                  <a:cs typeface="+mn-cs"/>
                </a:defRPr>
              </a:pPr>
              <a:endParaRPr lang="es-CO"/>
            </a:p>
          </c:txPr>
          <c:dLblPos val="bestFit"/>
          <c:showLegendKey val="0"/>
          <c:showVal val="1"/>
          <c:showCatName val="0"/>
          <c:showSerName val="0"/>
          <c:showPercent val="0"/>
          <c:showBubbleSize val="0"/>
          <c:extLst>
            <c:ext xmlns:c15="http://schemas.microsoft.com/office/drawing/2012/chart" uri="{CE6537A1-D6FC-4f65-9D91-7224C49458BB}">
              <c15:layout>
                <c:manualLayout>
                  <c:w val="0.14913859299363971"/>
                  <c:h val="5.8752522537115298E-2"/>
                </c:manualLayout>
              </c15:layout>
            </c:ext>
          </c:extLst>
        </c:dLbl>
      </c:pivotFmt>
      <c:pivotFmt>
        <c:idx val="15"/>
        <c:spPr>
          <a:solidFill>
            <a:srgbClr val="FFFF79"/>
          </a:solidFill>
          <a:ln>
            <a:noFill/>
          </a:ln>
          <a:effectLst>
            <a:outerShdw blurRad="50800" dist="38100" dir="5400000" algn="t" rotWithShape="0">
              <a:prstClr val="black">
                <a:alpha val="40000"/>
              </a:prstClr>
            </a:outerShdw>
          </a:effectLst>
          <a:scene3d>
            <a:camera prst="orthographicFront"/>
            <a:lightRig rig="threePt" dir="t"/>
          </a:scene3d>
          <a:sp3d>
            <a:bevelT prst="angle"/>
          </a:sp3d>
        </c:spPr>
        <c:dLbl>
          <c:idx val="0"/>
          <c:layout>
            <c:manualLayout>
              <c:x val="-1.1333751817825538E-2"/>
              <c:y val="5.4208487689953464E-3"/>
            </c:manualLayout>
          </c:layout>
          <c:spPr>
            <a:solidFill>
              <a:schemeClr val="tx1">
                <a:lumMod val="50000"/>
                <a:lumOff val="50000"/>
              </a:schemeClr>
            </a:solidFill>
            <a:ln>
              <a:solidFill>
                <a:schemeClr val="bg1"/>
              </a:solid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bg1"/>
                  </a:solidFill>
                  <a:latin typeface="+mn-lt"/>
                  <a:ea typeface="+mn-ea"/>
                  <a:cs typeface="+mn-cs"/>
                </a:defRPr>
              </a:pPr>
              <a:endParaRPr lang="es-CO"/>
            </a:p>
          </c:txPr>
          <c:dLblPos val="bestFit"/>
          <c:showLegendKey val="0"/>
          <c:showVal val="1"/>
          <c:showCatName val="0"/>
          <c:showSerName val="0"/>
          <c:showPercent val="0"/>
          <c:showBubbleSize val="0"/>
          <c:extLst>
            <c:ext xmlns:c15="http://schemas.microsoft.com/office/drawing/2012/chart" uri="{CE6537A1-D6FC-4f65-9D91-7224C49458BB}">
              <c15:layout>
                <c:manualLayout>
                  <c:w val="0.12377175575211025"/>
                  <c:h val="6.4338163068256862E-2"/>
                </c:manualLayout>
              </c15:layout>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926704750141526"/>
          <c:y val="6.5526141576516581E-2"/>
          <c:w val="0.72914085739282597"/>
          <c:h val="0.79599710273604507"/>
        </c:manualLayout>
      </c:layout>
      <c:pie3DChart>
        <c:varyColors val="1"/>
        <c:ser>
          <c:idx val="0"/>
          <c:order val="0"/>
          <c:tx>
            <c:strRef>
              <c:f>TABLAS!$B$33</c:f>
              <c:strCache>
                <c:ptCount val="1"/>
                <c:pt idx="0">
                  <c:v>요약</c:v>
                </c:pt>
              </c:strCache>
            </c:strRef>
          </c:tx>
          <c:spPr>
            <a:effectLst>
              <a:outerShdw blurRad="50800" dist="38100" dir="5400000" algn="t" rotWithShape="0">
                <a:prstClr val="black">
                  <a:alpha val="40000"/>
                </a:prstClr>
              </a:outerShdw>
            </a:effectLst>
            <a:scene3d>
              <a:camera prst="orthographicFront"/>
              <a:lightRig rig="threePt" dir="t"/>
            </a:scene3d>
            <a:sp3d>
              <a:bevelT prst="angle"/>
            </a:sp3d>
          </c:spPr>
          <c:dPt>
            <c:idx val="0"/>
            <c:bubble3D val="0"/>
            <c:explosion val="8"/>
            <c:spPr>
              <a:solidFill>
                <a:srgbClr val="F0A138"/>
              </a:solidFill>
              <a:ln>
                <a:noFill/>
              </a:ln>
              <a:effectLst>
                <a:outerShdw blurRad="50800" dist="38100" dir="5400000" algn="t" rotWithShape="0">
                  <a:prstClr val="black">
                    <a:alpha val="40000"/>
                  </a:prstClr>
                </a:outerShdw>
              </a:effectLst>
              <a:scene3d>
                <a:camera prst="orthographicFront"/>
                <a:lightRig rig="threePt" dir="t"/>
              </a:scene3d>
              <a:sp3d>
                <a:bevelT prst="angle"/>
              </a:sp3d>
            </c:spPr>
            <c:extLst>
              <c:ext xmlns:c16="http://schemas.microsoft.com/office/drawing/2014/chart" uri="{C3380CC4-5D6E-409C-BE32-E72D297353CC}">
                <c16:uniqueId val="{00000001-7F6B-4A5F-B573-BBADA7BB7AFD}"/>
              </c:ext>
            </c:extLst>
          </c:dPt>
          <c:dPt>
            <c:idx val="1"/>
            <c:bubble3D val="0"/>
            <c:explosion val="4"/>
            <c:spPr>
              <a:solidFill>
                <a:srgbClr val="F3C9FF"/>
              </a:solidFill>
              <a:ln>
                <a:noFill/>
              </a:ln>
              <a:effectLst>
                <a:outerShdw blurRad="50800" dist="38100" dir="5400000" algn="t" rotWithShape="0">
                  <a:prstClr val="black">
                    <a:alpha val="40000"/>
                  </a:prstClr>
                </a:outerShdw>
              </a:effectLst>
              <a:scene3d>
                <a:camera prst="orthographicFront"/>
                <a:lightRig rig="threePt" dir="t"/>
              </a:scene3d>
              <a:sp3d>
                <a:bevelT prst="angle"/>
              </a:sp3d>
            </c:spPr>
            <c:extLst>
              <c:ext xmlns:c16="http://schemas.microsoft.com/office/drawing/2014/chart" uri="{C3380CC4-5D6E-409C-BE32-E72D297353CC}">
                <c16:uniqueId val="{00000003-7F6B-4A5F-B573-BBADA7BB7AFD}"/>
              </c:ext>
            </c:extLst>
          </c:dPt>
          <c:dPt>
            <c:idx val="2"/>
            <c:bubble3D val="0"/>
            <c:explosion val="6"/>
            <c:spPr>
              <a:solidFill>
                <a:srgbClr val="5AE498"/>
              </a:solidFill>
              <a:ln>
                <a:noFill/>
              </a:ln>
              <a:effectLst>
                <a:outerShdw blurRad="50800" dist="38100" dir="5400000" algn="t" rotWithShape="0">
                  <a:prstClr val="black">
                    <a:alpha val="40000"/>
                  </a:prstClr>
                </a:outerShdw>
              </a:effectLst>
              <a:scene3d>
                <a:camera prst="orthographicFront"/>
                <a:lightRig rig="threePt" dir="t"/>
              </a:scene3d>
              <a:sp3d>
                <a:bevelT prst="angle"/>
              </a:sp3d>
            </c:spPr>
            <c:extLst>
              <c:ext xmlns:c16="http://schemas.microsoft.com/office/drawing/2014/chart" uri="{C3380CC4-5D6E-409C-BE32-E72D297353CC}">
                <c16:uniqueId val="{00000005-7F6B-4A5F-B573-BBADA7BB7AFD}"/>
              </c:ext>
            </c:extLst>
          </c:dPt>
          <c:dPt>
            <c:idx val="3"/>
            <c:bubble3D val="0"/>
            <c:explosion val="5"/>
            <c:spPr>
              <a:solidFill>
                <a:srgbClr val="FFFF79"/>
              </a:solidFill>
              <a:ln>
                <a:noFill/>
              </a:ln>
              <a:effectLst>
                <a:outerShdw blurRad="50800" dist="38100" dir="5400000" algn="t" rotWithShape="0">
                  <a:prstClr val="black">
                    <a:alpha val="40000"/>
                  </a:prstClr>
                </a:outerShdw>
              </a:effectLst>
              <a:scene3d>
                <a:camera prst="orthographicFront"/>
                <a:lightRig rig="threePt" dir="t"/>
              </a:scene3d>
              <a:sp3d>
                <a:bevelT prst="angle"/>
              </a:sp3d>
            </c:spPr>
            <c:extLst>
              <c:ext xmlns:c16="http://schemas.microsoft.com/office/drawing/2014/chart" uri="{C3380CC4-5D6E-409C-BE32-E72D297353CC}">
                <c16:uniqueId val="{00000007-7F6B-4A5F-B573-BBADA7BB7AFD}"/>
              </c:ext>
            </c:extLst>
          </c:dPt>
          <c:dLbls>
            <c:dLbl>
              <c:idx val="0"/>
              <c:layout>
                <c:manualLayout>
                  <c:x val="-9.6914366867146187E-3"/>
                  <c:y val="-1.1553244598167225E-2"/>
                </c:manualLayout>
              </c:layout>
              <c:spPr>
                <a:solidFill>
                  <a:schemeClr val="tx1">
                    <a:lumMod val="50000"/>
                    <a:lumOff val="50000"/>
                  </a:schemeClr>
                </a:solidFill>
                <a:ln>
                  <a:solidFill>
                    <a:schemeClr val="bg1"/>
                  </a:solid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bg1"/>
                      </a:solidFill>
                      <a:latin typeface="+mn-lt"/>
                      <a:ea typeface="+mn-ea"/>
                      <a:cs typeface="+mn-cs"/>
                    </a:defRPr>
                  </a:pPr>
                  <a:endParaRPr lang="es-CO"/>
                </a:p>
              </c:txPr>
              <c:dLblPos val="bestFit"/>
              <c:showLegendKey val="0"/>
              <c:showVal val="1"/>
              <c:showCatName val="0"/>
              <c:showSerName val="0"/>
              <c:showPercent val="0"/>
              <c:showBubbleSize val="0"/>
              <c:extLst>
                <c:ext xmlns:c15="http://schemas.microsoft.com/office/drawing/2012/chart" uri="{CE6537A1-D6FC-4f65-9D91-7224C49458BB}">
                  <c15:layout>
                    <c:manualLayout>
                      <c:w val="0.15144876196046281"/>
                      <c:h val="5.4680214158046116E-2"/>
                    </c:manualLayout>
                  </c15:layout>
                </c:ext>
                <c:ext xmlns:c16="http://schemas.microsoft.com/office/drawing/2014/chart" uri="{C3380CC4-5D6E-409C-BE32-E72D297353CC}">
                  <c16:uniqueId val="{00000001-7F6B-4A5F-B573-BBADA7BB7AFD}"/>
                </c:ext>
              </c:extLst>
            </c:dLbl>
            <c:dLbl>
              <c:idx val="1"/>
              <c:layout>
                <c:manualLayout>
                  <c:x val="5.0310666951247827E-2"/>
                  <c:y val="-8.9640709926470843E-2"/>
                </c:manualLayout>
              </c:layout>
              <c:spPr>
                <a:solidFill>
                  <a:schemeClr val="tx1">
                    <a:lumMod val="50000"/>
                    <a:lumOff val="50000"/>
                  </a:schemeClr>
                </a:solidFill>
                <a:ln>
                  <a:solidFill>
                    <a:schemeClr val="bg1"/>
                  </a:solid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bg1"/>
                      </a:solidFill>
                      <a:latin typeface="+mn-lt"/>
                      <a:ea typeface="+mn-ea"/>
                      <a:cs typeface="+mn-cs"/>
                    </a:defRPr>
                  </a:pPr>
                  <a:endParaRPr lang="es-CO"/>
                </a:p>
              </c:txPr>
              <c:dLblPos val="bestFit"/>
              <c:showLegendKey val="0"/>
              <c:showVal val="1"/>
              <c:showCatName val="0"/>
              <c:showSerName val="0"/>
              <c:showPercent val="0"/>
              <c:showBubbleSize val="0"/>
              <c:extLst>
                <c:ext xmlns:c15="http://schemas.microsoft.com/office/drawing/2012/chart" uri="{CE6537A1-D6FC-4f65-9D91-7224C49458BB}">
                  <c15:layout>
                    <c:manualLayout>
                      <c:w val="0.13340159487241174"/>
                      <c:h val="6.1118846764853282E-2"/>
                    </c:manualLayout>
                  </c15:layout>
                </c:ext>
                <c:ext xmlns:c16="http://schemas.microsoft.com/office/drawing/2014/chart" uri="{C3380CC4-5D6E-409C-BE32-E72D297353CC}">
                  <c16:uniqueId val="{00000003-7F6B-4A5F-B573-BBADA7BB7AFD}"/>
                </c:ext>
              </c:extLst>
            </c:dLbl>
            <c:dLbl>
              <c:idx val="2"/>
              <c:layout>
                <c:manualLayout>
                  <c:x val="4.0091419014985405E-2"/>
                  <c:y val="3.0572485598084471E-2"/>
                </c:manualLayout>
              </c:layout>
              <c:spPr>
                <a:solidFill>
                  <a:schemeClr val="tx1">
                    <a:lumMod val="50000"/>
                    <a:lumOff val="50000"/>
                  </a:schemeClr>
                </a:solidFill>
                <a:ln>
                  <a:solidFill>
                    <a:schemeClr val="bg1"/>
                  </a:solid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bg1"/>
                      </a:solidFill>
                      <a:latin typeface="+mn-lt"/>
                      <a:ea typeface="+mn-ea"/>
                      <a:cs typeface="+mn-cs"/>
                    </a:defRPr>
                  </a:pPr>
                  <a:endParaRPr lang="es-CO"/>
                </a:p>
              </c:txPr>
              <c:dLblPos val="bestFit"/>
              <c:showLegendKey val="0"/>
              <c:showVal val="1"/>
              <c:showCatName val="0"/>
              <c:showSerName val="0"/>
              <c:showPercent val="0"/>
              <c:showBubbleSize val="0"/>
              <c:extLst>
                <c:ext xmlns:c15="http://schemas.microsoft.com/office/drawing/2012/chart" uri="{CE6537A1-D6FC-4f65-9D91-7224C49458BB}">
                  <c15:layout>
                    <c:manualLayout>
                      <c:w val="0.14913859299363971"/>
                      <c:h val="5.8752522537115298E-2"/>
                    </c:manualLayout>
                  </c15:layout>
                </c:ext>
                <c:ext xmlns:c16="http://schemas.microsoft.com/office/drawing/2014/chart" uri="{C3380CC4-5D6E-409C-BE32-E72D297353CC}">
                  <c16:uniqueId val="{00000005-7F6B-4A5F-B573-BBADA7BB7AFD}"/>
                </c:ext>
              </c:extLst>
            </c:dLbl>
            <c:dLbl>
              <c:idx val="3"/>
              <c:layout>
                <c:manualLayout>
                  <c:x val="-1.1333751817825538E-2"/>
                  <c:y val="5.4208487689953464E-3"/>
                </c:manualLayout>
              </c:layout>
              <c:spPr>
                <a:solidFill>
                  <a:schemeClr val="tx1">
                    <a:lumMod val="50000"/>
                    <a:lumOff val="50000"/>
                  </a:schemeClr>
                </a:solidFill>
                <a:ln>
                  <a:solidFill>
                    <a:schemeClr val="bg1"/>
                  </a:solid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bg1"/>
                      </a:solidFill>
                      <a:latin typeface="+mn-lt"/>
                      <a:ea typeface="+mn-ea"/>
                      <a:cs typeface="+mn-cs"/>
                    </a:defRPr>
                  </a:pPr>
                  <a:endParaRPr lang="es-CO"/>
                </a:p>
              </c:txPr>
              <c:dLblPos val="bestFit"/>
              <c:showLegendKey val="0"/>
              <c:showVal val="1"/>
              <c:showCatName val="0"/>
              <c:showSerName val="0"/>
              <c:showPercent val="0"/>
              <c:showBubbleSize val="0"/>
              <c:extLst>
                <c:ext xmlns:c15="http://schemas.microsoft.com/office/drawing/2012/chart" uri="{CE6537A1-D6FC-4f65-9D91-7224C49458BB}">
                  <c15:layout>
                    <c:manualLayout>
                      <c:w val="0.12377175575211025"/>
                      <c:h val="6.4338163068256862E-2"/>
                    </c:manualLayout>
                  </c15:layout>
                </c:ext>
                <c:ext xmlns:c16="http://schemas.microsoft.com/office/drawing/2014/chart" uri="{C3380CC4-5D6E-409C-BE32-E72D297353CC}">
                  <c16:uniqueId val="{00000007-7F6B-4A5F-B573-BBADA7BB7AFD}"/>
                </c:ext>
              </c:extLst>
            </c:dLbl>
            <c:spPr>
              <a:solidFill>
                <a:schemeClr val="tx1">
                  <a:lumMod val="50000"/>
                  <a:lumOff val="50000"/>
                </a:schemeClr>
              </a:solidFill>
              <a:ln>
                <a:solidFill>
                  <a:schemeClr val="bg1"/>
                </a:solidFill>
              </a:ln>
              <a:effectLst/>
            </c:spPr>
            <c:txPr>
              <a:bodyPr rot="0" spcFirstLastPara="1" vertOverflow="clip" horzOverflow="clip"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s-CO"/>
              </a:p>
            </c:txPr>
            <c:dLblPos val="ct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TABLAS!$A$34:$A$37</c:f>
              <c:strCache>
                <c:ptCount val="4"/>
                <c:pt idx="0">
                  <c:v>Suma de %MAQUINARIA </c:v>
                </c:pt>
                <c:pt idx="1">
                  <c:v>Suma de %COMBUSTIBLE </c:v>
                </c:pt>
                <c:pt idx="2">
                  <c:v>Suma de % MANO DE OBRA </c:v>
                </c:pt>
                <c:pt idx="3">
                  <c:v>Suma de %MATERIALES </c:v>
                </c:pt>
              </c:strCache>
            </c:strRef>
          </c:cat>
          <c:val>
            <c:numRef>
              <c:f>TABLAS!$B$34:$B$37</c:f>
              <c:numCache>
                <c:formatCode>0.00%</c:formatCode>
                <c:ptCount val="4"/>
                <c:pt idx="0">
                  <c:v>1.0000000000000002</c:v>
                </c:pt>
                <c:pt idx="1">
                  <c:v>1.0000000000000002</c:v>
                </c:pt>
                <c:pt idx="2">
                  <c:v>0.99999999999999956</c:v>
                </c:pt>
                <c:pt idx="3">
                  <c:v>1</c:v>
                </c:pt>
              </c:numCache>
            </c:numRef>
          </c:val>
          <c:extLst>
            <c:ext xmlns:c16="http://schemas.microsoft.com/office/drawing/2014/chart" uri="{C3380CC4-5D6E-409C-BE32-E72D297353CC}">
              <c16:uniqueId val="{00000008-7F6B-4A5F-B573-BBADA7BB7AFD}"/>
            </c:ext>
          </c:extLst>
        </c:ser>
        <c:dLbls>
          <c:dLblPos val="bestFit"/>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6.9385415058411809E-2"/>
          <c:y val="0.87584133585675661"/>
          <c:w val="0.92783531470330916"/>
          <c:h val="0.12080188789457696"/>
        </c:manualLayout>
      </c:layout>
      <c:overlay val="0"/>
      <c:spPr>
        <a:noFill/>
        <a:ln>
          <a:noFill/>
        </a:ln>
        <a:effectLst/>
      </c:spPr>
      <c:txPr>
        <a:bodyPr rot="0" spcFirstLastPara="1" vertOverflow="ellipsis" vert="horz" wrap="square" anchor="ctr" anchorCtr="1"/>
        <a:lstStyle/>
        <a:p>
          <a:pPr>
            <a:defRPr sz="2500" b="0" i="0" u="none" strike="noStrike" kern="1200" baseline="0">
              <a:solidFill>
                <a:schemeClr val="bg1"/>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bg1"/>
      </a:solidFill>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pivotSource>
    <c:name>[TEPUY 26-09 revision 00 - copia-1.xlsx]TABLAS!TablaDinámica8</c:name>
    <c:fmtId val="0"/>
  </c:pivotSource>
  <c:chart>
    <c:autoTitleDeleted val="1"/>
    <c:pivotFmts>
      <c:pivotFmt>
        <c:idx val="0"/>
        <c:spPr>
          <a:solidFill>
            <a:srgbClr val="E85324"/>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s-CO"/>
            </a:p>
          </c:txPr>
          <c:showLegendKey val="0"/>
          <c:showVal val="1"/>
          <c:showCatName val="0"/>
          <c:showSerName val="0"/>
          <c:showPercent val="0"/>
          <c:showBubbleSize val="0"/>
          <c:extLst>
            <c:ext xmlns:c15="http://schemas.microsoft.com/office/drawing/2012/chart" uri="{CE6537A1-D6FC-4f65-9D91-7224C49458BB}"/>
          </c:extLst>
        </c:dLbl>
      </c:pivotFmt>
      <c:pivotFmt>
        <c:idx val="1"/>
        <c:spPr>
          <a:blipFill>
            <a:blip xmlns:r="http://schemas.openxmlformats.org/officeDocument/2006/relationships" r:embed="rId3"/>
            <a:tile tx="0" ty="0" sx="100000" sy="100000" flip="none" algn="tl"/>
          </a:blip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s-CO"/>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FF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s-CO"/>
            </a:p>
          </c:txPr>
          <c:showLegendKey val="0"/>
          <c:showVal val="1"/>
          <c:showCatName val="0"/>
          <c:showSerName val="0"/>
          <c:showPercent val="0"/>
          <c:showBubbleSize val="0"/>
          <c:extLst>
            <c:ext xmlns:c15="http://schemas.microsoft.com/office/drawing/2012/chart" uri="{CE6537A1-D6FC-4f65-9D91-7224C49458BB}"/>
          </c:extLst>
        </c:dLbl>
      </c:pivotFmt>
      <c:pivotFmt>
        <c:idx val="3"/>
        <c:spPr>
          <a:blipFill>
            <a:blip xmlns:r="http://schemas.openxmlformats.org/officeDocument/2006/relationships" r:embed="rId4"/>
            <a:tile tx="0" ty="0" sx="100000" sy="100000" flip="none" algn="tl"/>
          </a:blip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FFC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s-CO"/>
            </a:p>
          </c:txPr>
          <c:showLegendKey val="0"/>
          <c:showVal val="1"/>
          <c:showCatName val="0"/>
          <c:showSerName val="0"/>
          <c:showPercent val="0"/>
          <c:showBubbleSize val="0"/>
          <c:extLst>
            <c:ext xmlns:c15="http://schemas.microsoft.com/office/drawing/2012/chart" uri="{CE6537A1-D6FC-4f65-9D91-7224C49458BB}"/>
          </c:extLst>
        </c:dLbl>
      </c:pivotFmt>
      <c:pivotFmt>
        <c:idx val="4"/>
        <c:spPr>
          <a:blipFill>
            <a:blip xmlns:r="http://schemas.openxmlformats.org/officeDocument/2006/relationships" r:embed="rId4"/>
            <a:tile tx="0" ty="0" sx="100000" sy="100000" flip="none" algn="tl"/>
          </a:blipFill>
          <a:ln>
            <a:solidFill>
              <a:schemeClr val="accent4">
                <a:lumMod val="50000"/>
              </a:schemeClr>
            </a:solidFill>
          </a:ln>
          <a:effectLst/>
          <a:scene3d>
            <a:camera prst="orthographicFront"/>
            <a:lightRig rig="threePt" dir="t"/>
          </a:scene3d>
          <a:sp3d prstMaterial="flat">
            <a:contourClr>
              <a:schemeClr val="accent4">
                <a:lumMod val="50000"/>
              </a:schemeClr>
            </a:contourClr>
          </a:sp3d>
        </c:spPr>
        <c:dLbl>
          <c:idx val="0"/>
          <c:layout>
            <c:manualLayout>
              <c:x val="6.456659401411749E-2"/>
              <c:y val="-4.5959605098147838E-2"/>
            </c:manualLayout>
          </c:layout>
          <c:spPr>
            <a:solidFill>
              <a:srgbClr val="FFC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s-CO"/>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510161794152401"/>
          <c:y val="4.1416814089082578E-2"/>
          <c:w val="0.6551790421726138"/>
          <c:h val="0.89424586300919884"/>
        </c:manualLayout>
      </c:layout>
      <c:bar3DChart>
        <c:barDir val="col"/>
        <c:grouping val="clustered"/>
        <c:varyColors val="0"/>
        <c:ser>
          <c:idx val="0"/>
          <c:order val="0"/>
          <c:tx>
            <c:strRef>
              <c:f>TABLAS!$A$57</c:f>
              <c:strCache>
                <c:ptCount val="1"/>
                <c:pt idx="0">
                  <c:v>Suma de V.TOTAL. MAQUINARIA </c:v>
                </c:pt>
              </c:strCache>
            </c:strRef>
          </c:tx>
          <c:spPr>
            <a:solidFill>
              <a:srgbClr val="E85324"/>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TABLAS!$A$58</c:f>
              <c:strCache>
                <c:ptCount val="1"/>
                <c:pt idx="0">
                  <c:v>요약</c:v>
                </c:pt>
              </c:strCache>
            </c:strRef>
          </c:cat>
          <c:val>
            <c:numRef>
              <c:f>TABLAS!$A$58</c:f>
              <c:numCache>
                <c:formatCode>"$"\ #,##0.00</c:formatCode>
                <c:ptCount val="1"/>
                <c:pt idx="0">
                  <c:v>3206131451.313168</c:v>
                </c:pt>
              </c:numCache>
            </c:numRef>
          </c:val>
          <c:extLst>
            <c:ext xmlns:c16="http://schemas.microsoft.com/office/drawing/2014/chart" uri="{C3380CC4-5D6E-409C-BE32-E72D297353CC}">
              <c16:uniqueId val="{00000000-4DBA-4A65-8FF9-D60EE8708FF0}"/>
            </c:ext>
          </c:extLst>
        </c:ser>
        <c:ser>
          <c:idx val="1"/>
          <c:order val="1"/>
          <c:tx>
            <c:strRef>
              <c:f>TABLAS!$B$57</c:f>
              <c:strCache>
                <c:ptCount val="1"/>
                <c:pt idx="0">
                  <c:v>Suma de V.TOTAL. COMBUSTIBLE</c:v>
                </c:pt>
              </c:strCache>
            </c:strRef>
          </c:tx>
          <c:spPr>
            <a:blipFill>
              <a:blip xmlns:r="http://schemas.openxmlformats.org/officeDocument/2006/relationships" r:embed="rId3"/>
              <a:tile tx="0" ty="0" sx="100000" sy="100000" flip="none" algn="tl"/>
            </a:blip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TABLAS!$A$58</c:f>
              <c:strCache>
                <c:ptCount val="1"/>
                <c:pt idx="0">
                  <c:v>요약</c:v>
                </c:pt>
              </c:strCache>
            </c:strRef>
          </c:cat>
          <c:val>
            <c:numRef>
              <c:f>TABLAS!$B$58</c:f>
              <c:numCache>
                <c:formatCode>"$"\ #,##0.00</c:formatCode>
                <c:ptCount val="1"/>
                <c:pt idx="0">
                  <c:v>510474929.9699856</c:v>
                </c:pt>
              </c:numCache>
            </c:numRef>
          </c:val>
          <c:extLst>
            <c:ext xmlns:c16="http://schemas.microsoft.com/office/drawing/2014/chart" uri="{C3380CC4-5D6E-409C-BE32-E72D297353CC}">
              <c16:uniqueId val="{00000001-4DBA-4A65-8FF9-D60EE8708FF0}"/>
            </c:ext>
          </c:extLst>
        </c:ser>
        <c:ser>
          <c:idx val="2"/>
          <c:order val="2"/>
          <c:tx>
            <c:strRef>
              <c:f>TABLAS!$C$57</c:f>
              <c:strCache>
                <c:ptCount val="1"/>
                <c:pt idx="0">
                  <c:v>Suma de V.TOTAL MATERIALES</c:v>
                </c:pt>
              </c:strCache>
            </c:strRef>
          </c:tx>
          <c:spPr>
            <a:solidFill>
              <a:srgbClr val="FFFF00"/>
            </a:solidFill>
            <a:ln>
              <a:solidFill>
                <a:schemeClr val="accent3">
                  <a:lumMod val="50000"/>
                </a:schemeClr>
              </a:solidFill>
            </a:ln>
            <a:effectLst/>
            <a:scene3d>
              <a:camera prst="orthographicFront"/>
              <a:lightRig rig="threePt" dir="t"/>
            </a:scene3d>
            <a:sp3d prstMaterial="flat">
              <a:contourClr>
                <a:schemeClr val="accent3">
                  <a:lumMod val="50000"/>
                </a:schemeClr>
              </a:contourClr>
            </a:sp3d>
          </c:spPr>
          <c:invertIfNegative val="0"/>
          <c:dLbls>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TABLAS!$A$58</c:f>
              <c:strCache>
                <c:ptCount val="1"/>
                <c:pt idx="0">
                  <c:v>요약</c:v>
                </c:pt>
              </c:strCache>
            </c:strRef>
          </c:cat>
          <c:val>
            <c:numRef>
              <c:f>TABLAS!$C$58</c:f>
              <c:numCache>
                <c:formatCode>"$"\ #,##0.00</c:formatCode>
                <c:ptCount val="1"/>
                <c:pt idx="0">
                  <c:v>12642530228.837402</c:v>
                </c:pt>
              </c:numCache>
            </c:numRef>
          </c:val>
          <c:extLst>
            <c:ext xmlns:c16="http://schemas.microsoft.com/office/drawing/2014/chart" uri="{C3380CC4-5D6E-409C-BE32-E72D297353CC}">
              <c16:uniqueId val="{00000002-4DBA-4A65-8FF9-D60EE8708FF0}"/>
            </c:ext>
          </c:extLst>
        </c:ser>
        <c:ser>
          <c:idx val="3"/>
          <c:order val="3"/>
          <c:tx>
            <c:strRef>
              <c:f>TABLAS!$D$57</c:f>
              <c:strCache>
                <c:ptCount val="1"/>
                <c:pt idx="0">
                  <c:v>Suma de V.TOTAL MANO OBRA</c:v>
                </c:pt>
              </c:strCache>
            </c:strRef>
          </c:tx>
          <c:spPr>
            <a:blipFill>
              <a:blip xmlns:r="http://schemas.openxmlformats.org/officeDocument/2006/relationships" r:embed="rId4"/>
              <a:tile tx="0" ty="0" sx="100000" sy="100000" flip="none" algn="tl"/>
            </a:blipFill>
            <a:ln>
              <a:solidFill>
                <a:schemeClr val="accent4">
                  <a:lumMod val="50000"/>
                </a:schemeClr>
              </a:solidFill>
            </a:ln>
            <a:effectLst/>
            <a:scene3d>
              <a:camera prst="orthographicFront"/>
              <a:lightRig rig="threePt" dir="t"/>
            </a:scene3d>
            <a:sp3d prstMaterial="flat">
              <a:contourClr>
                <a:schemeClr val="accent4">
                  <a:lumMod val="50000"/>
                </a:schemeClr>
              </a:contourClr>
            </a:sp3d>
          </c:spPr>
          <c:invertIfNegative val="0"/>
          <c:dPt>
            <c:idx val="0"/>
            <c:invertIfNegative val="0"/>
            <c:bubble3D val="0"/>
            <c:spPr>
              <a:blipFill>
                <a:blip xmlns:r="http://schemas.openxmlformats.org/officeDocument/2006/relationships" r:embed="rId4"/>
                <a:tile tx="0" ty="0" sx="100000" sy="100000" flip="none" algn="tl"/>
              </a:blipFill>
              <a:ln>
                <a:solidFill>
                  <a:schemeClr val="accent4">
                    <a:lumMod val="50000"/>
                  </a:schemeClr>
                </a:solidFill>
              </a:ln>
              <a:effectLst/>
              <a:scene3d>
                <a:camera prst="orthographicFront"/>
                <a:lightRig rig="threePt" dir="t"/>
              </a:scene3d>
              <a:sp3d prstMaterial="flat">
                <a:contourClr>
                  <a:schemeClr val="accent4">
                    <a:lumMod val="50000"/>
                  </a:schemeClr>
                </a:contourClr>
              </a:sp3d>
            </c:spPr>
            <c:extLst>
              <c:ext xmlns:c16="http://schemas.microsoft.com/office/drawing/2014/chart" uri="{C3380CC4-5D6E-409C-BE32-E72D297353CC}">
                <c16:uniqueId val="{00000001-EE96-4E82-AAE8-BEC9808927F1}"/>
              </c:ext>
            </c:extLst>
          </c:dPt>
          <c:dLbls>
            <c:dLbl>
              <c:idx val="0"/>
              <c:layout>
                <c:manualLayout>
                  <c:x val="6.456659401411749E-2"/>
                  <c:y val="-4.5959605098147838E-2"/>
                </c:manualLayout>
              </c:layout>
              <c:spPr>
                <a:solidFill>
                  <a:srgbClr val="FFC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s-CO"/>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E96-4E82-AAE8-BEC9808927F1}"/>
                </c:ext>
              </c:extLst>
            </c:dLbl>
            <c:spPr>
              <a:solidFill>
                <a:srgbClr val="FFC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TABLAS!$A$58</c:f>
              <c:strCache>
                <c:ptCount val="1"/>
                <c:pt idx="0">
                  <c:v>요약</c:v>
                </c:pt>
              </c:strCache>
            </c:strRef>
          </c:cat>
          <c:val>
            <c:numRef>
              <c:f>TABLAS!$D$58</c:f>
              <c:numCache>
                <c:formatCode>"$"\ #,##0.00</c:formatCode>
                <c:ptCount val="1"/>
                <c:pt idx="0">
                  <c:v>16894469400.35409</c:v>
                </c:pt>
              </c:numCache>
            </c:numRef>
          </c:val>
          <c:extLst>
            <c:ext xmlns:c16="http://schemas.microsoft.com/office/drawing/2014/chart" uri="{C3380CC4-5D6E-409C-BE32-E72D297353CC}">
              <c16:uniqueId val="{00000003-4DBA-4A65-8FF9-D60EE8708FF0}"/>
            </c:ext>
          </c:extLst>
        </c:ser>
        <c:dLbls>
          <c:showLegendKey val="0"/>
          <c:showVal val="1"/>
          <c:showCatName val="0"/>
          <c:showSerName val="0"/>
          <c:showPercent val="0"/>
          <c:showBubbleSize val="0"/>
        </c:dLbls>
        <c:gapWidth val="84"/>
        <c:gapDepth val="53"/>
        <c:shape val="box"/>
        <c:axId val="1741982719"/>
        <c:axId val="1741993951"/>
        <c:axId val="0"/>
      </c:bar3DChart>
      <c:catAx>
        <c:axId val="174198271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CO"/>
          </a:p>
        </c:txPr>
        <c:crossAx val="1741993951"/>
        <c:crosses val="autoZero"/>
        <c:auto val="1"/>
        <c:lblAlgn val="ctr"/>
        <c:lblOffset val="100"/>
        <c:noMultiLvlLbl val="0"/>
      </c:catAx>
      <c:valAx>
        <c:axId val="1741993951"/>
        <c:scaling>
          <c:orientation val="minMax"/>
        </c:scaling>
        <c:delete val="0"/>
        <c:axPos val="l"/>
        <c:majorGridlines>
          <c:spPr>
            <a:ln w="9525">
              <a:solidFill>
                <a:schemeClr val="lt1">
                  <a:lumMod val="50000"/>
                </a:schemeClr>
              </a:solidFill>
            </a:ln>
            <a:effectLst/>
          </c:spPr>
        </c:majorGridlines>
        <c:numFmt formatCode="&quot;$&quot;\ #,##0.00" sourceLinked="1"/>
        <c:majorTickMark val="out"/>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lt1">
                    <a:lumMod val="75000"/>
                  </a:schemeClr>
                </a:solidFill>
                <a:latin typeface="+mn-lt"/>
                <a:ea typeface="+mn-ea"/>
                <a:cs typeface="+mn-cs"/>
              </a:defRPr>
            </a:pPr>
            <a:endParaRPr lang="es-CO"/>
          </a:p>
        </c:txPr>
        <c:crossAx val="1741982719"/>
        <c:crosses val="autoZero"/>
        <c:crossBetween val="between"/>
      </c:valAx>
      <c:spPr>
        <a:noFill/>
        <a:ln>
          <a:noFill/>
        </a:ln>
        <a:effectLst/>
      </c:spPr>
    </c:plotArea>
    <c:legend>
      <c:legendPos val="r"/>
      <c:layout>
        <c:manualLayout>
          <c:xMode val="edge"/>
          <c:yMode val="edge"/>
          <c:x val="0.78655075667835739"/>
          <c:y val="0.36916670030356724"/>
          <c:w val="0.20386944683765404"/>
          <c:h val="0.4313633244578311"/>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lt1">
                  <a:lumMod val="7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pivotSource>
    <c:name>[TEPUY 26-09 revision 00 - copia-1.xlsx]TABLAS!TablaDinámica6</c:name>
    <c:fmtId val="2"/>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s-CO"/>
        </a:p>
      </c:txPr>
    </c:title>
    <c:autoTitleDeleted val="0"/>
    <c:pivotFmts>
      <c:pivotFmt>
        <c:idx val="0"/>
        <c:dLbl>
          <c:idx val="0"/>
          <c:dLblPos val="bestFit"/>
          <c:showLegendKey val="0"/>
          <c:showVal val="1"/>
          <c:showCatName val="0"/>
          <c:showSerName val="0"/>
          <c:showPercent val="1"/>
          <c:showBubbleSize val="0"/>
          <c:extLst>
            <c:ext xmlns:c15="http://schemas.microsoft.com/office/drawing/2012/chart" uri="{CE6537A1-D6FC-4f65-9D91-7224C49458BB}"/>
          </c:extLst>
        </c:dLbl>
      </c:pivotFmt>
      <c:pivotFmt>
        <c:idx val="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8"/>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9"/>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10"/>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11"/>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12"/>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13"/>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14"/>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15"/>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16"/>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17"/>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18"/>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19"/>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20"/>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21"/>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22"/>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23"/>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24"/>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25"/>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26"/>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27"/>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28"/>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29"/>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30"/>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31"/>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32"/>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33"/>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34"/>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35"/>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36"/>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37"/>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38"/>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39"/>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40"/>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41"/>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42"/>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43"/>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44"/>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45"/>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46"/>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47"/>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48"/>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49"/>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50"/>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51"/>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52"/>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53"/>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54"/>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55"/>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56"/>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57"/>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58"/>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59"/>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60"/>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61"/>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62"/>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63"/>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64"/>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65"/>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66"/>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67"/>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68"/>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69"/>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70"/>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71"/>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72"/>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73"/>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74"/>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75"/>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76"/>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77"/>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78"/>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79"/>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80"/>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81"/>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82"/>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83"/>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84"/>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solidFill>
                <a:schemeClr val="bg1"/>
              </a:solid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s-CO"/>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86"/>
        <c:spPr>
          <a:blipFill>
            <a:blip xmlns:r="http://schemas.openxmlformats.org/officeDocument/2006/relationships" r:embed="rId3"/>
            <a:tile tx="0" ty="0" sx="100000" sy="100000" flip="none" algn="tl"/>
          </a:blipFill>
          <a:ln>
            <a:noFill/>
          </a:ln>
          <a:effectLst>
            <a:outerShdw blurRad="57150" dist="19050" dir="5400000" algn="ctr" rotWithShape="0">
              <a:srgbClr val="000000">
                <a:alpha val="63000"/>
              </a:srgbClr>
            </a:outerShdw>
          </a:effectLst>
          <a:sp3d/>
        </c:spPr>
        <c:dLbl>
          <c:idx val="0"/>
          <c:layout>
            <c:manualLayout>
              <c:x val="-6.398791613434417E-3"/>
              <c:y val="-3.5970127774775651E-2"/>
            </c:manualLayout>
          </c:layout>
          <c:spPr>
            <a:noFill/>
            <a:ln>
              <a:solidFill>
                <a:schemeClr val="bg1"/>
              </a:solid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1"/>
                  </a:solidFill>
                  <a:latin typeface="+mn-lt"/>
                  <a:ea typeface="+mn-ea"/>
                  <a:cs typeface="+mn-cs"/>
                </a:defRPr>
              </a:pPr>
              <a:endParaRPr lang="es-CO"/>
            </a:p>
          </c:txPr>
          <c:dLblPos val="bestFit"/>
          <c:showLegendKey val="0"/>
          <c:showVal val="1"/>
          <c:showCatName val="0"/>
          <c:showSerName val="0"/>
          <c:showPercent val="1"/>
          <c:showBubbleSize val="0"/>
          <c:extLst>
            <c:ext xmlns:c15="http://schemas.microsoft.com/office/drawing/2012/chart" uri="{CE6537A1-D6FC-4f65-9D91-7224C49458BB}">
              <c15:layout>
                <c:manualLayout>
                  <c:w val="0.20356695212067602"/>
                  <c:h val="5.719054855890586E-2"/>
                </c:manualLayout>
              </c15:layout>
            </c:ext>
          </c:extLst>
        </c:dLbl>
      </c:pivotFmt>
      <c:pivotFmt>
        <c:idx val="87"/>
        <c:spPr>
          <a:blipFill>
            <a:blip xmlns:r="http://schemas.openxmlformats.org/officeDocument/2006/relationships" r:embed="rId4"/>
            <a:tile tx="0" ty="0" sx="100000" sy="100000" flip="none" algn="tl"/>
          </a:blipFill>
          <a:ln>
            <a:noFill/>
          </a:ln>
          <a:effectLst>
            <a:outerShdw blurRad="57150" dist="19050" dir="5400000" algn="ctr" rotWithShape="0">
              <a:srgbClr val="000000">
                <a:alpha val="63000"/>
              </a:srgbClr>
            </a:outerShdw>
          </a:effectLst>
          <a:sp3d/>
        </c:spPr>
        <c:dLbl>
          <c:idx val="0"/>
          <c:layout>
            <c:manualLayout>
              <c:x val="1.2134563667879086E-2"/>
              <c:y val="-6.6395654141271312E-2"/>
            </c:manualLayout>
          </c:layout>
          <c:spPr>
            <a:noFill/>
            <a:ln>
              <a:solidFill>
                <a:schemeClr val="bg1"/>
              </a:solid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s-CO"/>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88"/>
        <c:spPr>
          <a:solidFill>
            <a:srgbClr val="E85324"/>
          </a:solidFill>
          <a:ln>
            <a:noFill/>
          </a:ln>
          <a:effectLst>
            <a:outerShdw blurRad="57150" dist="19050" dir="5400000" algn="ctr" rotWithShape="0">
              <a:srgbClr val="000000">
                <a:alpha val="63000"/>
              </a:srgbClr>
            </a:outerShdw>
          </a:effectLst>
          <a:sp3d/>
        </c:spPr>
        <c:dLbl>
          <c:idx val="0"/>
          <c:layout>
            <c:manualLayout>
              <c:x val="-0.13333371028491178"/>
              <c:y val="-6.2689997310157189E-2"/>
            </c:manualLayout>
          </c:layout>
          <c:spPr>
            <a:noFill/>
            <a:ln>
              <a:solidFill>
                <a:schemeClr val="bg1"/>
              </a:solid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s-CO"/>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89"/>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lin ang="0" scaled="1"/>
            <a:tileRect/>
          </a:gradFill>
          <a:ln>
            <a:noFill/>
          </a:ln>
          <a:effectLst>
            <a:outerShdw blurRad="57150" dist="19050" dir="5400000" algn="ctr" rotWithShape="0">
              <a:srgbClr val="000000">
                <a:alpha val="63000"/>
              </a:srgbClr>
            </a:outerShdw>
          </a:effectLst>
          <a:sp3d/>
        </c:spPr>
        <c:dLbl>
          <c:idx val="0"/>
          <c:layout>
            <c:manualLayout>
              <c:x val="9.6122511147753928E-2"/>
              <c:y val="8.897632890064619E-2"/>
            </c:manualLayout>
          </c:layout>
          <c:spPr>
            <a:noFill/>
            <a:ln>
              <a:solidFill>
                <a:schemeClr val="bg1"/>
              </a:solid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1"/>
                  </a:solidFill>
                  <a:latin typeface="+mn-lt"/>
                  <a:ea typeface="+mn-ea"/>
                  <a:cs typeface="+mn-cs"/>
                </a:defRPr>
              </a:pPr>
              <a:endParaRPr lang="es-CO"/>
            </a:p>
          </c:txPr>
          <c:dLblPos val="bestFit"/>
          <c:showLegendKey val="0"/>
          <c:showVal val="1"/>
          <c:showCatName val="0"/>
          <c:showSerName val="0"/>
          <c:showPercent val="1"/>
          <c:showBubbleSize val="0"/>
          <c:extLst>
            <c:ext xmlns:c15="http://schemas.microsoft.com/office/drawing/2012/chart" uri="{CE6537A1-D6FC-4f65-9D91-7224C49458BB}">
              <c15:layout>
                <c:manualLayout>
                  <c:w val="0.19590475093277845"/>
                  <c:h val="7.1848501487140184E-2"/>
                </c:manualLayout>
              </c15:layout>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17215707383002748"/>
          <c:w val="0.89805317215029978"/>
          <c:h val="0.77328784231554137"/>
        </c:manualLayout>
      </c:layout>
      <c:pie3DChart>
        <c:varyColors val="1"/>
        <c:ser>
          <c:idx val="0"/>
          <c:order val="0"/>
          <c:tx>
            <c:strRef>
              <c:f>TABLAS!$C$13</c:f>
              <c:strCache>
                <c:ptCount val="1"/>
                <c:pt idx="0">
                  <c:v>요약</c:v>
                </c:pt>
              </c:strCache>
            </c:strRef>
          </c:tx>
          <c:explosion val="48"/>
          <c:dPt>
            <c:idx val="0"/>
            <c:bubble3D val="0"/>
            <c:explosion val="15"/>
            <c:spPr>
              <a:solidFill>
                <a:srgbClr val="E85324"/>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8224-49F2-8538-D45CEE1C3F57}"/>
              </c:ext>
            </c:extLst>
          </c:dPt>
          <c:dPt>
            <c:idx val="1"/>
            <c:bubble3D val="0"/>
            <c:explosion val="15"/>
            <c:spPr>
              <a:blipFill>
                <a:blip xmlns:r="http://schemas.openxmlformats.org/officeDocument/2006/relationships" r:embed="rId4"/>
                <a:tile tx="0" ty="0" sx="100000" sy="100000" flip="none" algn="tl"/>
              </a:blip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8224-49F2-8538-D45CEE1C3F57}"/>
              </c:ext>
            </c:extLst>
          </c:dPt>
          <c:dPt>
            <c:idx val="2"/>
            <c:bubble3D val="0"/>
            <c:explosion val="18"/>
            <c:spPr>
              <a:blipFill>
                <a:blip xmlns:r="http://schemas.openxmlformats.org/officeDocument/2006/relationships" r:embed="rId3"/>
                <a:tile tx="0" ty="0" sx="100000" sy="100000" flip="none" algn="tl"/>
              </a:blip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8224-49F2-8538-D45CEE1C3F57}"/>
              </c:ext>
            </c:extLst>
          </c:dPt>
          <c:dPt>
            <c:idx val="3"/>
            <c:bubble3D val="0"/>
            <c:explosion val="0"/>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lin ang="0" scaled="1"/>
                <a:tileRect/>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8224-49F2-8538-D45CEE1C3F57}"/>
              </c:ext>
            </c:extLst>
          </c:dPt>
          <c:dLbls>
            <c:dLbl>
              <c:idx val="0"/>
              <c:layout>
                <c:manualLayout>
                  <c:x val="-0.13333371028491178"/>
                  <c:y val="-6.2689997310157189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224-49F2-8538-D45CEE1C3F57}"/>
                </c:ext>
              </c:extLst>
            </c:dLbl>
            <c:dLbl>
              <c:idx val="1"/>
              <c:layout>
                <c:manualLayout>
                  <c:x val="1.2134563667879086E-2"/>
                  <c:y val="-6.6395654141271312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224-49F2-8538-D45CEE1C3F57}"/>
                </c:ext>
              </c:extLst>
            </c:dLbl>
            <c:dLbl>
              <c:idx val="2"/>
              <c:layout>
                <c:manualLayout>
                  <c:x val="-6.398791613434417E-3"/>
                  <c:y val="-3.5970127774775651E-2"/>
                </c:manualLayout>
              </c:layout>
              <c:spPr>
                <a:noFill/>
                <a:ln>
                  <a:solidFill>
                    <a:schemeClr val="bg1"/>
                  </a:solid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1"/>
                      </a:solidFill>
                      <a:latin typeface="+mn-lt"/>
                      <a:ea typeface="+mn-ea"/>
                      <a:cs typeface="+mn-cs"/>
                    </a:defRPr>
                  </a:pPr>
                  <a:endParaRPr lang="es-CO"/>
                </a:p>
              </c:txPr>
              <c:dLblPos val="bestFit"/>
              <c:showLegendKey val="0"/>
              <c:showVal val="1"/>
              <c:showCatName val="0"/>
              <c:showSerName val="0"/>
              <c:showPercent val="1"/>
              <c:showBubbleSize val="0"/>
              <c:extLst>
                <c:ext xmlns:c15="http://schemas.microsoft.com/office/drawing/2012/chart" uri="{CE6537A1-D6FC-4f65-9D91-7224C49458BB}">
                  <c15:layout>
                    <c:manualLayout>
                      <c:w val="0.20356695212067602"/>
                      <c:h val="5.719054855890586E-2"/>
                    </c:manualLayout>
                  </c15:layout>
                </c:ext>
                <c:ext xmlns:c16="http://schemas.microsoft.com/office/drawing/2014/chart" uri="{C3380CC4-5D6E-409C-BE32-E72D297353CC}">
                  <c16:uniqueId val="{00000005-8224-49F2-8538-D45CEE1C3F57}"/>
                </c:ext>
              </c:extLst>
            </c:dLbl>
            <c:dLbl>
              <c:idx val="3"/>
              <c:layout>
                <c:manualLayout>
                  <c:x val="9.6122511147753928E-2"/>
                  <c:y val="8.897632890064619E-2"/>
                </c:manualLayout>
              </c:layout>
              <c:spPr>
                <a:noFill/>
                <a:ln>
                  <a:solidFill>
                    <a:schemeClr val="bg1"/>
                  </a:solid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1"/>
                      </a:solidFill>
                      <a:latin typeface="+mn-lt"/>
                      <a:ea typeface="+mn-ea"/>
                      <a:cs typeface="+mn-cs"/>
                    </a:defRPr>
                  </a:pPr>
                  <a:endParaRPr lang="es-CO"/>
                </a:p>
              </c:txPr>
              <c:dLblPos val="bestFit"/>
              <c:showLegendKey val="0"/>
              <c:showVal val="1"/>
              <c:showCatName val="0"/>
              <c:showSerName val="0"/>
              <c:showPercent val="1"/>
              <c:showBubbleSize val="0"/>
              <c:extLst>
                <c:ext xmlns:c15="http://schemas.microsoft.com/office/drawing/2012/chart" uri="{CE6537A1-D6FC-4f65-9D91-7224C49458BB}">
                  <c15:layout>
                    <c:manualLayout>
                      <c:w val="0.19590475093277845"/>
                      <c:h val="7.1848501487140184E-2"/>
                    </c:manualLayout>
                  </c15:layout>
                </c:ext>
                <c:ext xmlns:c16="http://schemas.microsoft.com/office/drawing/2014/chart" uri="{C3380CC4-5D6E-409C-BE32-E72D297353CC}">
                  <c16:uniqueId val="{00000007-8224-49F2-8538-D45CEE1C3F57}"/>
                </c:ext>
              </c:extLst>
            </c:dLbl>
            <c:spPr>
              <a:noFill/>
              <a:ln>
                <a:solidFill>
                  <a:schemeClr val="bg1"/>
                </a:solid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s-CO"/>
              </a:p>
            </c:txPr>
            <c:dLblPos val="ct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TABLAS!$B$14:$B$17</c:f>
              <c:strCache>
                <c:ptCount val="4"/>
                <c:pt idx="0">
                  <c:v>Suma de V.TOTAL. MAQUINARIA </c:v>
                </c:pt>
                <c:pt idx="1">
                  <c:v>Suma de V.TOTAL. COMBUSTIBLE</c:v>
                </c:pt>
                <c:pt idx="2">
                  <c:v>Suma de V.TOTAL MANO OBRA</c:v>
                </c:pt>
                <c:pt idx="3">
                  <c:v>Suma de V.TOTAL MATERIALES</c:v>
                </c:pt>
              </c:strCache>
            </c:strRef>
          </c:cat>
          <c:val>
            <c:numRef>
              <c:f>TABLAS!$C$14:$C$17</c:f>
              <c:numCache>
                <c:formatCode>"$"\ #,##0.00</c:formatCode>
                <c:ptCount val="4"/>
                <c:pt idx="0">
                  <c:v>3206131451.313168</c:v>
                </c:pt>
                <c:pt idx="1">
                  <c:v>510474929.9699856</c:v>
                </c:pt>
                <c:pt idx="2">
                  <c:v>16894469400.35409</c:v>
                </c:pt>
                <c:pt idx="3">
                  <c:v>12642530228.837402</c:v>
                </c:pt>
              </c:numCache>
            </c:numRef>
          </c:val>
          <c:extLst>
            <c:ext xmlns:c16="http://schemas.microsoft.com/office/drawing/2014/chart" uri="{C3380CC4-5D6E-409C-BE32-E72D297353CC}">
              <c16:uniqueId val="{00000000-953A-4015-8A22-3FE540BC28F0}"/>
            </c:ext>
          </c:extLst>
        </c:ser>
        <c:dLbls>
          <c:dLblPos val="bestFit"/>
          <c:showLegendKey val="0"/>
          <c:showVal val="0"/>
          <c:showCatName val="0"/>
          <c:showSerName val="0"/>
          <c:showPercent val="1"/>
          <c:showBubbleSize val="0"/>
          <c:showLeaderLines val="1"/>
        </c:dLbls>
      </c:pie3DChart>
      <c:spPr>
        <a:noFill/>
        <a:ln>
          <a:noFill/>
        </a:ln>
        <a:effectLst/>
      </c:spPr>
    </c:plotArea>
    <c:legend>
      <c:legendPos val="r"/>
      <c:layout>
        <c:manualLayout>
          <c:xMode val="edge"/>
          <c:yMode val="edge"/>
          <c:x val="0.65882508433702591"/>
          <c:y val="0.7316604153175198"/>
          <c:w val="0.32386195373531923"/>
          <c:h val="0.22975064635475467"/>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lt1">
                  <a:lumMod val="8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pivotSource>
    <c:name>[TEPUY 26-09 revision 00 - copia-1.xlsx]TABLAS!TablaDinámica2</c:name>
    <c:fmtId val="3"/>
  </c:pivotSource>
  <c:chart>
    <c:title>
      <c:layout>
        <c:manualLayout>
          <c:xMode val="edge"/>
          <c:yMode val="edge"/>
          <c:x val="0.46162672447245529"/>
          <c:y val="5.1509060854457243E-2"/>
        </c:manualLayout>
      </c:layout>
      <c:overlay val="0"/>
      <c:spPr>
        <a:noFill/>
        <a:ln>
          <a:noFill/>
        </a:ln>
        <a:effectLst/>
      </c:spPr>
      <c:txPr>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s-CO"/>
        </a:p>
      </c:txPr>
    </c:title>
    <c:autoTitleDeleted val="0"/>
    <c:pivotFmts>
      <c:pivotFmt>
        <c:idx val="0"/>
        <c:dLbl>
          <c:idx val="0"/>
          <c:delete val="1"/>
          <c:extLst>
            <c:ext xmlns:c15="http://schemas.microsoft.com/office/drawing/2012/chart" uri="{CE6537A1-D6FC-4f65-9D91-7224C49458BB}"/>
          </c:extLst>
        </c:dLbl>
      </c:pivotFmt>
      <c:pivotFmt>
        <c:idx val="1"/>
        <c:spPr>
          <a:effectLst>
            <a:outerShdw blurRad="50800" dist="38100" dir="5400000" algn="t" rotWithShape="0">
              <a:prstClr val="black">
                <a:alpha val="40000"/>
              </a:prstClr>
            </a:outerShdw>
          </a:effectLst>
          <a:scene3d>
            <a:camera prst="orthographicFront"/>
            <a:lightRig rig="threePt" dir="t"/>
          </a:scene3d>
          <a:sp3d>
            <a:bevelT prst="angle"/>
          </a:sp3d>
        </c:spPr>
        <c:marker>
          <c:symbol val="none"/>
        </c:marker>
        <c:dLbl>
          <c:idx val="0"/>
          <c:spPr>
            <a:noFill/>
            <a:ln>
              <a:solidFill>
                <a:schemeClr val="bg1"/>
              </a:solidFill>
            </a:ln>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tx1"/>
                  </a:solidFill>
                  <a:latin typeface="+mn-lt"/>
                  <a:ea typeface="+mn-ea"/>
                  <a:cs typeface="+mn-cs"/>
                </a:defRPr>
              </a:pPr>
              <a:endParaRPr lang="es-CO"/>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
        <c:spPr>
          <a:blipFill>
            <a:blip xmlns:r="http://schemas.openxmlformats.org/officeDocument/2006/relationships" r:embed="rId1"/>
            <a:tile tx="0" ty="0" sx="100000" sy="100000" flip="none" algn="tl"/>
          </a:blipFill>
          <a:ln>
            <a:noFill/>
          </a:ln>
          <a:effectLst>
            <a:outerShdw blurRad="50800" dist="38100" dir="5400000" algn="t" rotWithShape="0">
              <a:prstClr val="black">
                <a:alpha val="40000"/>
              </a:prstClr>
            </a:outerShdw>
          </a:effectLst>
          <a:scene3d>
            <a:camera prst="orthographicFront"/>
            <a:lightRig rig="threePt" dir="t"/>
          </a:scene3d>
          <a:sp3d>
            <a:bevelT prst="angle"/>
          </a:sp3d>
        </c:spPr>
        <c:dLbl>
          <c:idx val="0"/>
          <c:spPr>
            <a:noFill/>
            <a:ln>
              <a:solidFill>
                <a:schemeClr val="bg1"/>
              </a:solidFill>
            </a:ln>
            <a:effectLst/>
          </c:spPr>
          <c:txPr>
            <a:bodyPr rot="0" spcFirstLastPara="1" vertOverflow="ellipsis" vert="horz" wrap="square" lIns="38100" tIns="19050" rIns="38100" bIns="19050" anchor="ctr" anchorCtr="1">
              <a:noAutofit/>
            </a:bodyPr>
            <a:lstStyle/>
            <a:p>
              <a:pPr>
                <a:defRPr sz="1800" b="0" i="0" u="none" strike="noStrike" kern="1200" baseline="0">
                  <a:solidFill>
                    <a:schemeClr val="tx1"/>
                  </a:solidFill>
                  <a:latin typeface="+mn-lt"/>
                  <a:ea typeface="+mn-ea"/>
                  <a:cs typeface="+mn-cs"/>
                </a:defRPr>
              </a:pPr>
              <a:endParaRPr lang="es-CO"/>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3"/>
        <c:spPr>
          <a:solidFill>
            <a:srgbClr val="E85324"/>
          </a:solidFill>
          <a:ln>
            <a:noFill/>
          </a:ln>
          <a:effectLst>
            <a:outerShdw blurRad="50800" dist="38100" dir="5400000" algn="t" rotWithShape="0">
              <a:prstClr val="black">
                <a:alpha val="40000"/>
              </a:prstClr>
            </a:outerShdw>
          </a:effectLst>
          <a:scene3d>
            <a:camera prst="orthographicFront"/>
            <a:lightRig rig="threePt" dir="t"/>
          </a:scene3d>
          <a:sp3d>
            <a:bevelT prst="angle"/>
          </a:sp3d>
        </c:spPr>
        <c:dLbl>
          <c:idx val="0"/>
          <c:spPr>
            <a:noFill/>
            <a:ln>
              <a:solidFill>
                <a:schemeClr val="bg1"/>
              </a:solidFill>
            </a:ln>
            <a:effectLst/>
          </c:spPr>
          <c:txPr>
            <a:bodyPr rot="0" spcFirstLastPara="1" vertOverflow="ellipsis" vert="horz" wrap="square" lIns="38100" tIns="19050" rIns="38100" bIns="19050" anchor="ctr" anchorCtr="1">
              <a:noAutofit/>
            </a:bodyPr>
            <a:lstStyle/>
            <a:p>
              <a:pPr>
                <a:defRPr sz="1800" b="0" i="0" u="none" strike="noStrike" kern="1200" baseline="0">
                  <a:solidFill>
                    <a:schemeClr val="tx1"/>
                  </a:solidFill>
                  <a:latin typeface="+mn-lt"/>
                  <a:ea typeface="+mn-ea"/>
                  <a:cs typeface="+mn-cs"/>
                </a:defRPr>
              </a:pPr>
              <a:endParaRPr lang="es-CO"/>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4"/>
        <c:spPr>
          <a:blipFill>
            <a:blip xmlns:r="http://schemas.openxmlformats.org/officeDocument/2006/relationships" r:embed="rId2"/>
            <a:tile tx="0" ty="0" sx="100000" sy="100000" flip="none" algn="tl"/>
          </a:blipFill>
          <a:ln>
            <a:noFill/>
          </a:ln>
          <a:effectLst>
            <a:outerShdw blurRad="50800" dist="38100" dir="5400000" algn="t" rotWithShape="0">
              <a:prstClr val="black">
                <a:alpha val="40000"/>
              </a:prstClr>
            </a:outerShdw>
          </a:effectLst>
          <a:scene3d>
            <a:camera prst="orthographicFront"/>
            <a:lightRig rig="threePt" dir="t"/>
          </a:scene3d>
          <a:sp3d>
            <a:bevelT prst="angle"/>
          </a:sp3d>
        </c:spPr>
        <c:dLbl>
          <c:idx val="0"/>
          <c:spPr>
            <a:noFill/>
            <a:ln>
              <a:solidFill>
                <a:schemeClr val="bg1"/>
              </a:solidFill>
            </a:ln>
            <a:effectLst/>
          </c:spPr>
          <c:txPr>
            <a:bodyPr rot="0" spcFirstLastPara="1" vertOverflow="ellipsis" vert="horz" wrap="square" lIns="38100" tIns="19050" rIns="38100" bIns="19050" anchor="ctr" anchorCtr="1">
              <a:noAutofit/>
            </a:bodyPr>
            <a:lstStyle/>
            <a:p>
              <a:pPr>
                <a:defRPr sz="1800" b="0" i="0" u="none" strike="noStrike" kern="1200" baseline="0">
                  <a:solidFill>
                    <a:schemeClr val="tx1"/>
                  </a:solidFill>
                  <a:latin typeface="+mn-lt"/>
                  <a:ea typeface="+mn-ea"/>
                  <a:cs typeface="+mn-cs"/>
                </a:defRPr>
              </a:pPr>
              <a:endParaRPr lang="es-CO"/>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5"/>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lin ang="0" scaled="1"/>
            <a:tileRect/>
          </a:gradFill>
          <a:ln>
            <a:noFill/>
          </a:ln>
          <a:effectLst>
            <a:outerShdw blurRad="50800" dist="38100" dir="5400000" algn="t" rotWithShape="0">
              <a:prstClr val="black">
                <a:alpha val="40000"/>
              </a:prstClr>
            </a:outerShdw>
          </a:effectLst>
          <a:scene3d>
            <a:camera prst="orthographicFront"/>
            <a:lightRig rig="threePt" dir="t"/>
          </a:scene3d>
          <a:sp3d>
            <a:bevelT prst="angle"/>
          </a:sp3d>
        </c:spPr>
        <c:dLbl>
          <c:idx val="0"/>
          <c:spPr>
            <a:noFill/>
            <a:ln>
              <a:solidFill>
                <a:schemeClr val="bg1"/>
              </a:solidFill>
            </a:ln>
            <a:effectLst/>
          </c:spPr>
          <c:txPr>
            <a:bodyPr rot="0" spcFirstLastPara="1" vertOverflow="ellipsis" vert="horz" wrap="square" lIns="38100" tIns="19050" rIns="38100" bIns="19050" anchor="ctr" anchorCtr="1">
              <a:noAutofit/>
            </a:bodyPr>
            <a:lstStyle/>
            <a:p>
              <a:pPr>
                <a:defRPr sz="1800" b="0" i="0" u="none" strike="noStrike" kern="1200" baseline="0">
                  <a:solidFill>
                    <a:schemeClr val="tx1"/>
                  </a:solidFill>
                  <a:latin typeface="+mn-lt"/>
                  <a:ea typeface="+mn-ea"/>
                  <a:cs typeface="+mn-cs"/>
                </a:defRPr>
              </a:pPr>
              <a:endParaRPr lang="es-CO"/>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TABLAS!$B$33</c:f>
              <c:strCache>
                <c:ptCount val="1"/>
                <c:pt idx="0">
                  <c:v>요약</c:v>
                </c:pt>
              </c:strCache>
            </c:strRef>
          </c:tx>
          <c:spPr>
            <a:effectLst>
              <a:outerShdw blurRad="50800" dist="38100" dir="5400000" algn="t" rotWithShape="0">
                <a:prstClr val="black">
                  <a:alpha val="40000"/>
                </a:prstClr>
              </a:outerShdw>
            </a:effectLst>
            <a:scene3d>
              <a:camera prst="orthographicFront"/>
              <a:lightRig rig="threePt" dir="t"/>
            </a:scene3d>
            <a:sp3d>
              <a:bevelT prst="angle"/>
            </a:sp3d>
          </c:spPr>
          <c:dPt>
            <c:idx val="0"/>
            <c:bubble3D val="0"/>
            <c:explosion val="8"/>
            <c:spPr>
              <a:solidFill>
                <a:srgbClr val="E85324"/>
              </a:solidFill>
              <a:ln>
                <a:noFill/>
              </a:ln>
              <a:effectLst>
                <a:outerShdw blurRad="50800" dist="38100" dir="5400000" algn="t" rotWithShape="0">
                  <a:prstClr val="black">
                    <a:alpha val="40000"/>
                  </a:prstClr>
                </a:outerShdw>
              </a:effectLst>
              <a:scene3d>
                <a:camera prst="orthographicFront"/>
                <a:lightRig rig="threePt" dir="t"/>
              </a:scene3d>
              <a:sp3d>
                <a:bevelT prst="angle"/>
              </a:sp3d>
            </c:spPr>
            <c:extLst>
              <c:ext xmlns:c16="http://schemas.microsoft.com/office/drawing/2014/chart" uri="{C3380CC4-5D6E-409C-BE32-E72D297353CC}">
                <c16:uniqueId val="{00000004-DD53-42D7-B1BE-191FDA956D12}"/>
              </c:ext>
            </c:extLst>
          </c:dPt>
          <c:dPt>
            <c:idx val="1"/>
            <c:bubble3D val="0"/>
            <c:explosion val="4"/>
            <c:spPr>
              <a:blipFill>
                <a:blip xmlns:r="http://schemas.openxmlformats.org/officeDocument/2006/relationships" r:embed="rId1"/>
                <a:tile tx="0" ty="0" sx="100000" sy="100000" flip="none" algn="tl"/>
              </a:blipFill>
              <a:ln>
                <a:noFill/>
              </a:ln>
              <a:effectLst>
                <a:outerShdw blurRad="50800" dist="38100" dir="5400000" algn="t" rotWithShape="0">
                  <a:prstClr val="black">
                    <a:alpha val="40000"/>
                  </a:prstClr>
                </a:outerShdw>
              </a:effectLst>
              <a:scene3d>
                <a:camera prst="orthographicFront"/>
                <a:lightRig rig="threePt" dir="t"/>
              </a:scene3d>
              <a:sp3d>
                <a:bevelT prst="angle"/>
              </a:sp3d>
            </c:spPr>
            <c:extLst>
              <c:ext xmlns:c16="http://schemas.microsoft.com/office/drawing/2014/chart" uri="{C3380CC4-5D6E-409C-BE32-E72D297353CC}">
                <c16:uniqueId val="{00000003-DD53-42D7-B1BE-191FDA956D12}"/>
              </c:ext>
            </c:extLst>
          </c:dPt>
          <c:dPt>
            <c:idx val="2"/>
            <c:bubble3D val="0"/>
            <c:explosion val="6"/>
            <c:spPr>
              <a:blipFill>
                <a:blip xmlns:r="http://schemas.openxmlformats.org/officeDocument/2006/relationships" r:embed="rId2"/>
                <a:tile tx="0" ty="0" sx="100000" sy="100000" flip="none" algn="tl"/>
              </a:blipFill>
              <a:ln>
                <a:noFill/>
              </a:ln>
              <a:effectLst>
                <a:outerShdw blurRad="50800" dist="38100" dir="5400000" algn="t" rotWithShape="0">
                  <a:prstClr val="black">
                    <a:alpha val="40000"/>
                  </a:prstClr>
                </a:outerShdw>
              </a:effectLst>
              <a:scene3d>
                <a:camera prst="orthographicFront"/>
                <a:lightRig rig="threePt" dir="t"/>
              </a:scene3d>
              <a:sp3d>
                <a:bevelT prst="angle"/>
              </a:sp3d>
            </c:spPr>
            <c:extLst>
              <c:ext xmlns:c16="http://schemas.microsoft.com/office/drawing/2014/chart" uri="{C3380CC4-5D6E-409C-BE32-E72D297353CC}">
                <c16:uniqueId val="{00000006-DD53-42D7-B1BE-191FDA956D12}"/>
              </c:ext>
            </c:extLst>
          </c:dPt>
          <c:dPt>
            <c:idx val="3"/>
            <c:bubble3D val="0"/>
            <c:explosion val="3"/>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lin ang="0" scaled="1"/>
                <a:tileRect/>
              </a:gradFill>
              <a:ln>
                <a:noFill/>
              </a:ln>
              <a:effectLst>
                <a:outerShdw blurRad="50800" dist="38100" dir="5400000" algn="t" rotWithShape="0">
                  <a:prstClr val="black">
                    <a:alpha val="40000"/>
                  </a:prstClr>
                </a:outerShdw>
              </a:effectLst>
              <a:scene3d>
                <a:camera prst="orthographicFront"/>
                <a:lightRig rig="threePt" dir="t"/>
              </a:scene3d>
              <a:sp3d>
                <a:bevelT prst="angle"/>
              </a:sp3d>
            </c:spPr>
            <c:extLst>
              <c:ext xmlns:c16="http://schemas.microsoft.com/office/drawing/2014/chart" uri="{C3380CC4-5D6E-409C-BE32-E72D297353CC}">
                <c16:uniqueId val="{00000005-DD53-42D7-B1BE-191FDA956D12}"/>
              </c:ext>
            </c:extLst>
          </c:dPt>
          <c:dLbls>
            <c:dLbl>
              <c:idx val="0"/>
              <c:spPr>
                <a:noFill/>
                <a:ln>
                  <a:solidFill>
                    <a:schemeClr val="bg1"/>
                  </a:solidFill>
                </a:ln>
                <a:effectLst/>
              </c:spPr>
              <c:txPr>
                <a:bodyPr rot="0" spcFirstLastPara="1" vertOverflow="ellipsis" vert="horz" wrap="square" lIns="38100" tIns="19050" rIns="38100" bIns="19050" anchor="ctr" anchorCtr="1">
                  <a:noAutofit/>
                </a:bodyPr>
                <a:lstStyle/>
                <a:p>
                  <a:pPr>
                    <a:defRPr sz="1800" b="0" i="0" u="none" strike="noStrike" kern="1200" baseline="0">
                      <a:solidFill>
                        <a:schemeClr val="tx1"/>
                      </a:solidFill>
                      <a:latin typeface="+mn-lt"/>
                      <a:ea typeface="+mn-ea"/>
                      <a:cs typeface="+mn-cs"/>
                    </a:defRPr>
                  </a:pPr>
                  <a:endParaRPr lang="es-CO"/>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4-DD53-42D7-B1BE-191FDA956D12}"/>
                </c:ext>
              </c:extLst>
            </c:dLbl>
            <c:dLbl>
              <c:idx val="1"/>
              <c:spPr>
                <a:noFill/>
                <a:ln>
                  <a:solidFill>
                    <a:schemeClr val="bg1"/>
                  </a:solidFill>
                </a:ln>
                <a:effectLst/>
              </c:spPr>
              <c:txPr>
                <a:bodyPr rot="0" spcFirstLastPara="1" vertOverflow="ellipsis" vert="horz" wrap="square" lIns="38100" tIns="19050" rIns="38100" bIns="19050" anchor="ctr" anchorCtr="1">
                  <a:noAutofit/>
                </a:bodyPr>
                <a:lstStyle/>
                <a:p>
                  <a:pPr>
                    <a:defRPr sz="1800" b="0" i="0" u="none" strike="noStrike" kern="1200" baseline="0">
                      <a:solidFill>
                        <a:schemeClr val="tx1"/>
                      </a:solidFill>
                      <a:latin typeface="+mn-lt"/>
                      <a:ea typeface="+mn-ea"/>
                      <a:cs typeface="+mn-cs"/>
                    </a:defRPr>
                  </a:pPr>
                  <a:endParaRPr lang="es-CO"/>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3-DD53-42D7-B1BE-191FDA956D12}"/>
                </c:ext>
              </c:extLst>
            </c:dLbl>
            <c:dLbl>
              <c:idx val="2"/>
              <c:spPr>
                <a:noFill/>
                <a:ln>
                  <a:solidFill>
                    <a:schemeClr val="bg1"/>
                  </a:solidFill>
                </a:ln>
                <a:effectLst/>
              </c:spPr>
              <c:txPr>
                <a:bodyPr rot="0" spcFirstLastPara="1" vertOverflow="ellipsis" vert="horz" wrap="square" lIns="38100" tIns="19050" rIns="38100" bIns="19050" anchor="ctr" anchorCtr="1">
                  <a:noAutofit/>
                </a:bodyPr>
                <a:lstStyle/>
                <a:p>
                  <a:pPr>
                    <a:defRPr sz="1800" b="0" i="0" u="none" strike="noStrike" kern="1200" baseline="0">
                      <a:solidFill>
                        <a:schemeClr val="tx1"/>
                      </a:solidFill>
                      <a:latin typeface="+mn-lt"/>
                      <a:ea typeface="+mn-ea"/>
                      <a:cs typeface="+mn-cs"/>
                    </a:defRPr>
                  </a:pPr>
                  <a:endParaRPr lang="es-CO"/>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6-DD53-42D7-B1BE-191FDA956D12}"/>
                </c:ext>
              </c:extLst>
            </c:dLbl>
            <c:dLbl>
              <c:idx val="3"/>
              <c:spPr>
                <a:noFill/>
                <a:ln>
                  <a:solidFill>
                    <a:schemeClr val="bg1"/>
                  </a:solidFill>
                </a:ln>
                <a:effectLst/>
              </c:spPr>
              <c:txPr>
                <a:bodyPr rot="0" spcFirstLastPara="1" vertOverflow="ellipsis" vert="horz" wrap="square" lIns="38100" tIns="19050" rIns="38100" bIns="19050" anchor="ctr" anchorCtr="1">
                  <a:noAutofit/>
                </a:bodyPr>
                <a:lstStyle/>
                <a:p>
                  <a:pPr>
                    <a:defRPr sz="1800" b="0" i="0" u="none" strike="noStrike" kern="1200" baseline="0">
                      <a:solidFill>
                        <a:schemeClr val="tx1"/>
                      </a:solidFill>
                      <a:latin typeface="+mn-lt"/>
                      <a:ea typeface="+mn-ea"/>
                      <a:cs typeface="+mn-cs"/>
                    </a:defRPr>
                  </a:pPr>
                  <a:endParaRPr lang="es-CO"/>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5-DD53-42D7-B1BE-191FDA956D12}"/>
                </c:ext>
              </c:extLst>
            </c:dLbl>
            <c:spPr>
              <a:noFill/>
              <a:ln>
                <a:solidFill>
                  <a:schemeClr val="bg1"/>
                </a:solidFill>
              </a:ln>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tx1"/>
                    </a:solidFill>
                    <a:latin typeface="+mn-lt"/>
                    <a:ea typeface="+mn-ea"/>
                    <a:cs typeface="+mn-cs"/>
                  </a:defRPr>
                </a:pPr>
                <a:endParaRPr lang="es-CO"/>
              </a:p>
            </c:txPr>
            <c:dLblPos val="ct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c15:spPr>
              </c:ext>
            </c:extLst>
          </c:dLbls>
          <c:cat>
            <c:strRef>
              <c:f>TABLAS!$A$34:$A$37</c:f>
              <c:strCache>
                <c:ptCount val="4"/>
                <c:pt idx="0">
                  <c:v>Suma de %MAQUINARIA </c:v>
                </c:pt>
                <c:pt idx="1">
                  <c:v>Suma de %COMBUSTIBLE </c:v>
                </c:pt>
                <c:pt idx="2">
                  <c:v>Suma de % MANO DE OBRA </c:v>
                </c:pt>
                <c:pt idx="3">
                  <c:v>Suma de %MATERIALES </c:v>
                </c:pt>
              </c:strCache>
            </c:strRef>
          </c:cat>
          <c:val>
            <c:numRef>
              <c:f>TABLAS!$B$34:$B$37</c:f>
              <c:numCache>
                <c:formatCode>0.00%</c:formatCode>
                <c:ptCount val="4"/>
                <c:pt idx="0">
                  <c:v>1.0000000000000002</c:v>
                </c:pt>
                <c:pt idx="1">
                  <c:v>1.0000000000000002</c:v>
                </c:pt>
                <c:pt idx="2">
                  <c:v>0.99999999999999956</c:v>
                </c:pt>
                <c:pt idx="3">
                  <c:v>1</c:v>
                </c:pt>
              </c:numCache>
            </c:numRef>
          </c:val>
          <c:extLst>
            <c:ext xmlns:c16="http://schemas.microsoft.com/office/drawing/2014/chart" uri="{C3380CC4-5D6E-409C-BE32-E72D297353CC}">
              <c16:uniqueId val="{00000002-DD53-42D7-B1BE-191FDA956D12}"/>
            </c:ext>
          </c:extLst>
        </c:ser>
        <c:dLbls>
          <c:dLblPos val="bestFit"/>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0.71775749041365566"/>
          <c:y val="0.5921902056688032"/>
          <c:w val="0.24597491888250547"/>
          <c:h val="0.26323510940413858"/>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lt1">
                  <a:lumMod val="8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UBICACION</cx:v>
        </cx:txData>
      </cx:tx>
      <cx:txPr>
        <a:bodyPr spcFirstLastPara="1" vertOverflow="ellipsis" horzOverflow="overflow" wrap="square" lIns="0" tIns="0" rIns="0" bIns="0" anchor="ctr" anchorCtr="1"/>
        <a:lstStyle/>
        <a:p>
          <a:pPr algn="ctr" rtl="0">
            <a:defRPr>
              <a:solidFill>
                <a:schemeClr val="bg1"/>
              </a:solidFill>
            </a:defRPr>
          </a:pPr>
          <a:r>
            <a:rPr lang="es-ES" sz="1800" b="1" i="0" u="none" strike="noStrike" baseline="0">
              <a:solidFill>
                <a:schemeClr val="bg1"/>
              </a:solidFill>
              <a:latin typeface="Calibri" panose="020F0502020204030204"/>
            </a:rPr>
            <a:t>UBICACION</a:t>
          </a:r>
        </a:p>
      </cx:txPr>
    </cx:title>
    <cx:plotArea>
      <cx:plotAreaRegion>
        <cx:plotSurface>
          <cx:spPr>
            <a:ln w="50800">
              <a:solidFill>
                <a:schemeClr val="accent5">
                  <a:lumMod val="60000"/>
                  <a:lumOff val="40000"/>
                </a:schemeClr>
              </a:solidFill>
            </a:ln>
          </cx:spPr>
        </cx:plotSurface>
        <cx:series layoutId="regionMap" uniqueId="{C4022FE4-EC6C-4AF2-A8E9-E87CD66C26F4}">
          <cx:tx>
            <cx:txData>
              <cx:f>_xlchart.v5.2</cx:f>
              <cx:v>%</cx:v>
            </cx:txData>
          </cx:tx>
          <cx:dataId val="0"/>
          <cx:layoutPr>
            <cx:geography cultureLanguage="es-ES" cultureRegion="CO" attribution="Con tecnología de Bing">
              <cx:geoCache provider="{E9337A44-BEBE-4D9F-B70C-5C5E7DAFC167}">
                <cx:binary>7HrZcuQ4suWvlOXzsAogAZJo67pmA5KxKbSmcql8oUmZSgAECJAAuH79uHqzvn3beuYDRi8ykUEG
4HD3s7j+/H3903fz9uJ/WXtjw5++r79/kDEOf/rtt/BdvvUv4ddeffcuuJ/x1++u/839/Km+v/32
w78syorfUoTJb9/li49v64f/+jO8Tby5q/v+EpWzj9Ob357ewmRi+A/3/u2tX767ycb3xwW86fcP
1f31/paf//eHX95sVHF73oa33z/8tw99+OW3f33V//jaXwysLE4/4FnyK2KM4ZxlH34xzoq/XU6K
9FeGyhJnpER/+cn//p13Lz08Vznj+lf18ver/24lf1nHy48f/i2EX/72+5+f/G/r/ucbKrjqrxuv
3Psiq/u/7Oq3/x7Y//rzv1yAff7LlX+K/b8G5f9263+E/v9hw/8/9P827f/TsfwjN+uX+NL8Jan/
6WT+892/H+m/PPqfauOvZXP+8fsHiv+pUt7f8LfH/n16//2Jt5cQf/+Q5PmvJWEpoggXqGQlIR9+
Wd7+cqvEv5aUsjSnOMsLXBb0wy/W+Sh//4Dpr2VJC8YIKhh9f+zDL8FN77cS8muasoyxvMSI4QyV
+T8ayYMzm3D2H7H429+/2Kl/cMrG8PuHFJVQv8NfP/iXtdKCMoJLyso0y1J4ZwH3v788QbuCz+P/
VehZBcOUrrNRjveqn5UsLp3MlOkfERMZSzY+JUW0zaCXqfgYhnkhJ6EHR++wTtbICzHf42H8ue/z
OSvmn11cRfK4UiZUhbY122oZcvWzXMWRdVJw7M1HluF7skCADiE3Zn0iDIu8ytoW2bMW1qaaW5Wm
5rBjNFCeBKG3xmYxzs9WdmKvU4PG9XNfLib4qu3wmr7MpXOmGjWLrqIdypdqWA1lfKSDMTfTrljC
lcXCP3k5i3Be91TuPLVzm73ODk3DzzlYNR9ppjThi9TFeojJvE28YPNgmhbCYJ/modtJZW0Xn5BG
Y6hMZKOpnOwXekBZUgTem6IPjXBID3zZuzk9YjYhw+We50XlxskRrjXDqO78mLuK6G5NLu0iJKtg
abk5S2KLnst5aIemNcK11bSO0nEtismrqp8t8gVfE636Zhv2dKhDNFFcOrN03V0X2bZ/dlIjJb6j
0LNvhfW2492ce8bt2CePdKRCcbe6MuGJtuFlaKmBK5OzTPJMollyn5ii/CZktxA+pvPSfvNDqyzi
ayDrdpiCbbuvZMPK3I6eSnGOhGhX29ntQ0VCpvqTITKktWQk8XVbrm7/4vOsw82WT8zVuY0JNpwl
o9stZyjsT6Z1GNIkjWh/nhY0/qHElnSYhwzrvk5Qt8RDQuyQvicAKytGYwEhNUGXD1Krua2Gzvrk
czJCEW18HzFjZ70p9DPRGvY3lktXHNniGasdjV1yGc1sSNNHjJOT65HqEE/wFtR1ikirekWK9lfI
0XauMuxwz9uuY8e5YHt+mpJ+8mdM9brwvtuWhG+JwrTOZ9PFcMKtoPI8yrRUlSeLy14yuzhZq7TY
YpOuk3ZPq8K7arIoBb0SOXh9hjLNyjp2w+Act/Ou88hngTNaUy+8hPvQNapZz0weqQsBHUbjFW7U
xNTyqres2L9lyKC2UllCs3MJe5OHvkT9flo0MTMkJUNCfmJlZ/dmF8VcNG22yy+sXQx+GZU37KWN
oZuft1379bUtpECHKXr1FMKS+mpbGFOVFQiX5yXsC72h1E1FvSXMKcr3bVx3HhBdYpNnZjePupRG
nm20LX1I9jVR1zYo+MyYt6w7ony0LK0TiP7Ah6nvdF2WthgGHlO85XXa+sk1aF8ZOnfT1Lsh8jCV
eTiptt2Wa5zmVj9pEbasNgbR/DKFdlwOxCQdqVO3jt0XIbftJuihIFVPZvNZDFuKm7W13VJltpjU
OeAiGg5cx283OlMev2TvT9ZZGvV8lh6vnmdqnt7KEgr4KrvemnofTN96vsTS21M5bS3kWMp0Xxwl
7jbSoGzO6GF2sOY/Ur35oeoVdPELKtYSncdCRvPHunYDrud+7NWNoLg1F6KFC9zZYRgbVRA0vk4o
W8VzH305VPNKyjDW+9LbxXCz4sk/9fswhO+FL8tn1KVmqHabixuBV5xBLxzol9bME67EQHpxDjYP
W41Hw3a+GL/MzZSjpGiCIyX02mFI/tCSMMuRj3m1pLFdOeqL7jhrOj4xaDW28nvbxYoS4SI3EfmZ
i3xOb3qZmKWBvuVVjXXQN5MVMvBhmMubLE3ttY1rajlFWd+YwuAfkpDtla4eKT7nw3wlUa6+7pKw
fPREpM02t+tDYFk5cbkMTqQ8Ll0b6oG0eVLvk87a29HIUNQJGeLWYJ3qtsm1iOHFzKS0FU3Rutee
kNBylbqgTwXamT7tMwlFzn2KtuXYibwTHc+mjSnu2zbbmjIphvmSL8rYU9vS/NvSp6m49lQyI06Q
d378GUeVbJ8CJEHsq0gDrny3S+gm8VOZtpVI2YNA8il2+GZl+Vghu1yKrc347tLndSyfxoIsVTFD
+ytwGnlHFnVYaVJUOvQ5z8OATogk6iRcPl7afo4NmgTmAL5fo6UPYSiPNsTHzqUjVw6SJkH7XC/t
nsN5ZIZ3Nt4mBF91r0ZebNlyLoW9Lxz+7LX8SPFWcryZt0Wtj+Me5nqnqYCDCG9iTV5Ent93GSBT
vy2V3LJ4wSFQHklaXtHiyZcstRnXFs8Xb/TJzlLelNmOjnTMAFZM2R/EmEB1hFFWWaI/LgO7KTsy
cxx1yj0keEPXKL4iKqaqhDMZhI1HqtviYoaeHXHqxGOEEhV1ZwdN+bTY/n7BuUQH3EZyRHL4IWhv
K5mskhuojmbW+YtKtLjKNbimgBKGNzNdy6kHHEM7KXk5xPtNSglAbe+2dVu5B2x4ckrlh9LQO2j2
8QWozddkw3nVddll6fVzoqRpFjjrIxSs5C2VL8yN+F72azy2bgmcKdJzXzh2QNSnb7Fb9f2ulp/F
tsoDQ1tXTaa4JL18Svee3ebr/DinSHLtbHbU07odvRvaKg7Di3GaPG1ykZ8BYvpLlHSo3arp1y0m
+sbujh4TG8kpsy6pFLavm/eBF8N03ZOxqAPubb1nuK1CTAS3HunXMKNbY8y1xP1d3KFt2tF1h7kd
xipxNG/YVr5ILUae27nj6e5ZtWX9TSH2rgE0r8dMuSoy404r2Q7ppB4gdMuVQE65JQJJHIe3HiqB
L3g4eVueojef/Z6+OjmeupEsPA3mVtH9UhBGa6bDdR9lV+nUd+dI7aEz9kFLdJ5E8Z3EcA5oPsiM
Cc7a9bCs60Gm8phK2b90ifanRYofugBuYNeeHpc19MduY19ntiaQ0/hYLHteicwd17k7loWo5ITS
Si/lAgDsnoCLf6QivWn34RpEu3HXes23MtysnajMBD007UTSxJxmVZSzPrSJRqckyaCE5yHfuSB9
fsQWjYeBCfZMduU+OtmFL4ik80eRRfTGrGw/qs1OXbVmPj/PnXsnwO0WL2ywWH+ahggsqcjZoXdd
ub3zHHnDspVc2w0o6uyn6WWah/VToUr9BB8xD2UsY20HKm9l9BmXZh0OQMHLt6FA6pQByTrZjQ13
U7+Lr3Nstzu96Vi12OY/c1Lqh2inWOfbOLo74KKawGYxbvnu51jFfQpfnWSJPDmTlvR2nYet48K0
Ww/tbHehWrpt9wfjWzadLfDo1z4BVloRpuNYl3kiTEP8Nn+km1TQ+edYbGcowznW82RydaSzst0l
y6eVfnNGFfHaRZx30CWI+0NtSQ4Ia5AqjqMzFpN63IQVQ8WcT/IqYCZKXpRYPCoT4KTdKHqAXK3L
lattVaFGy4QeJzT5W1t49HlTPgISDOSCttFuXI++nGATcc/rqQhtyvcBq5krA+qo3knvw7EIU5wr
7ycIAxFmNIcIlJSdVuA1KS+nFr+6JP/Sldg2JF0LDr7J1IFKme6XZGuSPEq+Z1OsZlAVNZTs+qlf
vb4xix1OXYgB+qIGBF6G5NCLPq9oDlDsdMbOS+sQp12HL9AQnk1B5NO6+vHBii27ATJMoRGj7uxn
dHYT+mpxjup1TFWlumC4I9nn6Ok3Yob8Pi3cx96V+JtMB38BbgvwHL2rKR2XE06SNzau+f2O5xe3
F6/LHNamX/R26ZSSlcyRvaexjzf9MPfHACV7C0Q2AJxKVbHFLJ+GbQOeujt1AIbR/9yZ2Q7QxPeq
65U8QF6adyUx4cdh7+gpkkk2HfHJEygK1CxsNrUC/QTUsS9rwgbdA0ABqQPZg5JLEEApOcrSHiAi
JOd8zdAt0LFwtKMtKiLIrRm7gY9FMV/TovVV70usOUFOPjOL3A2dhrZeiZtqiulLu0R8LfN2BOxZ
foyRLc1Wrt1R2XY9M9uXlcviZ+gOEjZXHsw7ZLTrdNcT+qMYWUUydqItrebNYD5i9SSy7A1v5A9L
548TXqBjKtdVQP1W3s7sj9gSy9WgDED9xBozUsJtn/6RZhSwPmGYE+8ueQG9ZpHzXtkcdPbe5qdE
5XfrkN35JH4G/rfxPsjar+JTN4RTG2bNp5jfJrl+mdLwlVigDh3C9y1JrwwuRjyfLSqPC3YLb/Hm
TjkT5gIhqMbBALikJOHBdPRQ6uVu3fSznacfGwqY78twC+zr1m8o3hYKiEDW6oznmvxkLlG8XPIF
kBLdpml+1gXLeK/3rJkzP/JYZjdUZMdBhpEvip59i56jUMcph3XkZALdyWI8+qQlfCbuu8T7CJJC
uboFKKmKHHSiUNAHu1xlXGlqOBaw6GRNM77F9Vu25rUvNkBLsForNPhPSuSfYggdd5syVXTTcxv7
46TZzDMUh6Ndi/kcJZu4hzZ7HhbzGPe19jqaSgNCNNi3h6FLoXEk3R2brQPcYGvl5441wSaiGvrt
c9dNVxR92owsqfuYIIhT2nEQSc8+jo8oD+jonEB8W2zaUDR+B28j8KXMHnexVnhFz6RjD6AIL6kM
94SyStpurRerxOPgs+HQLTaeUhCvvEsTsC7CWHKEjX4YiSVVCF5XeZdOCzf9VFxNF3J4k1KVQPl2
dSrvuaF252iSqGqNus59CZck2qspQXc7Le7JFs7ZamE1pScV3QYAaVTeMEcPBG3kaDbVnz1o5ioF
mdaafqt3XHymI3OVzZKJlzl7csVynYW53XSPOeiKU5eJz5RsDUpSye2uv4F1cBvo9sXM4dOmx6WR
e+LqDqUGUr88Qd8bTqVXqCmm1oDCXZcq2D2p8AJMdYMWw1eIBR9JK6ClxsXeDhsYB9q0z7NbTTP0
9hNOhmsPrtQjwa49bxO8cjTpdnDE+HoSzF0RSoYzcLnxOOKFAOgU02dgrJngo+96IIOlP/swD6HC
I6E9+A5rdqD7rAewcvrQVx0bWlHti29fx20A6acjFgc6bLMCQTq0L3HS69SUYtjpCWUUkJFaPaOG
yXFd+ayxOjDVzk9J16Y3ZA8YaEyyASaN67MqoYhatf1M4NCOG5rXRmRku+9z0h6mZA4M3Kat19A7
yHQQxMRT4eZwonnsfxqc0EvMy/Ec0Qi6K8fTUaYT1F+q9s3yKHJVwkMg1vgEArUaZjjmZF/kEUz8
mfDJtAjaDGp7emE767Ib3etwS9Jk+trj3LtjpzG07bQIPT4zzPBRMcVuwMBZ2K3BRpytWTRUFNOt
P9u+jVW+Z+EehRTd72nLHqTMN/U0dGtYzybu2XVXRBoIsPWXtffpcRQruuswsJpjsihheWaJwbUG
twvcgg3zHETdDdCItfEqrj9lW9gGpBU+6d3hpY7ZntYljQm0gyLlSdI90mTfrgr3z2OW7jdDSsVn
0y953ZJO3QuPwkfsxaPb55tNlZ9SH/zZpUBZt9yTg1Xts+z2A5w3qOk8e9m6JT2MSa44WcXM1xJ/
6vvusRXj3RQzVWVTeCAT7vhKy/PapXdk7Q/aZY0r0HjMA/1huuGCQR/MPvnWr1TwuPrLLg1qutx9
8X13P2DrmrJUW4XBNavzPtgqHfsJJN+qIctywL48P4hMNgbUaJ0WEzoAQb2dVAk8P+/+8LO6aiCS
FXiNjsOZnPLN3eaaXZKCNolfSz6X83bwBlzFvmXukVAZweCbdY0FQoCUTDSla5cmKUE7dGRfePRF
dtEpVvcM1ME9tWnXAT8aHI+bVdD0CKyO5HgA787FemSTuS6SguLtEbpLEOmqVM+3MwOtlsjBQlh6
yrVMjrlx14nIU7nPHzPdNUIMjz5tLXjLieYrMSc5LrqKKrlJ2/ApGyKp8K510+YFa/IkQhMkRJ2H
POuBQLfnJR8IX/PkgcX9S1hGxue1fe4ywF+Sxq+JT+47HSMfwGmpAhlablF67JRdgOrFu8kWgGxt
/y4s7sGefXUz5HPR3hWyf+zWtMEpPYptezILoby3w8z7Avr6pJMzntLXJElvwC4WfM+TF8zKb1il
+7lTnat9AnrY6Yd2K65bvt1Ggc67LL/k295kRH0KJj2BaVr7NJyJ3I92XwRPkW260p/24Lpz2+K0
KorldiPyZyrCpd/XW9ONj4HSR2g7j0UiPoli/EmpuTjwAUQGBET32/2YanvsdlAnW+F/zrqMFcvm
z3C2NfMlQHvZpO0Ee5ntl63sHsetHTixyZmYibe7fJij+zG4uUnWDMovHOgynoJzYM/C2dIsqzvX
1/OayipQAYzDP6XJCCoyNvuanVMw8UnnHpaUfDSKek5oiBwszIfFJnfg1t0W/dxVmPTfdYK+mlze
6208TYEBUNNP0PNDHVwYq32NsRqW8ssweW7KKKq0n9FJsCK/xyDxQJFsjrdtkvHQ6vQYW3QWc0Iq
LQFgB1wMn0MEyx274PnggTCOwyeI4H3ZzZdpn6pYrqfOoRs2A6Ma2/XS5eZQkuFGl2NDCPgnOy5V
vY9aVuuGeg6V/6VHjHJhB3FggkzcgRsLDiNfqHsJajkCqfwkyuy4d+7VbP4ObLGrMNN3tUUKSWme
decbv5PGr8N957P70SgJwLfWYBLWOumuwE+/dXn3aLq2Mjs4MH18KRaacEQZFF4q3wlcOGbLrngP
WsrM432U8ksxqGenveKrHcVJOv/mZqGbd8cd6Ayuh16dS2v6Sq3sdQ3ta9T0MAr5nAX2AhvtbnKx
3qkAifnOlFB7le107TGq1j4ZqsyQrEllIhuaDs82Bf97te6F9JRdpl55Ht45S7qAO447+7jq0NZM
DfA0XWUz79ND0YIFkqbuQS3bwSYJq5Ayh7QdnnUePhO30CZ1434oivxHMeTJcQo9qQZP3YEk4gkc
oO82KW+XBCeg3Yp3wrnfqBbf+nKUfJmHRwqOUbWN0yniBYJKp8dJrpAdTjzHZf4KpSpPamDHckyf
S2XO024c92uyHGSxz+VhtWG5UMS6VxHT7Tbdo+x5qaNK6zEtNRxJn91O7RAOEJb0AhMVsAVgbAR8
CI2VhQnadzLPuJpBKn8tRULP24CB9GftTq45WMwfYWazPxG37beZmcL7UAwMB9KW08dETfgMXtZ6
7XPkv8PEwcZqGQcyADtp50M7ofWPaHpxGkH837B9xX94T/wLWCuv87iBtVK8Gy+zbBtJKKC4VAj+
7Nuq3dSDN6niMiTP5ZzZowU0dgU1VZGpRizTdFsuY3ECMXpPBwS+/bSl1Y7wzllPx2ZUS42TAtzh
rlBcpFClLYI2kDMwyxmUCTgeMwdJ8Eg0ueDMf4Q5IKRpUW6H3OrsQWVZ5OCNIpg8jaaGcEk4p3zl
2tiR92OhObiyT4kbSu7MWLO9/LL1uYfg6295V7w64MfVJDWtsmEeT2nbfoE5SG1KF3rQPutrroqv
myyTrzS4IwyTfIPIfuojemoxfvVj9kMWa8XyPamzAtwCMusv27qiasg3WXdj6vjQAtXGdEdn+i5E
1wQ0uldwfOucnc20PxcyycEvjF+jTq6FSO/DjO/imG616EN+EjBDrazAoc4B1LmXveGJCornoLSw
HW4Kpk4u6aDRj/tX8C/u+8K/GIQ+KjruHE/udc83dIf9fMKEfGzXXYCfAO79mpmzzPJzBkm3biPh
cgUO07fInyiYFc1EYlorOqhaz/N2LAgsH/ySB7K5sdrWAewzquk35N9tBluQw5j29M2Nyl7LbMJ8
WpfxbEQqP2bDoj6udp8vNIWiT8tlvS9ja8DxHUj6lkMi1zAR7O4F+IUtDz53FKaZzIJBLLuP85iK
Ozwl7iawAHovoDSBBkpG89Z7iSxfkha9Mm9mXo4MZoCQrVVpxuUhN5KCjT2lTdb34rNIVHaNpZRn
vGeQ83m/DvgA4JvfUXBmz0nhyMMec1Ivyy51wlfdg9Y2K4Jy6hYDLjssL832sQ4qBwIly7UBMwsc
Ggf/1vIIg7cVjPp9jAP0iKwYwEEEz4MbtOHzqjxYnSMoqH5l3U/PFIB4ZrPrmAX7ZFZrr9nsikvm
tvTEWNL/TJdM3Mx4Gx9bzHLKpdIBvhRbMtxuc5nAMcnyWZdiPevdjmeWyeWC25E2OjL0CcyzLNbQ
AfHXTE+oMoPP3w0oexdTlxxbPC+nNnPhiIn3Nw7DvCwIW0S+sT6r22HID32xdQ/JNkAj7mhMYwVR
mj71mcs+5++aK5QDBHTOQCzYPYKBkFB1Ny8DOZMpTs1S5uoGDCx0WDBMpHifzcOh3IH2ahS6M11w
zLkc066eXQmYrgodqnxozblNRFIladkvFRILuRk3mf3sqXAp30zM+opEphscBXDxnRrmnrAJG+IC
CoiPO1AxcHw+YZjZlNUsFvUNz0h+hrmsbnoYPgw1GaEJF3rZf4gyyWujM/otS7yoRwSWplHL+qUz
owMi2qHbrl8DcNmyBI5C6H3aFcuDz/dur83gurxB4H4dtmkVjQ7UQ+sr6dPm75MSfBLBizT498lo
uWmYiBfLJY1BnPAaT7Y1u+atBc+OxznvagnzSPNEx5H2hzbqTjaJmO0bbjP8ow1suUzZtP+BWpOS
arZt+NaCE/F5i30CA4g5Wzc+76q8HUwmMTfj3n3DVq/frESONkBnIr3JN5aEA+mZX3seOqhlWACI
Bj4veZjBLeqBiG+DXwTwO48BJ4o5a5txH2b1bVMChhs6l8o/iEJCQ/Aw/BrP6db9H9K+bDduXYn2
iwRQEkVKrxKl7rbdjqckdl6ExEk0z7O+/i754J50s3VbNznY2MAGvNGlIovFGlYtVpXd5RFDehLC
WR1CFFsmD6cx/GwiTy/ERFMdeIocl43bFX6j7NRgspjHO60PgJ4YEEUNbZvs0q6bdLfUrTYVqYUC
oN0YOc3cqM51YifWgBC0ntDhs6vRKJBOWwMP9k0TmD16Z5r/g8SIEESmNmjQGH2BwMpIG+Wbj/Jt
akdGoISOX6Zj7bVaoJs3M2/4I+mWBLBHrmOp+Uz2HNgAYAaqJm1xN3TqhLx7RPStpSnXHjNdn/ME
JY1c/VnkChqVppLD2TLWdaMXZB2KqUZAkc3ij4Bw6KxeKlH+jKCy8/WEuirFHS2avKPMjYmZZ7ch
bl0T3SYjq46sD8zoWIwoB383jCQ1jkPRjeOxSYz8rYm7YYQGWooWiYpPm+ygMnrHB2Ijq8a2QL/F
t35p+WT89hnCCntGobC5hQLZoxn2SuY0qBc5cQ0ohKOYxYyyCUAjna03rVnuDNLmvWj8IClcbUAZ
6dBZpP1FFQ2dDjKTiYg0nD/7A1AQhlmim2rRGU6jTaL3bKRd6Zat1VkoIuQ6QCGZZU1PaouYmhRt
1t2mUYS4tUDV2wEeqBtF5/vA4RCmmMTre705VKTMantGd9exGqUiR1hmV4vAilAkaAMr60UKCA8y
xXQoI1uZKiURAfO7o4EudnU3aUC07GcgWBIkYrGWCRg5StQEeU/v8Jjmo+cnRYTQO6rjaDwqTTXz
50JTaOAaRlR/Yt3MFcGCNjYcNQKw44HHwEK6yOJwfRlBoLU7LARHv4xXAVLfWBkR46OhfhfzFOAC
pezng5qhQviMznfUH7Uu6BHazIoGEA/zYZlowwHVMRi5CXTSSMoKqxrPpQ2UlJK4A7Xgk1WGkMFV
+1zPvJ4r6ojOfZVZbh43yntYEqLflYDqoAai9igsFX4V/xxnHvp2ywrdMY148oaqMB97pUipAG6H
9QDcJKHuqGGJgmQSWWgyZcS3AG+ZhvEZQKEmQAI2xZ/NedTMxykY0h+xMTfzYeBhWL1kgEGoXssU
JPakCcrQjhG++V9Spo3ZUQ2bCKAS/MqI9lnY4bYefb1BQNTn2RtXlmCIKmEQIx5vTNUmLf76tVfa
GJerOYQcNeu4Zg5Pw/ALol7dtCslrIJHlmvzz6Hq/Flkmh83WONofm0mHsR3vtkPqm10taWgz1AN
5KjHdf9ehcjVfNT8uKNkOYobaPuXv0hSKZqD2LflzsSNqbcLLUJSbVM9QqZcQAG+K7U4H5yKVslg
h+HcI8CxmjrdBRo3v1roxFg37dAmzE1pnytOZnItXna0Q9Q0B1GJYzWx3DZ1zWgcH80Bju+lTew0
5chC1KRZpdroygExozHixy6QLhnqroGZoj6n1gp/GFDw9u98q4WjoYi8AzfKwsgQIev6x5pgPW00
rqwfQUmUIwuU+XmqUavB+qET4hQj1wJHbzNLsSsUixaMg3rf66wfd/rkm4eos7gDTBcibBKPBRIc
U8d9NQbFbNyUimERt+1xud2jLUYeYiPNx31V5HQCjCZHoaeJqjFFo7KZcTLTRh1dMqAf8FbrLRrX
SppGNk4LvMAEE3sivQpkUTqznroUF9vS5wm10aM4F/5zmGvoC6kz7fje1yh6uZbBEHIlum6grBpY
0yTQjvLDg5GYc3s7KPAsTjX7Q+P0Voz/B03vmDq1Vc2qE6F+kz1qgDTccdwZN1Y2Jc2O9G35PVfz
QbdbuO/SVlW0MDwjiNXoc5pFfiJy2pIW6+AjLp7qdIQ/MWeU/Luxjd50Q4noLTL0/DHtLFTGK4XX
6ErNbTG5Xdfj5CJtRstk1OrJt3HtzMQza9KGos31Jt0pakc/axpcO3otOS6UtMfZc5VoSiYE88Qf
YUGZOSFNwjm126RIgDzJWGg6Y28iZp9zVa2doezpPdAi3N+ZJsJhVCSaubnRx2awXFXXgwnt9LAp
DzRC1G5n3ciBQZlZgdRoCJtOEKw7SkBZRwBEMQG+vm3DKFBvwgLFOYdqWRnR0a6AGfhcDnXc7MfM
70aHF4063QCLNSaIZ4chQTGspApQMHFZZ6XuzH2YTvYJ4nUNRAqk6jmElKnEJOhcqSZhJl8Qs6cQ
0pz5ABH5QK70XnGP8pMzOIMbWU53b+wjt+vd4JgcNE+zYzc/mqFI3lD/E6bTuc3++qcAGHvxJZah
GzplBnqmhnb+JVNLJ3T8ktjLxjel/gGz2dD1XFWTAqprEZXp3NBMZGmarGqA262NO12QCQjP+LVV
lV09O9e1UIGZP1HjUoqkRtIEat9lhi4awBK+53cInHahoAfriTx3gnrtt/A28nz3utgF6fsHCbxI
NS0NwGJiEYJNtCSpvBoBHo0hFUaSu1wdbrmWfjWs+pgl053Z6fHGYqrLL16TuGCTT7DHIe1rWqSQ
mN5F99F+3pui85RH3wbUU8Rbq7rsjSzNAKSa6Sq1oKm0d6EZxiFRmC5aQZzmvtkhirVnZ7rT9vxw
fSkvN9BSTYtSYmgaZiPYYqcniiHJyDrdR7U0aDPtR4KYunfGREntskrzxwZZ5KbNXK6lBb+EHYRx
Mp0ucPJTkSiHtiNv9dgd33uxGEy0Uz6Pju5kotxxcV2/i2PAicFNjakq5cCMqBJofAJS0mJTrIuo
fACE01a66gaL8XxdyvlphkF+SGGEcgpAoKZL5mHWY9qNZYQNW0polX7TRKhWX5exrskfGdJOxSYa
zxHqgW4x/GjLxGkmZEhFsmV7W6pIuxPrWtSiRpi6rTDecbHWD6odwC+qj3kmgNX2LDEr/6Nqi5Ge
GGEXGQRQdmwSHx9gfwCwuEZnbGi2un7LYQKeGhML2mKWJ0JixKMqTUNdjLgt7WS0kNNXBrJPvRz/
QR9MKcAuVKYZmiFt1diElTIt+jRAELbB58piTtSP4rpBrO3UqRRpp5oO8bQKQIEbtjHyqwkI2f9M
Hf1n6OjhPx7ndOhiZckYQkogZnSqcaKT8yVD2yecJyOBWVf57KlR2O85UnOXknD8dV0ZdUuW5PMS
LStU2nWJG9/Nnv87F63iIGPjjrXL3spvv1G/iXfXZV5cI5ycqSdZBDVnIDpUkria9sLLV996itvn
sPrdpeHGVqkre8UoQfDBOEZoiCFZOEpd1VKH0sXgxC/+DvWtT2jfpzYqOnbtADP2Zm6Y+7pECrfO
0R+lsg0iOeB6RkpdABabKL8bsnUnrm0YJX8ELH8/PU8VJmR6X03cpv8MKGCB6ngyfbm+Q/+Pdfsj
RFo3X+cqU0MtcclNtM9F8zn7HBxb29iVNtLK5w7/+fJPIpdxJo47g8tjRgpauSnKTzi8ruoBj+xG
idvXyyV1NF/HexNTFw/teHNd6tpimhrRuGEsAQ2zzhcTzb+uYnlORRj3D2nGX3ncf6dWs3Hbb4jh
0oHukyxAyRJigPlDX67P36oKNcEsSP/eAzL4Jq6icWQRXZev3WBMYwsIVJHN8U619ozOXqMnG1LW
bPxUinm+an1QJFoYFFT4KI2raKJm/uP1fVnW/SwSg4swdWIgcbEYR0R2LgHDpBHQNPCAlGfkiZsA
CuhVRQGCKhoPSBLfywM6iURFz2Iw6rnb0FC9CAWlD5AWMk/mNgsnDIckdi/M35k77v19/NR92g47
V1fzRFdpNYverOZphqgipE6bo9+UZRsed0uEZOaE1sB18yUam7NPRqI9hCr/fH3HVi+Sky0zJRtH
uVfJkXWm7nJ+gY4Q2ufKCYX6pN+MO/YjvdleudVjpSP2MyilukmWv5+4wqHr9TY3Awqwz6vRPgIA
bQ/5hiUulnZpiX9kSJaYZnHeo06AVtJsPqt5/Dqr5aGOuyemh183lnDZ6WuyJKNrqzoa4jTBRNIO
I0PNDRDJ7nzIn+Nn/R6l4k9Vb+dPgGB/9u83DX757QvZOHMcw6gm5kYl2eocm4YSwgqjDOX63ZIf
WE/6MSU28Ey7+Cm+xVhh4NSOIgBs2lBc2xAuHQEW1MFEJ66L/rUXS5qnuNROv+sf4rbSvNXDcKKp
dBjUsuc1WgGWKFsUe+pcBEbnXVfoI8u/WE3M7KqoeOBykasAc93RKJ6xk4PTi/KFvwIdukNb846+
By4T7Dk7ABxwj2KVY7rRb/5yXb66JD7X5C8LfnIyWA3QZowRRGSyvWgPmotBtNt2j5mQnWazH1vZ
7OpBPFF3+ZwTcbpC47DiOUZNG6AxCSadiIKRRGvLTlaN9ETOsrUnckI/AjhjgFoGvHL6M6md4nE6
Bi7wvLvkwXpUXfaVJs6030pnLwsRy33ATfyLkWqqGdLx0ICprwHTX6KT6jt1/QOKV576u3VC13fq
DfNZDb9OpUnnoVIIgsj/SFM9dJt3860vgl0j0JW288dAWD+vG8zqmThRTzoTCgFQL0txoxsxaqKh
Ht8FfCvW2tKKSTdEUOi1P4yFJZTcnhzyG8MaTrYDhKV01d+603zCENdGNL5qmBgSR52bo2xFpRui
Vg0A+QnOekQOPWmAMn5Wky33tSrE0pB1EhgGkyPXmUTUCIYgcKv4prb2WfSF/UtGiMrNf0VIBpEG
mOcKYojQR6/HqEZ5DNOH6yawetEh+mYMNB4od0gmUDdGEU452ksR9YFptGI0n8yvRsbdSdWer8ta
NQULYbeOGhhHs0XalwHDtyG64ZbQHmdvFv2zf8ic8Ku+G914X3xKd1secc3ALaCNkApayKtlh4z5
JtwxcUgF94FK+2EBeHNdpTXXtNAtULY4CdOUlo+3fpFgOJuKbswx4DyPbkTZQ2c2AkHTW2dYu+vy
VuMt0K1QUzOpxvDPuS+kjBthvpym1hvcCv3X2aVusaOYlLEnAVRLe6/Z2aet5H3N2C1U2gyKOrdO
iKRn0ecIume4YIL+LQH2LcUYKsa23OvqfZSF5BvsRI4qOYu008o5yBGP0F3lkvvgu/ZNfUfrVoAh
4Da9jb9ER30XOeUX48a3y8ft4FJbNRltKeejgokSrVQZ0WeA2roZ0Gq6MzGT6Vg2cQp39oI9MMdv
bWAb990reR68SRgOAJPH8hd/UBX7XyoKFiqoDEVbw9Dkg8mMuNAbdYnMkkTMwIbEGMG8vtqrm2pi
zlnTUaZjluRejDK04r6C+8/I5AVWeBsWww6D3xubuiVGsp2s9os8W85IaL2PzWgbE0JK8EhcV2b1
JP5XGU4kyymCljEjgzKaPh40w0xtrSk+VbwQSqwchs68/9/kSXZiEkxDA88OeXVrB3AsQ2q4aWE5
PgvswNc2rrRVszxRTzr3bC4sjKlAPT0C4ClBi/wQmEGxFYJc3ysUIc/di5LxgEY+rK6P2Ig2cX/M
qxKN0+aBtfw2L7TbmERPVsCe1IHsMVh5Dyx8ardFeByD9Hmq2nxjX1eDWss0mW6C4AaI+eWTT6K/
WgtHZQbuRuif2M14QOddoAF+Nzu+rX/Od1vn7vJC1NSl0cXQXQC7DJFCviCua90qCUYX1H3ePU4j
sYE2xlTE03X7+eiFnLs6DSUbU2cGbifUDaWl7syub9PS8hHVzq/5C3NGigSovSnuVEBK7OKThSqE
djvc/n10dC54MbXTBR2tWatIZ+HYz/YYvYUYJkTRZWvfFouU9aOGjma/oaP5JBfZTFrFih/0xkdb
TUPQF5cCbYbkrndzF5NQ+d3Ggl7arqadCJTLbU02F2j9QmDlTg4YH0QqusLRuR1+YciggT20g2L/
D6tpMEzncYY9XGKb89VkQQWCHW4qIgAAQ4db0wBhzrLX68pdHn/tTIq0Z0wDVHIqB1+AHsjWlftC
/XFdwKX7PBcgnbLB6NI6KeHO5qywWfvQYCyjNrwhNu24TTbczJY2yxk8scBOn3qFWJUvegqsRHEb
V9mW9S3LLlkfDI8hSlKpaaCfci6CVz6huRktgUSwL0EUtLPu69t8zz4hFwZ5wWauuKrTiUDpMlUH
AHsToEyEWnZsn2EQVyRFl+2vb9NKeIJ9OhEjXaYjn9Tc1wagMENn9tqD3tmzB7YsGyBUjIx65gsY
UXq0cer95BGBIrDyyLzSCUT/dv1TNhSW21WxNsAkO2QOvB/sDuNz/HhdwEo19kxXXbpilWzq0SrD
tDYLj3HLgIlNetGlM4a9viaY2/MzF8Oy7qiMt8W0cR5WUv9z4Yt7O7FRMKwFHHRjyI3t9KB7mGva
+Yf0tjhogvzYCq+31lJyIrg2Z03J+sxNkp+W/jhEG63Ftd83NcqWNAXu2JB+H2UhTk0FrjFrWluZ
dVvrf29s1tqBA1kcBwqGYebAlDYLZQSM+WLOUoyeCnMsHvvbaNc7Kq5puo+e2Ub4pS6GLh1wk5po
thGGti8gB+f7A9Y4lhqsjtE5H9z2BXN83e9RaN/1feilscMwhGL7n4beNhwgKyKvub2u8MptcyZf
so/cAv+aYUJ+UTzM/sFMwHS0FSNsyZC2bcKkUFWVOWSUv8GWZegvobpxsayEV/CRJ+u4mM6JnYMj
bJgKrYld82i8w5HsUMaz89/Av4jU/f8oqa3YickACLN0A2UH5JPn8hKALccQA26u9pi+oLC2iwXG
zz6KzR1KQb5zfZsuLR/WjuKMqYHMENmUZCb4BGUcg84QfmfuePh7DLci88tNOpcgGQLJVBDVUJwt
sOa5LQeg0q+cJBh31xW5vKDPxUi2gOEcP2r1RZGChXYR979AAETQt+9fw5o8Asi81VVcqTWci5RM
g2QJ96MEgeLggPBmcJlTWG7khiJExdVWHXP2EpFZ3t+h9RZ8z7lcKRaJOBgnma+ZovQz3C6+N7fV
xmpumYUUgcxDU6Pei9UEEZAdZoUzdFsOccsuJEM3a8WIUWBQRHPTuTrq7yCHtP2D+rgsXfeCQZfQ
3q5frNTYsHgW11DP4yjryZUafzKHEpPwmILvHPAX7AEy1Vu7/kEOIAR86RSBWOD57wvJqAwh9uY6
BBqmJu0YuAIaMlcQSsPXSf2FEMi+bv0rbupcgrRhVQhyorShCq7j6LvuJW5VwGs0r4i5Hf1Xuku+
Xhe4tnunGkm719bjWPIE19kwaoJ2d0Vh7g3l8L8JkWJGroY9zzisEDP7ETIU/51soqOW3zi/J88X
TgoYeVdZ5QB8lgCTqgEGpsqN0/Am8U3iVKBCKsE59/fYuUWkCR+/dPJVTRJZZ2NIq34wBPgkcoFB
mtnW0YgGuWHfbpzjVXOnzEJvBuVQegF9MBjI6/iYWoJ9Q2Eyw3gxOA+ABBPUpu/z7HbPgPsgRhXX
d27Ff6DsCxy7hexdsxb269NbMxwmpSNxYQoz/530b2H+5frvr4SfyyEGok0lOtMvqh4VuBxBj9GD
qehdBf3qLvrmi/T3MjnhQL0fW1nscnwkKzkTJx0vo/KjLlZzU1SYOGL510j9kqHJBradDb0ur/9z
vaRzFWJ6eRorQxHacXL6O12o+1hooD7ZF4dCAGC5FVpfgqb5uUTpkFHqj0uIAy6pXXs3iyp8MZBR
lDYDHKx8UnNRtc5sgBHKBhp+I/rQlqrjtXWVjoIBigtS51A3PqBcH9gpytr9HS7SxA49UFc8xz9a
29rl7gwu3QRZ2tYXrBkqvLKFzo6uYiUkQ4XLVgelXbT3v3YzqBq6Lde84iktjnaOCto3HXVqaUfb
uuGZZjWmwKgnJvMxEhpi+tvfgsquicEwgWoiPkAio0rbmOdgM4xmBAXEAhCtAHXce1Fv1pCWYE3e
r1Mp0n7VGca3a4JbUv00e+nD0mWmb8U7fa3RayB84zSsnboTaR/WcxJ7l9owz6WGpcPAHagjNAxt
pzc9fHXdBU/XD97q8qnYHgavhZKIpFgfT7GSZ6UJsmBMLRnPjP6K5g2ndSmDEkRN6JkzwLJVue2a
akllpCEiYctAexcYyAlDbRiJAVPkX89bAGYJXCfw3xS+kckQcIyyVZhTxRUTzJ/C9tnovyvD4/UV
Wyk/nMtYjtbJ7uCpA2XoQS6zoH1BK41bbAoqV60QgqNVfxd3DSg+khqTnhO3gxJkQ3ZHGNlwISuR
D6CsFLB6w1QxckakDAZTbEEeJZn1gZDEAKKKCT2bu5gFEmXpRCKAK93QfG0jT0Uup+RE8yaPc+r3
1RJsza+qN/5MRSh46KlPjVB287GrXLCdboUNK3ceJUAiUSipIyKhkq+yMJ00oZwcuOGhFwZiPPPA
XhaJ4Iv1rJcNJReLPz/q59Kk7dUiUIBXoIRy40N/qBxfZNzxh0Pogdeyv8lQ51kYYEw7wBzw5+pH
SjdbfJfH//wLlm04WeYUZPF1RjgqWK3ikvhbBDobPr1U5dcNVRcTOVPVBDm4Aagcggbw7zHpds+1
DpTQCGfdBUAzi8aJbnyP7zRMgBiHDVkXyyrJkq4DExTpEQ0gaxn2AqWgEwswzljecOTA8nK7/NF5
pl1jGN9OBPhE7a0b78J4lw/gBK8jcBXgb0tWlpVWpPtG4gZwPboB5tNv8VZ4drFzHzIo1QhuVuBL
pJ2LFSBsWQYOg9lHxx/TdMGIOc8EAYW2tZ4XFzj0wAQWjj9u8WU+6dxI8N4DbwMTsHkFFOV43OBA
dFMsEOKhN3dlmuDO0HbNCP5PNRRZ/W1uy0NqPgf538Owli/hqD5zRBIq16QbOAKvgYqhrMSlO4Sk
FdLzn3wf3Yx7y/X3lLrAKapu4WEGFgF3tVFuW1sGqpLlvQzgeiiRhAcYb+VzhRUH9iG0wQI0Y4aq
HDac7eW+AoOuI543DYvB1Ur72oJzAWw8KZhqSXBgBL1q8w3E0Rhn/7VxTNb0OZUkWencZIMSFpDU
uHNhc2/el3vt09TZrTuI3B32NSh8d9eFrspcnhwxMQaJeRmpRQ5CGfSOmwQyefTegUYuo/mGuS6n
+9zTUCCuYB4m4WjXytNmuumX4eDHqcsMZdcOGdgc+Z6X76rlDuGwET5tCZPWEAAZE/PbEJa2ymMK
YuYgu0+1o26Rh4D9dfwJ60ekgYeOmIE8Uw5uIgAMAmVoUzczQApMK5jG/UI0+/dbdCpFUikCGW44
qZAyql8j+qCV1YaFr9nAqQDJPQ+gcsJYboc1W2ggB1ASJT+vq7B2hk4lSCdV73vaDCjWuL4aV6/h
aMY3c0dV2wzASlSklrK/Lu/S359vzHIhndyiXIErVgpopOpfZuNTUx3RHrouYmPRDOngpPoA2hUT
KuF9GKdQa1T63/83CVKQN4LLTTciKDFlz+HwOwANxXUBq2dlif1Rs0BgI8f/k6mAq36EgCEpfoLI
HWyEpZcW/CVro5soK8R1cZdGgOAcNKDLyBLCcxnH1S50APqspG7FX8fp1ceoBpjBUYPa2PzLnYEc
FEgQMWrLvKl0O1ZM03OMvqTgTDIKh4DG2o583b2uzCUqDfZ8KkUKTON+MWg8e+PGmk0AUseUeuyA
RqoVvrojLoBhgjth+jy6hQg97nT+kXpkD2L/6x9yGSFLH7Isx4mtz0ivwh7M4G41YJY393zR2ujX
gzVFZCJ0t7AwH0n1uTtfFEchmWmWyTBbeS4PjDhDAN6NDLfU4I4v4D35HN2mItsBBy1ml92G0HjE
ExNiq6pwWdj7UPWPaMkT1sVopiwIMYLjjUIVkZugUOQ/cLc4qK4GXkx7C87+YZQX2gJsi9yDI1P+
SAhPVrcABWoyTRDZpM9N7mXGm2r90gEFGitwTfeTo08gqVY3IptL/4U1PpEqmTDeMQHvfQz6nyID
wrfDiyrfDMwqXrecLSGSBXdBxIfKgJAUGD8bKHM3K8lLklRf/kUOA+4C3WYdAfK5wUwq6Lgx05e5
LX0KGbI244V1zYYyl73fxTboHymSNhW4EmlpQErnNGj6tofqJhZJZSvO6AwC7EPHJTsmdnwz/EN6
cS5bPoIEhPlKDxos2nTIF7/7DHRyXN046ev79UdD6eB1ehToE1vWsVtevbKn+hUcLhtCVp3nyTJK
R8zPxx7PfUGVXi2PYCJxTM7EdXtYvQdOREjhhga2Jr3OoIdm+qBqBbvHUmdFhk0qZatqcVFrlaxC
CjwwsB8OYIvBwwDIcoPbZtfvBy970Pb/kOOe24AUckzBlNQYkwVj15fue/1Cfi9zPhEGNYjXHAbP
2oFdAfm14dS7rXL2hmHIoUiUp2FFshhIEaTTcQDfT5ldDGzjiH0kc5e+8L8GKHO3KAM45GYdKjYu
nj6YQNHtgLdbBC4ArmLCoRt2wU17E+0mL+kdsjfvmRfe82N1KN7QhTkUG15yw1ZlBpe+SSzQQ0Nv
Dlpo3wDR/vx+3VTXL1cGz4/s0rr0XWacRnicASQxgxPdLy1G8Mg/pDZYMN1IVH8dUsKE/giTqxRg
+SljI8DsFGabQM6hVBGegRrBrrt1hy+2eLGRJ4LkExiTAc9/4ZAP4SNLQSfHTG8KJ1sdIyehR7xo
4tTF9+tLubpZJzKlk0hzEFMOi49E+8yeMkwLtFu35npMtoxnEdAKoCsgeciRssoaSJahfDfegZTr
R+RaIOe8KRzFoaBv0R0U7THtH4l0Vzs53ktwtmzysruzeJyTb5AcqA6OWjxAgG9Q9vy5+xL+xBsb
CKzBMWer93jk6AuwhnfzEfNqYBN7yjaOxLrBnoiXtnYBEBcqh3h0tg5Z6QD9J5ZyqfXF/xFttjxX
DelEmrSpUZCNAORBGnjInFnFtBPoEMPP+fCjILUd0lvf2lJwUeDCdjmm9FGKIVhrKe8aey2LcIUg
arnTalCH2pqT7Yunxglc/6c+OXiwR79ZvCweWNsCDq0aGN5ARQ0DdE6XLDNpFSrgV4YRg91squ1R
gPvuV+VY962dHOYdwtBdeD/fG7uFlojcpk7njG/Xz9GqgSFf0z6MbKlonodToJirjTrBAizURJrD
nAqqV58TEHWMezBeY5L14NtsT/Ya3iAAF/nGNXAJAcKqn36AtOlJHxr+SPABGsDULr2ZRekljyDq
ex1eqzsihk/bfFNrhnYqc/n7SRhupjVeY5sgk3Wlh6ftvvvluLzsoj83qGvZeLjjqNaIz7EuW/qu
3a4YgltICFA8Amr9XDRJWawaQQV1azxV8dSpP4N+y6iX35CNGgRJKGJaS1dWrh2HeDiFhEq73Kxq
6kX76gNxp71n2Qcp079AgpZNBDMOpijQRLponfIa1H+90mRujbHgWWD0+eYlOC7YzDcQDL39NTYC
bxRjpAgzsyZ40YmMw5+zzmjbyU9dY1AeeTRjkvDfRHC8aIo8gzMiOV6SBXgGxIeIOn4Kte812xqN
umz+fSjxR4J08oYsjvSxRuYbH6J9lmIY1xS1O7t42xPuZn/9nK958o/Zgf+rj3TMUj5oYdGgwBCw
9mcSmc/plL6EQ/SuDe23qYxvUxLelYUiRq3a6ZVxB4LlDU6UtVz/7BukY8fxeCDqm/iGVizTbnig
xSPu4mrNn/qj+pt6tRN42j78tVXVWDl0p4LlWlExx6TFU27w8mx2hxhJXJzdWrzaSEUuofPnWyqn
98NI6pB2kKMjP/A/LxPyIKwucSbo74/5FABRy1sVb3SAuREd1kGALVzD7bJlvZctXelLpCwZJPtT
PulY6qa22S7EKDSQ+/QBeBA7/64Durw5nbC1xpJjoyDhVPvFnBEvCAuvnXHLY0G/cV1sSVniwhPP
3Ub1hLfjICUhhhv3AR4/Bsos30j01m7mM4NZPuNETJUCmJcoWD68PtrjVTEHr2aIntv8dokEq53l
zjfsHSN5k4hv+8/dJ7xPEYPm17l+ale1hQtCiIB+kSm3pGa9B3MoRblIU/DIzPTD6n/E1haX1Uoo
jV6mZgBtpmEW9APddKJrDn7QvMkgJDXf8c4HHhHeiDHWBADChrdOl5KXwaXKc99MJR7XWE5fMh8q
RMl1G20s1Kp7O5Uh2btpZSam+CCj/ghjsEdHy33nO92NPm0dri19JEuv8LgpmVIs2FxVlaOBeA6P
faZbGi0OWbrEwbaEsjMaoYC7yK20OsAbND3GWqGR8sm/sTxAvpf6JHgqu7v4VsfUA6DR4Pn4F6NT
NcwnojyJJrRMkdRFXMdbosjLI4wDAxKOtyo1vHFgiL+3bfDNgu6JYAYab5+dH7HUqI1R66BfbIEn
EhS3Gd53V/BE2XUxl+A8eMJTOdKl08QZUpgYcswjt78tSXdgHwBWQ6W3dPGc2a4j9mZkv3Zw/wjF
sOe5cjxX8IZOXnzUNm6y76rIboAIvCscPExg9+4DXoGIdniI3QPpDrUtMe2GfYmHyOytYs6i3YUV
/XeVwUhx/iEDSecY3FZLArcw77SoV4X75O/x9B+LzDH0bIGFF7My52KsEQTHGE5AYawm/XM9l+H9
SPG4+/W9XD0SFIAIYMxgM/LAeodnNZEgljgSJQE6IBZDOTtDS2x1eBqLn1WbbdwDa/V6kMb9V6Jc
C8sLjnfaLUhclm84Zk6PzIx56c1WfLahmlwMM0AXFGjgpXbnXv1K8LCpFXM8pxh88i3Q/UdEgF14
a75p2fsL2zhRTvKZTWYMfQK+eASg9QEoGi/Z6TvVpftgs9eyeh5OREku08fjlmVAFlHm51Z7irQv
+fxy3TjW2jm4KBdSJGBIqCkz36q12tEmqFGGcnJE1BUGnDFnZDxOAoBmj4v0ZutwrYYJ6NqhNrS4
al0Gc+h0SsegR9qjPZYHPNSys26XcDY5ojx00982Hh7CPAzPCmaO8iN72q6Y/D+U/vMF0sEDUqVP
BmC8XPaN7Wah4UE7xTHfgPcEpU+H8FMM++Dr9ZVe28xTraXERauDjuD9H5QMmreQvNXZw5htlPfW
qgLYzD96SbdDFScKZXhlye093bNuY8+6Z4J/692Fuiv/xQU7/su1fipSuijaBq/htipEsvKXghd7
0LbcuIs2Fk4G4zZGiJzDwMJZHE+7lYCn0a94nm/jYl2WXz7W6KgytMcwjwaM0bkvVmorbBkeXXJT
BfC0EuhfJ6jTIx7S0tEXCRQ76tjGdq1FRKcipVumy1oVT0Wj4KDPHm0o0L/1Vji0GLKsFRg8ASZf
4AUQdq4Vnh6ENiWCroX4LO2d9sXEG38uXhy/TfCGhIM3ZkQE6mlvKxxa0+1EsByHzZNPzXRpUBO8
s1VZeIqG//w/pH3XduRIkuyv7Jl37EKLe3bnASoFmUkyKUq84LBYLAS0ll9/LbJnpxORmIyp3n7p
08VqOkK6h7u52e3ztLZgqAmYoJGlbDAq/YKLALyEBIkJDSrs9VFxLfNkJj/aCmWQ8WBOKm8eV4aD
thmwCFA4A3qbmaWCUHNdt7GOeXxCTtfHteWO2xmqvcg/OtY+3Yf+dLo9vrXDvLDJOJoq7wwtgnAN
ULf6XruLn/VHdD3TyofkyO4EnWh3Hpy/UN9H4Af8NhK7IprVWAQ3JDryZBqsFLlz/ZWmGqAXRKBG
5wy+7id+/xRBCYAzVOrIltt0aZNdyyIQmyimaSN3cmYXqhWiTdApBJZFu9yLX3hxw0oWaWmQ3jkX
m6cbel0fTNBIRnUFeYa0um+b2leD6KFUoKhVK2A9hJBcpA9f6naG3Lvg3h7y9YbCBwCjCqYoCah7
lp2iNLsorCmbUTL+iLLYiYOQc22u7B+cek3VwWkv6tcdJn1pULQtKnPprjoO37Uf8RmWQl1c0CM3
XTrBkVd5ub6rlzaZhYSibW6JE6XnbALFSTsE7No02rOZ8UhFro//0hKzglBtGQozB5Vc40F/anbr
R32yBZtKFSKCMR/bfQfFQbfsXfLE83k820z4APnjEU1v4PrSWslOzMLWfNF4x4CHaOasokJPOXs0
NCQxVDwrweFv0G+52KlBFkADUMAqtq65ad3sNIPNdb7TnRIa23b3phCb8rpq3ujQlku8CBOALVDt
BVuN7JI9alyP3WPBfyP9i/3155cxwQZKtdB4JuIf7I8G+hDASIKHdu/0XtQ7BPLdPgEgS9rdPjkr
STq68n/aZXxaXPZQyalg1zyATflIR4/W+L35ETqxh35D7/9mj2XS1fSpKuQS9tQSTlSGoCtEFAFp
mTedO86evI3QPswxunY9XIyRJW2oLDRCQz0bbHJh69cDZDOVhnfpru5iVFSQXRJBMisxO6uAvLVk
tdhZ036AvpI91DYIG3bRXnfNZ9VtPXIKCkB25Dse3nklu4AlRF4LfHVUdoOFr41kboUsA8GsmZ4r
H9W+StDJ0m6VQ7TL34d7qMq3ryC1O3HWcvV+ujDMnFworEGKp4JhyFClEAWz8xfVse6otoN5n+yC
B4kuKO/Fs7qaF1aZmSaQNGyMAc67j6DaW+HG8EtimpyrYsUKenOg+IQG8zPX/fKmqARIRVolOBWL
srE16SXKXm7P3ooBDQIiYNKXKJkI28EuTq1cTkqIrRG/qkDCZdPP2wZWduSlAbbgYEJ5DiKlMCA2
n8186pP7TjgR67mweA1+KykKkxJrIkuMljhJE+m1e3Gtit1gCokmRXjFt7sOyjJ4wzu1zV/76wjc
xJMM7c6A3lGmWsZP9aqFPtcxA5IEbKsQsG/eesiIZ8TwFdPsOWf6egKXxtjtXc4IBETwkoST4RTa
keRHkv6c9bu+395eqpXU8bmPXKFia0iEn39+MYEkDXF5KEDIGEoHUTvdjQoIRPWRW0Rgp9Kbo9k3
u9FqPVUYv+pWk2O7RL8fRS0/gsaVFx+RNQHkBWt8BETEshoKfpnOGSd1Jkv3Sy2YJrCnCtL9BuNs
glrqx7HQYk/qiOig/WCj52FuS1b2OtapD8TSfU1jt7AQ/NszvLJxLi2zbiefQF4S5ToVsesnuyHB
Vg7j3CHG5LemwNOeWUmJYJCijA0qQ78H6JnlVHZoD4vHUIXiF3Ss/LyI5U0igbx5iKCvV0NkGc9h
c7aRqXyb8jDwBpBH4iWeA+FjEiqcOWabzuBGsTSIYOf/8rOYICNPAmREe8z/lBPlDfJtwHd3Gea7
FBJHm7X2kIRh/JgGlry5Pf/XroJOCETJJPTl4PHMHFxJE6xe7szYC/TSSSyo6om1N2YFJ5xZObIL
M8yRhRZ4OgmWEXu6eYTCnItu6p1OXhJyH6g88rXrCxxDkgCd0UBYDaZfJscRo4czQX8uerWkxGnr
H/HEy/yuWECaGSQn0IqQYYWxAKbfQh9KyNdQ8qfhqKnbgHaoOiV6+puX2unJlgfYO7NWMFtkYZN5
m8vIPuVVB21l8zt9rrbPwR7vc4j/vXZg595lR6gOeYI3/Uzfgg/FSRxpYzw199WLfJ97ut8eeHj1
lZ2z+CDGt4BKVQffKDSRCw0SyHXmJup9GBicF9CaFRAnAfpLvQoSIcsDO0cF4gogbdyoPaXZU6D8
zJKX3z4ClJtZkWQFrhKwyKUJLPOsiEUO1WpRdEdSuHl0MLTH20bWbp6FFebmidJG12YdCjrQyrW+
9o/5A/EjPCLAPW05sk0p8njZqZW7dWGSmbs81PvImqBDVBh3etF5ZQmJWvKzaibO6V4zBLg9Qg2Q
u4GKkjkPpCDtEJWQH4K+klN2Wy38poUo3MVvtydxxU1BqlxDJAPmUvCFM24KG6EzyxBqPeom2ib7
ZDPvYxSseM2ea3tOR1oPGTfoKSoKsyEsZENLEptQ+5a+J1bsKcoeXsG7PZZVI4YGWgxZBr7QYBZn
HqDWXRI6Z3KdHlHphRhxJkZuEiYm5z1AfxV7dYB5D9sbuVFUQJhpqwTowJwV14pItxXzIwYzgir9
yrWjnEHZPeeYW3m6nsUoTZCvAiCrsrm1dArq0Jx7NJaDi29W3FLdUlY3KHq/qODJAwXQq8CJqa9n
E2A2me4LUP8g1mVCpNJCS7JGkJFp8l+a+FMP9iOyP7dXbCUVgDckIGUmRZWB4pmZx0AbCkNq0Ec2
ONJXXL3ziwDYr+DoKKic4XOBaUe+wrk5rp3Nwir7XFCGUWuhkqq6NdXPnWc7DXk08iuJwqUNxrmE
chBpanZmm6S9C7nfbwG6Or8UBM5te31XLE0xbqMrQdveErBqmqV8VxtQMJfKU37KIHl/e7mudz0M
Uf0/XEs4YWxywYKq7lDPYMYVrcbrw8CJJuugErDUm5Gja6NbDw3nTK/vkAubzODETJYz2cQ81u7o
iu8VAOH9tnJnYB0Vh9jmHR9adR1ZYZiUih+ZKETwbBEfT2R5niaYbAig9NodyV4SwS+H1taznPPw
WtuKmFPEiXCT8hVgoJGKShUrMKy07b4J0ZQmtZwztnKOacIYNKGAPNNiztIXV1GBnj/kUlxRgCJx
LLhCpR7jIv92e2+sDIT2UVPFBMRvIItZmtG6JMh0A3xTTSM9WUL4nkFHnjOUFY+PaAKiFshLSyDy
VhiPb81kmqMKdAmF6jdvyTb0atFGTo1ITo/+ReOXFTpkP3OGtvJkReM71TqkfEiguGTMSiRSYo3u
wfFDRJVBuysOGZhQBxe5ynrTbX9/Ji+tMW4s6+WiUFVY0/UvWvUWxZzrYgWDToeDoALFGmw69tJV
5WLqlAxMZMEh2ICCQgJZuKNJ0HDBDgfEzppR9O0PkTvHyE+GXyMuh+fKnlQMinmSkRSyQM+w3Cx5
hyumkXHtTxY0ztMnXWhtsO5zztb6uv1phiU0NoM2zSXK4KwfelcBEypxGwESQ2SLFrJvvHf3ShMj
5hVIGZpyR4stm3EnU5oWKI0J6CIOT+Dad9KHSPanQ+pDRcm8bwE2jt8kR3TlrdIfEtO/vW9Wrq2F
eWbfoKF5xHsXDEpZXX4xrXTXanloo61mI3W6H/YT71W45uMWFpllhAj3bE462K3UjfUVtGsb9PLS
3mVaPmi4Zam1G+Zietm8Bjxc2Sgt6DdBlYLOBUf+DEcAvAIILjtJ5oCIHpRoTsvTvV3xrtiNKhwC
0lVoImMuNkGEk7My3DnhDDqYcQIPWjpF36I2+5YM4fvtNVy74VQEQhrSschzAyO6PBkd+jPEKJkt
FwhHBCeNgQYRKr6n2yARCQGNRazybyQbV+Z2YZb+/CIfls7I5xtEBOXtUG0a9ZTH4+7/ODJ6J1yY
0NQWik3CROtu0ezMkUvm+8CVd6Mze+1sq8S2hh0fXrmyfIuR0Z9fmNWTeRStGXSAoEty8kjfdwCw
QToOeaGME1au3GoLU4ybGOa0KdEdEnp5jzae1rQlYE4UImxuz+RKFIbsoGgClQdOlqsnm5lWY22M
GJFSlbYinybD8NUosc3ywWqKu0D5faIU69Igm5sRS0PsRn2EQUlySP7USy+xwoMPrE0eLhMFXIA0
t86CDVXgGTvE5aEnAFGVRT8hQmnHWuPenrs13wd09z/NsAhDa6jSWSlVrFEEGSDV0bbF4BlHcTfe
Ra/Gq7YRXfQgta/NNsHpuxN/RF9uf8GaU1p8AXOfNPoMglARX1C7+p4+DNCaAHTsM8CpG+Fb8YNj
jv665UuVdrz9OWAmflaHcKh0A+Z68L4Np3BvONn96PWnCBg9jq21nQnoPER/KUvIFcWpXKqSVsuw
RfU6REdy64dw3wDncsKZm5+KewOAFyl2W9kPHC4WZO0Ou7TOnHS0vo/xKIFsbn5GI+Gm9MdtM0Cw
Hjmh2UEv874IXIUXkq5sWyBeKP8KpOk0cHctr5exmfUiMyxUAfvQD3OoJaI0ZBodL5Sh9z6zjJQZ
kXLpAUyEmGlpJ81lsTW6xgLtaHIS7Poh2PU2COzAYoFmxdzholVXoomFQcYjgFYqItEMg62rfITi
tgbyA+nQHMAMRNr613L2kp+aI9+FLheLzxss4yoGksTG1MI2ZZxDN4iJCN9Xd1LgFS/Iw/q5anOJ
wtY872LAzPYJw2ZMBNQhPGub7+bMVz8pfDzwOwsRDaI2Yuuzy8v4roVQC6uMzxg1Q4ASFKz2fnas
H4sncwcOSlfv4eS54KWVE6IhL4WCFO08wQtguYlAGTpLowDF6m7fFnZNGczBQhcjkVRPThjY6bbK
gY4PeEHN6noaCIvPtJfIaC7tCglpGwMpCgDS4pcRQIF6+zFCjkAAyATdpg7nGlod5oU5ZutK5WwN
vdYAQ0Icca86Y4RYHNAe0C3jDxUHSDTu3bdmE1BJlPqAigBCiw2+iTlMI+mIF9V4E9axXQm/32YK
amodHUMoo9M1ZE6FmHfZLKUBASSzeou/NY50lxzitwoFidYpD+JfCbgXBpkTUaCVI5yJBQXCr5Rn
Wac3qunOm97LHgH/BzKo4rZyrB7Dy1Eye1SI2mgA8gQUPT42jJraeKC6NGTLbP0DrK02GPbyDe/t
trp8F3PLLF8/VGDS6kziGamB3P7PAGVLzq5cOwSXA2MeS/0wEhxLmBjgGtGdCArw0MvQ9027ppJn
HnRkLXGGKg84ddGOgnQC+8ofkLuNogwTCZXW/J7GOuWzHtsWfS29zEc01Pnl5i+00GGTQjsV5KQK
wIksqV6ah1JbZjgHRflohtDnMiO75TqnNa8LVBvQu1DtuU7IZCDXzQmA1+i4BocA8sbNSUHUCAru
B4CGXTB4DnZWbQF19W6vIl0k1g1fGmb2iSTHOihmYTg1BKcgja3EL011NLsdIaPdhi/tkGxvm1w/
EReDZTZOElh5W6IP0Rv25w5Xr0JjDPkBsV3oeGfPaITkVbnWyg0QvP7n/LLVJ0uPyxl6AjiEIdR/
NCC6QPpqZBQhCBk2RwwQIfM27Eo3L7bOhVEmlOpJWwStbFAvoe+B5L0jX6tj7hOkte3+jvaXHNTc
KT3Rl21ZQOty7YNAqX9ter4LoVfbjXVmRVnDTlawzHmERqTxfv6IH7X79KFwZFBEBM/Vzngz76a7
irPSnM3FchWgJWkq+x4LHe/MPSU7UjbNjg8sWgHRLSea8Y9DIOogxjnfRNGEdmWoij/UW9yxVNI8
f6OXrI4mBm5XEndbMR6Mkl5nIHmBQ3ENe77vTRsUX/o9DQU0RwLsdqO93D48a1Hs5Z5iXJg1FHKe
9rXsdlQwqkUDsfWz7tAbKB5Fk2Nr7W1J+fJBk4OcqiGxtVRU2uuyomEObaIxVTu6E98gX6Xtqs9w
M6JgUe/zxq7tNtmMjU1bf38QHo5ibePiEQQYDu0nBe53GWoB86tJQzBQLzN45CdEU+G171obTFZf
s6+6HdjSIfHD2b09z2uXFN6YoGsE1wbIfNnQckDqXOw6jY4dqh2Q99XjjeD8QfWdPJvQIvd4F8bK
cQH9JXDq6CISqTLOcqhlPkTZJNJ4yPiCAqkdtnv5UQaReQeKb+FB6J44Y1zxOguDzNxOmiBoUoUx
0u7EUHfBUAf3rX2n8On5dfqifkkdiwPWWDusMIr6KCqweFOzm6q1gBqDLGzkIeMyuvN9WNvajx66
h+Oe0hlE4M1Cgj4/8IrpK+wRVFngn4bZrM/cmGBusDDaFg3R3TvliXkJQWpuZ6/zJtpZyJQAHD6B
s+yVG8GvxEoL24wrEOcELb100P1XfU85ciIU/dSH/Jh7tcPXT13LyeioheDU4OSClZ9BWwRNBkjl
EEY4NZKvI+BMRbsF5RTF9FY/eMHm6tRemmOGR1JF7Lu6jpACqu9N+Lp5G74ad+hotEA7p7ugcZB9
BYE2zZMUHC+zFhguBstkhJqwq2pVLiMveCWPs5tA/qu3S5RSkYodXPV+/B753OTM2opeDpn+/CIN
Wwpq13QBZnj8SN4p0WkqOcaBvKPXwI6fzJAbw6wdVij5iCaoxHAxsbBEvVczZO0xx6Yku1X/EOL1
Xvecgvj6XF5YYeLB2WgCIQc/Pg1EvWAfIxb76CCAR2m7Rk8CBN+ZuKjwNT8K6lZIKuCGV6m4+nIy
JZUg5WdgMifVJy+iJ9njto4dgBgkDRU82m2l8ArV65sWJEBoZTtjx5gwFBzyAUTscR9oSK9NXnQ3
PncH5cuwoXiNZCeldvDRN0BdlZuRx+K+6l60P42zaduulYYqCGBc3Hdvkttt9McIaBF0edUOaNIO
/CzCuWDNhICY5H+Ol20RD6QGdNczTArb5pfkA+2foBKDF1TznXImpnZ8lACCcKYdCJ63tYO3I8ep
rm7hiy9gDmpnEDDkC3Bwivgxt4+TvstMrhg3/SVXwzwLbhoQPoCW6HIvCWZphUSFERLZI+KWbjMi
zFdKZ/ToQ7vwbjvRlR5u4M0u7DFeu2j1fk4N3D7iU+8KqBoaP5LP7pT6YWKHh9LrvSaw47vIl0Ob
fHY72U6eeRN7fYCoxiiejiJwLKiCs4XhQSqGsm3PxxZlYUiblrJnogFpQByqdS7yGlyTKjvP1CSw
rciOIz+ksdwyLQHSzpCTyJMexL25QeZtLxwFsDdSIAt4l8sN95XMM8mc2CJrB90w8IhpLfR7qd5U
OBQgqW1K3a6PFCCZH7hPx6sAdDlO1pWa0PCtuyGmrrQON6oJpkTwk8V+D4faGVu1cyLIFdlBa4cu
tz3oKtyHcdSbJZRP0YuNZq/lZg7SQpEKAZPc+u296tQP2UiFuYqN4JVbtO14mlOCWfy5u1N4hYDr
yZaB90bbK2RQIZjAUpAkbdBZgTomXtmNX8NA3IP/k3N2Vkz8IfcE6gMgDM6X5KUPjVoo7ChQe0iJ
kt9DiMl6nCLR2Nw+oVdhNZoVsC0AewLQBTRCzBwqM3CUaliorlk1pp1186noDWfS289WqKDAWwVO
31pbMhen24avozDGMnM1aM1gQDHIpHxl5wyZkz4DBm0bEFMTHnmvBzqMxb3HGGOC+QozUGZVqLq5
Qhwz/tXJklN1X/7KkEDzKBnIxNH6zXJDZqTHgyFCC6D1XO4saIJY0MWNHnHDocGRGzavjunCGhON
5BCTGTJqLawcyCcPI3qh8x/VR/wm+uMmuaclxhCB3uTeHibPLnPRtGj8mNMUdseqd5TopTJiu8XL
5LaV6/c1lgxva4CikZYGOJUJm9sy70k5m5YL+e4CLbtpZ2e10wGLpdrGkzHhGSZV0Pxr7tqjsS/c
yOdeMGuHA4hAoOYVEJBcvcYmy+hKsUGrHERLj+FW39Q7+Y02ARqe+LVBg7TmCE81Vld45HqQqxDa
Au02AHZosoffAvHPci+B0nsUIMqNvohdDV/tdicILW/QXrMzNibcpM87IlduEnaA2cZ1ClIeQKrP
IeHFhRN0vanPuUHrcBR7WYzgfwg3yU6N7NDRNBcPe+/2Gq+ZNFWgFFFHQVUaDe7LQUL0OCpi0wzc
GOEdpSu0q1fDM58lp9m1KBZxDbJ7F0UpEbKwKvrRJDyyWSqlYJBIpcWG4M4PCtB9VoH4LvaN47xp
f6VH6Q1kNjmXJurcInt5+1CrFm5ZgAqBsb7aR0GtjHNTjyH47nvXQo0jbkFkEyGqRJbopD5Pbgg4
k+XKvLbws/+9YZl91qeGGALtM4Xe0IaeNIR2UCBZVQ1ODFhVq2ROaIx3JBROWf18e23ZyOA8ZhD3
qFQEFdkM5pFdzG1WBAEsZz0aWvFGSJrKboYRdOM82o21RQVyV6F7Fn0orDZKLYSViA4UpCuKX1ml
bIIR7Wmz4f+FAf1pxWIGBLIvOUotWGnTVzQr3iE0sS3zPmx4T/bVmcOlZ9HCH8XXLg8Fco6TAVXy
0Gtm2RmE0Lam3BXaH3Gf7m4PiQ0xzmt0YYlxwWlZoUTcw5JWWfuSBN5Y17wUJfVCyx0I4gqo+4Io
BCUi1ImWoyn0bG7NAUifEtIuqV3fy450H2zAIegIpwRAXuFpaLYhMKj8/p3r+wVUe5hG9Cui90mT
2FedmcYI/ueRoDnPFVO7sVPXMCC/iFWcvfoEsqNNxgkCrjYjWLJgEHkGC+K/wGAvx2vWVTO2Q5F4
enXso4e6ukvj360NQ24EfhG9hirmFq8LZk7NOu0bZH4TpF9BQaw6IoQOUfIGrPd7heSOCNAE9+Zk
X45nmyiz6wh8UTplEd/FDCr1UJv+0CAMt8SpwYm+axGvkTsV/+Jszes7k47xwh79ngtvNKedmhB1
Try4sHtET0+yM780eJMLGC7KRIlTGy5IbTc6Xo6b2+fiqjiFwYLlDGEcPL+OMIQ5691cBm2XC+g1
i0unrQq7UHa5XAM5Lbj5rO5GTbeNcq+Dg78l1Svqdf4sldBiIndKm3tKL/p93O30SHEM6xhBhnma
axvqSbEMohyicK6mq3NMPxcpIpTTQP0BurTlXIlqMpkkJXjBA4kcDrYRPd6ekCsDaOqjPVbocEVp
+SptAOMlumnHyBelvawbLhJhzm0LV8fGBCGBCfQ2rgoF2W8mmI2lcE7lLpTdFjQZaTnaubQLeDWb
q8QSRM0BVqPaEHSqMF/LiZpyLRUaDVYqb/YNf9godz3KJbRaIx2KZ34R7HpYC4MskCuPtb4sB0N0
BeNU9r/qonbNkPeGo6Hg4opF2h4Ms3hyyGAIN1jRHhJDsk8rkfjMyl9xIm+iuriL2sJF7Hpvdd9u
L9SaMcooqkFgVkJmmbl7mjwiECImMtImAa4AvW2k3WAoYEXqhNKOSZVsp4pzHq/vcYzwwqjMGCWB
qhRtYIlAE9e7zqNM+sUh/YKHwGbala8mh7zxetWW5piwVBS0KFXHDIjGJNC3tRmND0Uch7YZB7/L
Dwwl58XIGHeRN2LUz00lu8WEwijWcBoqjgu+OryMCcbLd2VjEFLCRNXMFUjq4btSp+Eheq/eawC2
QWIMjyWEYUgpsAW6oARxxQQuPCTH896uXxIv+R5uVY8mjOeN9ZSDfRxCY812y8djXTVjsMbprr3w
FlI+FLUaVDSZgNdS6dIyd4M2heEdbPmecozuAaiXaHoResvcLBgb45yt6yg+gGzXAgUEfUdeWG8G
fSJmCOvqZhC88bl51R6yo+oVm/QuNR3xZ7Fr0eROIYWpw6svnePBy+PPWGcjbTJMaZzmsN5ZsZOZ
4SYzY8fS8a9u14inrJrspP2wBMkLSwsUBZMvRFBfbYgfRPFTZqKjtHgt1adGTd0iHNw2uFfK0q/k
2a201yLhaX9fnWb2gxl3ZdZQMy5UpOaCg+SDPR3q1EhUIhF7qo+FL/CRCOwJYA0ysYRVBHFe0xnS
OrtIgQRHydonD/outfO39L0+gqd4e/uavCoonG1S4lITaCw05DE70oyrMpkTHAdaUG3BVd/7k6eD
BzY6s5hSGZJ5D22iLdlmkNPilo3YOwzMV3h40V5ypCjRR8dMstamEd57OHR6fhcRdHgliVN0AWeY
VzNLrUBPGG9aoAAgGbvc+ZD6KOpihpWhzxyhUeyw6d3bM3nltFGhRZ8huCLQOYw0LxsaZN04ZDKo
9nzNDo/k0fArpEFoDkj2qUgc5X+9bfF66pYGmUGJch0P5ZSBsrf+GMZDgna1tny/beP61Jq0Mx7D
wnWBVKHO7I8gj5Roas9qVYNnyXZ1BO3+d+GhOGVvlDAYD+eDckK3k1dHDjQFVB8qNT9KMGRy0ax0
PIsLZPkpbFRUlHFL9LII/d4399KWkhzRoiIvwXS9VzBiBNVwEQBxXLEC1EoQ5RAWh1KCIPWJO4Ms
M7XJWBqDx5lbjiWVCRcg0AKsDJ59fnxfbONdsJl3lNoj2zefLbHRqjNuacv57EEhPoYijYc/OdaH
3AGD2u1Pud5KCjr4ESWBvQwP4PNVeOEZYjzhMzJjK7XBQ4Y2ueqlmniYEY6Ncw3uwkavtq0EWcjQ
L8snfWP4MahUum9GYqe/NA09Awr47vidVte3ONwdcrNn3CeC9quh9Yo8R0Ed++F7DCFxc6/0ALma
u/Ce0s2L/8YGunoTaoxJuu4XI1VMgWhh3MS++CRSFjrVaTahjicYpCOInwCANKa0Yw7q9aH7uzQC
rHG6DBfG814uS/TLxb4wqM1W1pPU1Ycq//3bbjGtbNNzroSDMhVV6KuHFDsXnOWt3bd2/qVyLUhV
KZ+GYKun27uUzTgxQ2Nv2Lof5Dhuy9APhlc1fEZJdjI+4t8VematMNeqovSVMZc4laP+KfainZHH
KuMK/1zFYqaGOBQi88jY65AeY85+VOJBH5Ai80e/qZyUquDgnBfIoGfbPwTWpvk4Zq7kBV/4V+nK
qViaZ7Zoo/QZAQVO5lvPkXSY3gkV4AFJYqu8iG7t8NWhrtcOoDiatUcG3cLdyvgRkHYQglahzIf3
9KWR3IMJdI/+pX0ra5xtch3iY2Iheo++B3ChUBH65RGIFT0qwKUseNWvcidDNzkD+AUcUf3jHxiJ
bAdSlJP03jyT7yoaIzhpjuuhwvwZkwfOO0BemKHqs4zjV0+CFyaKN0uSnwEwAJAwFOY4+Y6rvDnw
hZSlBFc3OuZRgWFMqcAsqMRKqZbk4EVb2sOiwSkSLsv9VRkUlhDTQGwXrFqg12fzhdKoZ/o0B5E/
j9JHJReeHD1VhXZATht9OrqbhZ0bQrJc057nYHaaaeK4KDqUpfe3kGWmcEMDRwOCzctFHQRNqfFj
uI/wvQbCRey/4YXngN7ZLlsOguraVS1t0RW+uEPJpE9ZE8GWCTzPEM+2Up3mgMcEsDYicHog64x7
QEV1fmlliPISXbNG6LfVUxugUW+GzvAImkP5qxAlnE25MiQkfMEWYaCQjjVkjDXiYPVN1RGcvUmu
D1rRxydVH0XNAZuO9heCYawF6ByQ/gV/EzAIy7GZJCMSMXGJUqZ2+D97AMzDjZxiN91TVFJ64BFv
XQdT1CIqZqBQwiZhE/hBXRhGQkTigwRhm5k/grDa3XY/KxH+0gRzacplEIlyBxOUZTPBw3ncUmJZ
aWNBMYPWznm+nGuR2fRa0E+kbWFRB+ncDsoZSCvPm8FPDuFOhG5M/MSLflc8w3KQzN7vkFmNhB4m
5ScKCEoB1I4QsWSPITBt/MzjysVC7aGADD5RgwKylztlTrVhjpOZ+OmO9h9pP0CcC7gghCseyw2P
0HvlyKFADkVE4NCRKzapV7442H0rNyHgUMQvDJCUW3tDmYFJEJ2y/pmrXzjb5drFQ94Xop7wAFBG
1DRmJoG4KsRMozvS1p9ENG6bTrjtNsGuvGuAxJS/lpVj7EUXdfn/zfX818f4/8LP4vGPi7H5+3/j
vz+KcqqjEN2Ky//8+yH6qIum+NX+N/3f/vnXmL/1UH7mz239+dke3kv2by7+R/z+f9h339v3xX94
eRu101P3WU+nz6ZL29s//eNLMRD6ix6LKG9fiqtf8W/9pfNg/uUv+o/P83e9TOXn//zto+jyln5f
CO//t3/8aPfzf/5Gy23/dfWLzoO59QvSd4y5+4nfrP4nhT4gi4EgLi3y8B9/LBjyf4JEjEIjKPQK
/2AHwNDFJP6rsf9bf+kf6/GRfr7Xf///AAAA//8=</cx:binary>
              </cx:geoCache>
            </cx:geography>
          </cx:layoutPr>
        </cx:series>
      </cx:plotAreaRegion>
    </cx:plotArea>
  </cx:chart>
  <cx:spPr>
    <a:solidFill>
      <a:schemeClr val="bg2">
        <a:lumMod val="25000"/>
      </a:schemeClr>
    </a:solidFill>
    <a:ln>
      <a:solidFill>
        <a:schemeClr val="bg1">
          <a:lumMod val="95000"/>
        </a:schemeClr>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ln>
              <a:solidFill>
                <a:schemeClr val="bg1">
                  <a:lumMod val="95000"/>
                </a:schemeClr>
              </a:solidFill>
            </a:ln>
          </cx:spPr>
        </cx:plotSurface>
        <cx:series layoutId="regionMap" uniqueId="{D56F90FE-36EC-4DAB-AB50-E09B85EB166C}">
          <cx:tx>
            <cx:txData>
              <cx:f>_xlchart.v5.6</cx:f>
              <cx:v>%</cx:v>
            </cx:txData>
          </cx:tx>
          <cx:dataId val="0"/>
          <cx:layoutPr>
            <cx:geography cultureLanguage="es-ES" cultureRegion="CO" attribution="Con tecnología de Bing">
              <cx:geoCache provider="{E9337A44-BEBE-4D9F-B70C-5C5E7DAFC167}">
                <cx:binary>7Fhbc5w6Ev4rLj8vsUASoFMnqYoEcwuOHdu52C/UZDwWAoS4SAj49as4V+ecZLdqd992Xqagpe5W
d3+fuvnzMP1xqI/7/mSSdTP8cZienxZat3+cnQ2H4ij3wzMpDr0a1IN+dlDyTD08iMPx7L7fW9Hw
swD46OxQ7Ht9nE5f/Om08aPK1GGvhWremGM/Xx0HU+vhN7K/FZ0clGn0p+3caXp+yi6yi3O6fXl6
sr+XoknEoHtx0MHz0+zlSXJx9TJxomOjhZ5v5vb4/PTpstOTs5/N/MWlk9p5rc2924yfYQRwEEIC
Pv/805NaNfyL2IvQs8gPAoIx/CwPvxp/vZduf7Y/SVS/v99/ff23Pj16tL+/74/D4I71+P9k75Mz
uBi8zP7m+N9N/RwyVSv5UTgfxKDY53Ay9el47OIxHmdP0/Xiz59euAj99OaHjP4czn8l+ktCv3n3
5JT+vz7m/7P8BBjf4vi/yfKvK+AbgJK93qeP0PuhCH4v/Vo9P239LYI/53177+CJY4AjgMMwgoBE
0I+jHwD+SecXRb9A4y91HPeDfn76Cd5hECGnP8TAcUAYnJ7Y41dR7KM4CEmIIQwAdMzQqF4Xn0gj
imKCnD8RRnEcxE40KPNZ5J7CmIQIxpjEIYTfyPJS1TNXzbdwfXk+aYy8VKLRw/PTEKDTk/bzuu+u
Q+hj7AOAgjDATn7YXzlGdsv9f8jIg80ILEhaslyoJU/myl8TwdfCoI8guq282wHj16SYqeaQ6kXf
Wa/bxF4406ADC5ttrKghLV4hhNtkiUqzLmW+i3S/K8uwZp1tVzhG266bbmsP3NtxyTS8XHC5CtCQ
EpkFS4gSr6vO49pjHjJZHYDbHMQtFRj2NC/KbV5qybwoWBgu4s3Ujquut6s8CHoqp0lQJXNaT/2O
wO6dJIWiUMYFNbLrE8/3shbhTQmFpgbGlyH3Mt+He46mS8/ARBnDZDFupQgZnu65QRdxpFs6hC1P
YjM+8MaP2YCilnZQmURBfNeXeEO8oGLGKzb9XK15MW8bW14Vrd3WSzXRnHc59WcR0i5EgHUjfy/Q
UFFcYkyHxivoUmpCY9AS6rcxJbPVVBjvtTfMDQVkKVlXtecyUpyZZa4pEFFW4GCTQ3HgRZhTHMfZ
PE7bCMM8KfwG0A6UkBk5FrTsFkW9eZhc1hrnpY9qCivOqiAYqR3yO6jDlQDtZhAEJ/motvW0rPKy
vbKoGKngFjFohxUv849th84b7XHajU2XiUKyhfNX4wzeAx5mmMC3cQPX4dgfUWt20N1+LK/jivK6
vIsX84EEJm2BR0UT7UpVaUYmuR1qyWJ9o9qloDOXbCbDSgP/FWjApm7zmtpcJhVpr9HAAW21OIx6
YSpqtkvMQ2aDnA6wZkFlsgrUu4D0m6q9UT4+r4pqZTxJkQ93aC5SuIy0tjmLY0iXLniIZkOhHxm6
TOEaYJwM+Q32vU1Tk42HmoaOMl+RIV7xBtO6nF5rPO8aWTHVQbYsC627gJkw3Fs1p8WUJziG68iS
7TzEHmsIfgUtT8YSZrUc93GJaONwUXhgNY2vsSGMDHyzNHbF52HNXXpoJeKrvIy3RJbSZRX5Dlni
nZ2FZL0Nz8k8F4mjh80UeW+DqboYSpLZBb+LPAeOnjPp2Z0/+et6NLtQuKobAQ1dMc/KrNv+g9eZ
bUtqOpXtBvt4O/khU9yVtiyp7fWaEI/l8I5HPoNkZrmsE0+CZJkAa/PmTYcWmgO01bOfiZE7WOhP
VjdS1pdT0SRt8FAZRPvwCgxTNoySGiMT4jqvAhFaLx0N8Xg9mZumNgxHHSO62gCEqF/rlSElVfiu
tIhyT2fY4Rm3nKlJJyMKqCMnNjbSaVmSaSzPcy9MetG/8XmcdM0BcsMKTtJm7Fg4Scr7gEbF0bde
0s/oQhmY2kixuYIhNUBQFC4JLxwSYEeXWWSlvyRhN9EaO//9LPJLhof+lYzDFM712sKa5tYVMpxW
gxg3Wi9rf9a0jHZL/KHp3tsKUB7OzAQPCi2Xgx/ueAOvFzCxxpQUdWItwib1x4j6E6KhBOsKNSuj
YrqgPhXkEg/TpjNHk5d0AFf+1KbLgFw1dxkc0aswkm+7oaeizm+KHijqq48i9+gcBTSX8FWrQYYm
8yaKvU2vxrVKrO4oCQnl8li32WJdqU+YQS+rO8fXvKQimmkRyNSS8SoC3UZzy1rvAVYhLWrBFoBT
O9mado4sfbPQubsowkvcw1U9C+aImS0QMiEcw4blDszvHG/TZrapFZJO5AaX2wA6ljbZEs47y/l6
0gPtSf2qbnU62+sgDKk1jr/LOx28HZ2pXnZUl4ULvTNb35aFZbB9KPCd8DXrY+TI7NpvhYu0K22H
+aLv16I4VHpaqzG4rkh4ucTFRgmzViVaTTJ+U0zwGrUFWxrBRq7WQwCoLupE4Gmdc1coMDrvwCVv
bVoSR7StWc/LMa8QNcPg4jGvbKRT7mhflF46IG8jOrAxi7dZJpj2QZzEPb8VfncutaPPvL1uwEKh
UMxEIVWd3lYjptyKHR+bNCo7Cp0ZUn4I54ZNY88K6adCZHO70BKd4xA4wMSruWsu9YhTpQwVsP9I
CvC6RXLnww/uUqfQqJyaTiVREdzYHG+w6dYeiK/bYaZe7609i9OA2O0A72fpu2uF0wjjre2c7ahN
uJ5ZOk6pkN45qdshaZr6bpzGdQPbdeUKpBjsVRm+k81AY96mtZUMLNE2zstsqGY22OtYvrWopFq+
n8bO4TLGzM4BlbzaFH78arTxbTTkGSF8bRzdjPNtZYvEgmveFSuV9+5oDQ1cJvrJMF16rJ1U6tV5
KsOKajJSP7hYptpR2piC/NijmMLeT0fRr4MpyIZmWNcRZGh46HThGLlhsePMqLnFhaZa1Ek5ayb6
eOUvgcuVSUzQJlh7iXCdiOsf0nFxfDnPq564+2fUDEC8UcOuRW3SubahtPEaLCTB5J0qOfODwWn4
OMVTqmp93pvy0npVih016nm8DXRBLZRroWbkAHDjtc1l0ZCsIi40GNAp8OjiEjfafhO4azhqPYrs
kHD78ONY9aSxO6h27gUvvgzC3x5fXLTH5uSy3h+Ow+Ow9V3y9PH7LPapvf02mP3UP38etn8v/dZp
ftr72GLeqN93779a9GMT/9c1/7Ve/lH142TxW5X/2fTuPg98mXR+F5Z/a9GXVD1+VnnxTwAAAP//
</cx:binary>
              </cx:geoCache>
            </cx:geography>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UBICACION (LOCATION)</cx:v>
        </cx:txData>
      </cx:tx>
      <cx:txPr>
        <a:bodyPr spcFirstLastPara="1" vertOverflow="ellipsis" horzOverflow="overflow" wrap="square" lIns="0" tIns="0" rIns="0" bIns="0" anchor="ctr" anchorCtr="1"/>
        <a:lstStyle/>
        <a:p>
          <a:pPr algn="ctr" rtl="0">
            <a:defRPr>
              <a:solidFill>
                <a:schemeClr val="bg1"/>
              </a:solidFill>
            </a:defRPr>
          </a:pPr>
          <a:r>
            <a:rPr lang="es-ES" sz="1400" b="0" i="0" u="none" strike="noStrike" baseline="0">
              <a:solidFill>
                <a:schemeClr val="bg1"/>
              </a:solidFill>
              <a:latin typeface="Calibri" panose="020F0502020204030204"/>
            </a:rPr>
            <a:t>UBICACION (LOCATION)</a:t>
          </a:r>
        </a:p>
      </cx:txPr>
    </cx:title>
    <cx:plotArea>
      <cx:plotAreaRegion>
        <cx:plotSurface>
          <cx:spPr>
            <a:ln w="50800">
              <a:solidFill>
                <a:schemeClr val="accent5">
                  <a:lumMod val="60000"/>
                  <a:lumOff val="40000"/>
                </a:schemeClr>
              </a:solidFill>
            </a:ln>
          </cx:spPr>
        </cx:plotSurface>
        <cx:series layoutId="regionMap" uniqueId="{C4022FE4-EC6C-4AF2-A8E9-E87CD66C26F4}">
          <cx:tx>
            <cx:txData>
              <cx:f>_xlchart.v5.10</cx:f>
              <cx:v>%</cx:v>
            </cx:txData>
          </cx:tx>
          <cx:dataId val="0"/>
          <cx:layoutPr>
            <cx:geography cultureLanguage="es-ES" cultureRegion="CO" attribution="Con tecnología de Bing">
              <cx:geoCache provider="{E9337A44-BEBE-4D9F-B70C-5C5E7DAFC167}">
                <cx:binary>7HrZcuQ4suWvlOXzsAogAZJo67pmA5KxKbSmcql8oUmZSgAECJAAuH79uHqzvn3beuYDRi8ykUEG
4HD3s7j+/H3903fz9uJ/WXtjw5++r79/kDEOf/rtt/BdvvUv4ddeffcuuJ/x1++u/839/Km+v/32
w78syorfUoTJb9/li49v64f/+jO8Tby5q/v+EpWzj9Ob357ewmRi+A/3/u2tX767ycb3xwW86fcP
1f31/paf//eHX95sVHF73oa33z/8tw99+OW3f33V//jaXwysLE4/4FnyK2KM4ZxlH34xzoq/XU6K
9FeGyhJnpER/+cn//p13Lz08Vznj+lf18ver/24lf1nHy48f/i2EX/72+5+f/G/r/ucbKrjqrxuv
3Psiq/u/7Oq3/x7Y//rzv1yAff7LlX+K/b8G5f9263+E/v9hw/8/9P827f/TsfwjN+uX+NL8Jan/
6WT+892/H+m/PPqfauOvZXP+8fsHiv+pUt7f8LfH/n16//2Jt5cQf/+Q5PmvJWEpoggXqGQlIR9+
Wd7+cqvEv5aUsjSnOMsLXBb0wy/W+Sh//4Dpr2VJC8YIKhh9f+zDL8FN77cS8muasoyxvMSI4QyV
+T8ayYMzm3D2H7H429+/2Kl/cMrG8PuHFJVQv8NfP/iXtdKCMoJLyso0y1J4ZwH3v788QbuCz+P/
VehZBcOUrrNRjveqn5UsLp3MlOkfERMZSzY+JUW0zaCXqfgYhnkhJ6EHR++wTtbICzHf42H8ue/z
OSvmn11cRfK4UiZUhbY122oZcvWzXMWRdVJw7M1HluF7skCADiE3Zn0iDIu8ytoW2bMW1qaaW5Wm
5rBjNFCeBKG3xmYxzs9WdmKvU4PG9XNfLib4qu3wmr7MpXOmGjWLrqIdypdqWA1lfKSDMTfTrljC
lcXCP3k5i3Be91TuPLVzm73ODk3DzzlYNR9ppjThi9TFeojJvE28YPNgmhbCYJ/modtJZW0Xn5BG
Y6hMZKOpnOwXekBZUgTem6IPjXBID3zZuzk9YjYhw+We50XlxskRrjXDqO78mLuK6G5NLu0iJKtg
abk5S2KLnst5aIemNcK11bSO0nEtismrqp8t8gVfE636Zhv2dKhDNFFcOrN03V0X2bZ/dlIjJb6j
0LNvhfW2492ce8bt2CePdKRCcbe6MuGJtuFlaKmBK5OzTPJMollyn5ii/CZktxA+pvPSfvNDqyzi
ayDrdpiCbbuvZMPK3I6eSnGOhGhX29ntQ0VCpvqTITKktWQk8XVbrm7/4vOsw82WT8zVuY0JNpwl
o9stZyjsT6Z1GNIkjWh/nhY0/qHElnSYhwzrvk5Qt8RDQuyQvicAKytGYwEhNUGXD1Krua2Gzvrk
czJCEW18HzFjZ70p9DPRGvY3lktXHNniGasdjV1yGc1sSNNHjJOT65HqEE/wFtR1ikirekWK9lfI
0XauMuxwz9uuY8e5YHt+mpJ+8mdM9brwvtuWhG+JwrTOZ9PFcMKtoPI8yrRUlSeLy14yuzhZq7TY
YpOuk3ZPq8K7arIoBb0SOXh9hjLNyjp2w+Act/Ou88hngTNaUy+8hPvQNapZz0weqQsBHUbjFW7U
xNTyqres2L9lyKC2UllCs3MJe5OHvkT9flo0MTMkJUNCfmJlZ/dmF8VcNG22yy+sXQx+GZU37KWN
oZuft1379bUtpECHKXr1FMKS+mpbGFOVFQiX5yXsC72h1E1FvSXMKcr3bVx3HhBdYpNnZjePupRG
nm20LX1I9jVR1zYo+MyYt6w7ony0LK0TiP7Ah6nvdF2WthgGHlO85XXa+sk1aF8ZOnfT1Lsh8jCV
eTiptt2Wa5zmVj9pEbasNgbR/DKFdlwOxCQdqVO3jt0XIbftJuihIFVPZvNZDFuKm7W13VJltpjU
OeAiGg5cx283OlMev2TvT9ZZGvV8lh6vnmdqnt7KEgr4KrvemnofTN96vsTS21M5bS3kWMp0Xxwl
7jbSoGzO6GF2sOY/Ur35oeoVdPELKtYSncdCRvPHunYDrud+7NWNoLg1F6KFC9zZYRgbVRA0vk4o
W8VzH305VPNKyjDW+9LbxXCz4sk/9fswhO+FL8tn1KVmqHabixuBV5xBLxzol9bME67EQHpxDjYP
W41Hw3a+GL/MzZSjpGiCIyX02mFI/tCSMMuRj3m1pLFdOeqL7jhrOj4xaDW28nvbxYoS4SI3EfmZ
i3xOb3qZmKWBvuVVjXXQN5MVMvBhmMubLE3ttY1rajlFWd+YwuAfkpDtla4eKT7nw3wlUa6+7pKw
fPREpM02t+tDYFk5cbkMTqQ8Ll0b6oG0eVLvk87a29HIUNQJGeLWYJ3qtsm1iOHFzKS0FU3Rutee
kNBylbqgTwXamT7tMwlFzn2KtuXYibwTHc+mjSnu2zbbmjIphvmSL8rYU9vS/NvSp6m49lQyI06Q
d378GUeVbJ8CJEHsq0gDrny3S+gm8VOZtpVI2YNA8il2+GZl+Vghu1yKrc347tLndSyfxoIsVTFD
+ytwGnlHFnVYaVJUOvQ5z8OATogk6iRcPl7afo4NmgTmAL5fo6UPYSiPNsTHzqUjVw6SJkH7XC/t
nsN5ZIZ3Nt4mBF91r0ZebNlyLoW9Lxz+7LX8SPFWcryZt0Wtj+Me5nqnqYCDCG9iTV5Ent93GSBT
vy2V3LJ4wSFQHklaXtHiyZcstRnXFs8Xb/TJzlLelNmOjnTMAFZM2R/EmEB1hFFWWaI/LgO7KTsy
cxx1yj0keEPXKL4iKqaqhDMZhI1HqtviYoaeHXHqxGOEEhV1ZwdN+bTY/n7BuUQH3EZyRHL4IWhv
K5mskhuojmbW+YtKtLjKNbimgBKGNzNdy6kHHEM7KXk5xPtNSglAbe+2dVu5B2x4ckrlh9LQO2j2
8QWozddkw3nVddll6fVzoqRpFjjrIxSs5C2VL8yN+F72azy2bgmcKdJzXzh2QNSnb7Fb9f2ulp/F
tsoDQ1tXTaa4JL18Svee3ebr/DinSHLtbHbU07odvRvaKg7Di3GaPG1ykZ8BYvpLlHSo3arp1y0m
+sbujh4TG8kpsy6pFLavm/eBF8N03ZOxqAPubb1nuK1CTAS3HunXMKNbY8y1xP1d3KFt2tF1h7kd
xipxNG/YVr5ILUae27nj6e5ZtWX9TSH2rgE0r8dMuSoy404r2Q7ppB4gdMuVQE65JQJJHIe3HiqB
L3g4eVueojef/Z6+OjmeupEsPA3mVtH9UhBGa6bDdR9lV+nUd+dI7aEz9kFLdJ5E8Z3EcA5oPsiM
Cc7a9bCs60Gm8phK2b90ifanRYofugBuYNeeHpc19MduY19ntiaQ0/hYLHteicwd17k7loWo5ITS
Si/lAgDsnoCLf6QivWn34RpEu3HXes23MtysnajMBD007UTSxJxmVZSzPrSJRqckyaCE5yHfuSB9
fsQWjYeBCfZMduU+OtmFL4ik80eRRfTGrGw/qs1OXbVmPj/PnXsnwO0WL2ywWH+ahggsqcjZoXdd
ub3zHHnDspVc2w0o6uyn6WWah/VToUr9BB8xD2UsY20HKm9l9BmXZh0OQMHLt6FA6pQByTrZjQ13
U7+Lr3Nstzu96Vi12OY/c1Lqh2inWOfbOLo74KKawGYxbvnu51jFfQpfnWSJPDmTlvR2nYet48K0
Ww/tbHehWrpt9wfjWzadLfDo1z4BVloRpuNYl3kiTEP8Nn+km1TQ+edYbGcowznW82RydaSzst0l
y6eVfnNGFfHaRZx30CWI+0NtSQ4Ia5AqjqMzFpN63IQVQ8WcT/IqYCZKXpRYPCoT4KTdKHqAXK3L
lattVaFGy4QeJzT5W1t49HlTPgISDOSCttFuXI++nGATcc/rqQhtyvcBq5krA+qo3knvw7EIU5wr
7ycIAxFmNIcIlJSdVuA1KS+nFr+6JP/Sldg2JF0LDr7J1IFKme6XZGuSPEq+Z1OsZlAVNZTs+qlf
vb4xix1OXYgB+qIGBF6G5NCLPq9oDlDsdMbOS+sQp12HL9AQnk1B5NO6+vHBii27ATJMoRGj7uxn
dHYT+mpxjup1TFWlumC4I9nn6Ok3Yob8Pi3cx96V+JtMB38BbgvwHL2rKR2XE06SNzau+f2O5xe3
F6/LHNamX/R26ZSSlcyRvaexjzf9MPfHACV7C0Q2AJxKVbHFLJ+GbQOeujt1AIbR/9yZ2Q7QxPeq
65U8QF6adyUx4cdh7+gpkkk2HfHJEygK1CxsNrUC/QTUsS9rwgbdA0ABqQPZg5JLEEApOcrSHiAi
JOd8zdAt0LFwtKMtKiLIrRm7gY9FMV/TovVV70usOUFOPjOL3A2dhrZeiZtqiulLu0R8LfN2BOxZ
foyRLc1Wrt1R2XY9M9uXlcviZ+gOEjZXHsw7ZLTrdNcT+qMYWUUydqItrebNYD5i9SSy7A1v5A9L
548TXqBjKtdVQP1W3s7sj9gSy9WgDED9xBozUsJtn/6RZhSwPmGYE+8ueQG9ZpHzXtkcdPbe5qdE
5XfrkN35JH4G/rfxPsjar+JTN4RTG2bNp5jfJrl+mdLwlVigDh3C9y1JrwwuRjyfLSqPC3YLb/Hm
TjkT5gIhqMbBALikJOHBdPRQ6uVu3fSznacfGwqY78twC+zr1m8o3hYKiEDW6oznmvxkLlG8XPIF
kBLdpml+1gXLeK/3rJkzP/JYZjdUZMdBhpEvip59i56jUMcph3XkZALdyWI8+qQlfCbuu8T7CJJC
uboFKKmKHHSiUNAHu1xlXGlqOBaw6GRNM77F9Vu25rUvNkBLsForNPhPSuSfYggdd5syVXTTcxv7
46TZzDMUh6Ndi/kcJZu4hzZ7HhbzGPe19jqaSgNCNNi3h6FLoXEk3R2brQPcYGvl5441wSaiGvrt
c9dNVxR92owsqfuYIIhT2nEQSc8+jo8oD+jonEB8W2zaUDR+B28j8KXMHnexVnhFz6RjD6AIL6kM
94SyStpurRerxOPgs+HQLTaeUhCvvEsTsC7CWHKEjX4YiSVVCF5XeZdOCzf9VFxNF3J4k1KVQPl2
dSrvuaF252iSqGqNus59CZck2qspQXc7Le7JFs7ZamE1pScV3QYAaVTeMEcPBG3kaDbVnz1o5ioF
mdaafqt3XHymI3OVzZKJlzl7csVynYW53XSPOeiKU5eJz5RsDUpSye2uv4F1cBvo9sXM4dOmx6WR
e+LqDqUGUr88Qd8bTqVXqCmm1oDCXZcq2D2p8AJMdYMWw1eIBR9JK6ClxsXeDhsYB9q0z7NbTTP0
9hNOhmsPrtQjwa49bxO8cjTpdnDE+HoSzF0RSoYzcLnxOOKFAOgU02dgrJngo+96IIOlP/swD6HC
I6E9+A5rdqD7rAewcvrQVx0bWlHti29fx20A6acjFgc6bLMCQTq0L3HS69SUYtjpCWUUkJFaPaOG
yXFd+ayxOjDVzk9J16Y3ZA8YaEyyASaN67MqoYhatf1M4NCOG5rXRmRku+9z0h6mZA4M3Kat19A7
yHQQxMRT4eZwonnsfxqc0EvMy/Ec0Qi6K8fTUaYT1F+q9s3yKHJVwkMg1vgEArUaZjjmZF/kEUz8
mfDJtAjaDGp7emE767Ib3etwS9Jk+trj3LtjpzG07bQIPT4zzPBRMcVuwMBZ2K3BRpytWTRUFNOt
P9u+jVW+Z+EehRTd72nLHqTMN/U0dGtYzybu2XVXRBoIsPWXtffpcRQruuswsJpjsihheWaJwbUG
twvcgg3zHETdDdCItfEqrj9lW9gGpBU+6d3hpY7ZntYljQm0gyLlSdI90mTfrgr3z2OW7jdDSsVn
0y953ZJO3QuPwkfsxaPb55tNlZ9SH/zZpUBZt9yTg1Xts+z2A5w3qOk8e9m6JT2MSa44WcXM1xJ/
6vvusRXj3RQzVWVTeCAT7vhKy/PapXdk7Q/aZY0r0HjMA/1huuGCQR/MPvnWr1TwuPrLLg1qutx9
8X13P2DrmrJUW4XBNavzPtgqHfsJJN+qIctywL48P4hMNgbUaJ0WEzoAQb2dVAk8P+/+8LO6aiCS
FXiNjsOZnPLN3eaaXZKCNolfSz6X83bwBlzFvmXukVAZweCbdY0FQoCUTDSla5cmKUE7dGRfePRF
dtEpVvcM1ME9tWnXAT8aHI+bVdD0CKyO5HgA787FemSTuS6SguLtEbpLEOmqVM+3MwOtlsjBQlh6
yrVMjrlx14nIU7nPHzPdNUIMjz5tLXjLieYrMSc5LrqKKrlJ2/ApGyKp8K510+YFa/IkQhMkRJ2H
POuBQLfnJR8IX/PkgcX9S1hGxue1fe4ywF+Sxq+JT+47HSMfwGmpAhlablF67JRdgOrFu8kWgGxt
/y4s7sGefXUz5HPR3hWyf+zWtMEpPYptezILoby3w8z7Avr6pJMzntLXJElvwC4WfM+TF8zKb1il
+7lTnat9AnrY6Yd2K65bvt1Ggc67LL/k295kRH0KJj2BaVr7NJyJ3I92XwRPkW260p/24Lpz2+K0
KorldiPyZyrCpd/XW9ONj4HSR2g7j0UiPoli/EmpuTjwAUQGBET32/2YanvsdlAnW+F/zrqMFcvm
z3C2NfMlQHvZpO0Ee5ntl63sHsetHTixyZmYibe7fJij+zG4uUnWDMovHOgynoJzYM/C2dIsqzvX
1/OayipQAYzDP6XJCCoyNvuanVMw8UnnHpaUfDSKek5oiBwszIfFJnfg1t0W/dxVmPTfdYK+mlze
6208TYEBUNNP0PNDHVwYq32NsRqW8ssweW7KKKq0n9FJsCK/xyDxQJFsjrdtkvHQ6vQYW3QWc0Iq
LQFgB1wMn0MEyx274PnggTCOwyeI4H3ZzZdpn6pYrqfOoRs2A6Ma2/XS5eZQkuFGl2NDCPgnOy5V
vY9aVuuGeg6V/6VHjHJhB3FggkzcgRsLDiNfqHsJajkCqfwkyuy4d+7VbP4ObLGrMNN3tUUKSWme
decbv5PGr8N957P70SgJwLfWYBLWOumuwE+/dXn3aLq2Mjs4MH18KRaacEQZFF4q3wlcOGbLrngP
WsrM432U8ksxqGenveKrHcVJOv/mZqGbd8cd6Ayuh16dS2v6Sq3sdQ3ta9T0MAr5nAX2AhvtbnKx
3qkAifnOlFB7le107TGq1j4ZqsyQrEllIhuaDs82Bf97te6F9JRdpl55Ht45S7qAO447+7jq0NZM
DfA0XWUz79ND0YIFkqbuQS3bwSYJq5Ayh7QdnnUePhO30CZ1434oivxHMeTJcQo9qQZP3YEk4gkc
oO82KW+XBCeg3Yp3wrnfqBbf+nKUfJmHRwqOUbWN0yniBYJKp8dJrpAdTjzHZf4KpSpPamDHckyf
S2XO024c92uyHGSxz+VhtWG5UMS6VxHT7Tbdo+x5qaNK6zEtNRxJn91O7RAOEJb0AhMVsAVgbAR8
CI2VhQnadzLPuJpBKn8tRULP24CB9GftTq45WMwfYWazPxG37beZmcL7UAwMB9KW08dETfgMXtZ6
7XPkv8PEwcZqGQcyADtp50M7ofWPaHpxGkH837B9xX94T/wLWCuv87iBtVK8Gy+zbBtJKKC4VAj+
7Nuq3dSDN6niMiTP5ZzZowU0dgU1VZGpRizTdFsuY3ECMXpPBwS+/bSl1Y7wzllPx2ZUS42TAtzh
rlBcpFClLYI2kDMwyxmUCTgeMwdJ8Eg0ueDMf4Q5IKRpUW6H3OrsQWVZ5OCNIpg8jaaGcEk4p3zl
2tiR92OhObiyT4kbSu7MWLO9/LL1uYfg6295V7w64MfVJDWtsmEeT2nbfoE5SG1KF3rQPutrroqv
myyTrzS4IwyTfIPIfuojemoxfvVj9kMWa8XyPamzAtwCMusv27qiasg3WXdj6vjQAtXGdEdn+i5E
1wQ0uldwfOucnc20PxcyycEvjF+jTq6FSO/DjO/imG616EN+EjBDrazAoc4B1LmXveGJCornoLSw
HW4Kpk4u6aDRj/tX8C/u+8K/GIQ+KjruHE/udc83dIf9fMKEfGzXXYCfAO79mpmzzPJzBkm3biPh
cgUO07fInyiYFc1EYlorOqhaz/N2LAgsH/ySB7K5sdrWAewzquk35N9tBluQw5j29M2Nyl7LbMJ8
WpfxbEQqP2bDoj6udp8vNIWiT8tlvS9ja8DxHUj6lkMi1zAR7O4F+IUtDz53FKaZzIJBLLuP85iK
Ozwl7iawAHovoDSBBkpG89Z7iSxfkha9Mm9mXo4MZoCQrVVpxuUhN5KCjT2lTdb34rNIVHaNpZRn
vGeQ83m/DvgA4JvfUXBmz0nhyMMec1Ivyy51wlfdg9Y2K4Jy6hYDLjssL832sQ4qBwIly7UBMwsc
Ggf/1vIIg7cVjPp9jAP0iKwYwEEEz4MbtOHzqjxYnSMoqH5l3U/PFIB4ZrPrmAX7ZFZrr9nsikvm
tvTEWNL/TJdM3Mx4Gx9bzHLKpdIBvhRbMtxuc5nAMcnyWZdiPevdjmeWyeWC25E2OjL0CcyzLNbQ
AfHXTE+oMoPP3w0oexdTlxxbPC+nNnPhiIn3Nw7DvCwIW0S+sT6r22HID32xdQ/JNkAj7mhMYwVR
mj71mcs+5++aK5QDBHTOQCzYPYKBkFB1Ny8DOZMpTs1S5uoGDCx0WDBMpHifzcOh3IH2ahS6M11w
zLkc066eXQmYrgodqnxozblNRFIladkvFRILuRk3mf3sqXAp30zM+opEphscBXDxnRrmnrAJG+IC
CoiPO1AxcHw+YZjZlNUsFvUNz0h+hrmsbnoYPgw1GaEJF3rZf4gyyWujM/otS7yoRwSWplHL+qUz
owMi2qHbrl8DcNmyBI5C6H3aFcuDz/dur83gurxB4H4dtmkVjQ7UQ+sr6dPm75MSfBLBizT498lo
uWmYiBfLJY1BnPAaT7Y1u+atBc+OxznvagnzSPNEx5H2hzbqTjaJmO0bbjP8ow1suUzZtP+BWpOS
arZt+NaCE/F5i30CA4g5Wzc+76q8HUwmMTfj3n3DVq/frESONkBnIr3JN5aEA+mZX3seOqhlWACI
Bj4veZjBLeqBiG+DXwTwO48BJ4o5a5txH2b1bVMChhs6l8o/iEJCQ/Aw/BrP6db9H9K+bDduXYn2
iwRQEkVKrxKl7rbdjqckdl6ExEk0z7O+/i754J50s3VbNznY2MAGvNGlIovFGlYtVpXd5RFDehLC
WR1CFFsmD6cx/GwiTy/ERFMdeIocl43bFX6j7NRgspjHO60PgJ4YEEUNbZvs0q6bdLfUrTYVqYUC
oN0YOc3cqM51YifWgBC0ntDhs6vRKJBOWwMP9k0TmD16Z5r/g8SIEESmNmjQGH2BwMpIG+Wbj/Jt
akdGoISOX6Zj7bVaoJs3M2/4I+mWBLBHrmOp+Uz2HNgAYAaqJm1xN3TqhLx7RPStpSnXHjNdn/ME
JY1c/VnkChqVppLD2TLWdaMXZB2KqUZAkc3ij4Bw6KxeKlH+jKCy8/WEuirFHS2avKPMjYmZZ7ch
bl0T3SYjq46sD8zoWIwoB383jCQ1jkPRjeOxSYz8rYm7YYQGWooWiYpPm+ygMnrHB2Ijq8a2QL/F
t35p+WT89hnCCntGobC5hQLZoxn2SuY0qBc5cQ0ohKOYxYyyCUAjna03rVnuDNLmvWj8IClcbUAZ
6dBZpP1FFQ2dDjKTiYg0nD/7A1AQhlmim2rRGU6jTaL3bKRd6Zat1VkoIuQ6QCGZZU1PaouYmhRt
1t2mUYS4tUDV2wEeqBtF5/vA4RCmmMTre705VKTMantGd9exGqUiR1hmV4vAilAkaAMr60UKCA8y
xXQoI1uZKiURAfO7o4EudnU3aUC07GcgWBIkYrGWCRg5StQEeU/v8Jjmo+cnRYTQO6rjaDwqTTXz
50JTaOAaRlR/Yt3MFcGCNjYcNQKw44HHwEK6yOJwfRlBoLU7LARHv4xXAVLfWBkR46OhfhfzFOAC
pezng5qhQviMznfUH7Uu6BHazIoGEA/zYZlowwHVMRi5CXTSSMoKqxrPpQ2UlJK4A7Xgk1WGkMFV
+1zPvJ4r6ojOfZVZbh43yntYEqLflYDqoAai9igsFX4V/xxnHvp2ywrdMY148oaqMB97pUipAG6H
9QDcJKHuqGGJgmQSWWgyZcS3AG+ZhvEZQKEmQAI2xZ/NedTMxykY0h+xMTfzYeBhWL1kgEGoXssU
JPakCcrQjhG++V9Spo3ZUQ2bCKAS/MqI9lnY4bYefb1BQNTn2RtXlmCIKmEQIx5vTNUmLf76tVfa
GJerOYQcNeu4Zg5Pw/ALol7dtCslrIJHlmvzz6Hq/Flkmh83WONofm0mHsR3vtkPqm10taWgz1AN
5KjHdf9ehcjVfNT8uKNkOYobaPuXv0hSKZqD2LflzsSNqbcLLUJSbVM9QqZcQAG+K7U4H5yKVslg
h+HcI8CxmjrdBRo3v1roxFg37dAmzE1pnytOZnItXna0Q9Q0B1GJYzWx3DZ1zWgcH80Bju+lTew0
5chC1KRZpdroygExozHixy6QLhnqroGZoj6n1gp/GFDw9u98q4WjoYi8AzfKwsgQIev6x5pgPW00
rqwfQUmUIwuU+XmqUavB+qET4hQj1wJHbzNLsSsUixaMg3rf66wfd/rkm4eos7gDTBcibBKPBRIc
U8d9NQbFbNyUimERt+1xud2jLUYeYiPNx31V5HQCjCZHoaeJqjFFo7KZcTLTRh1dMqAf8FbrLRrX
SppGNk4LvMAEE3sivQpkUTqznroUF9vS5wm10aM4F/5zmGvoC6kz7fje1yh6uZbBEHIlum6grBpY
0yTQjvLDg5GYc3s7KPAsTjX7Q+P0Voz/B03vmDq1Vc2qE6F+kz1qgDTccdwZN1Y2Jc2O9G35PVfz
QbdbuO/SVlW0MDwjiNXoc5pFfiJy2pIW6+AjLp7qdIQ/MWeU/Luxjd50Q4noLTL0/DHtLFTGK4XX
6ErNbTG5Xdfj5CJtRstk1OrJt3HtzMQza9KGos31Jt0pakc/axpcO3otOS6UtMfZc5VoSiYE88Qf
YUGZOSFNwjm126RIgDzJWGg6Y28iZp9zVa2doezpPdAi3N+ZJsJhVCSaubnRx2awXFXXgwnt9LAp
DzRC1G5n3ciBQZlZgdRoCJtOEKw7SkBZRwBEMQG+vm3DKFBvwgLFOYdqWRnR0a6AGfhcDnXc7MfM
70aHF4063QCLNSaIZ4chQTGspApQMHFZZ6XuzH2YTvYJ4nUNRAqk6jmElKnEJOhcqSZhJl8Qs6cQ
0pz5ABH5QK70XnGP8pMzOIMbWU53b+wjt+vd4JgcNE+zYzc/mqFI3lD/E6bTuc3++qcAGHvxJZah
GzplBnqmhnb+JVNLJ3T8ktjLxjel/gGz2dD1XFWTAqprEZXp3NBMZGmarGqA262NO12QCQjP+LVV
lV09O9e1UIGZP1HjUoqkRtIEat9lhi4awBK+53cInHahoAfriTx3gnrtt/A28nz3utgF6fsHCbxI
NS0NwGJiEYJNtCSpvBoBHo0hFUaSu1wdbrmWfjWs+pgl053Z6fHGYqrLL16TuGCTT7DHIe1rWqSQ
mN5F99F+3pui85RH3wbUU8Rbq7rsjSzNAKSa6Sq1oKm0d6EZxiFRmC5aQZzmvtkhirVnZ7rT9vxw
fSkvN9BSTYtSYmgaZiPYYqcniiHJyDrdR7U0aDPtR4KYunfGREntskrzxwZZ5KbNXK6lBb+EHYRx
Mp0ucPJTkSiHtiNv9dgd33uxGEy0Uz6Pju5kotxxcV2/i2PAicFNjakq5cCMqBJofAJS0mJTrIuo
fACE01a66gaL8XxdyvlphkF+SGGEcgpAoKZL5mHWY9qNZYQNW0polX7TRKhWX5exrskfGdJOxSYa
zxHqgW4x/GjLxGkmZEhFsmV7W6pIuxPrWtSiRpi6rTDecbHWD6odwC+qj3kmgNX2LDEr/6Nqi5Ge
GGEXGQRQdmwSHx9gfwCwuEZnbGi2un7LYQKeGhML2mKWJ0JixKMqTUNdjLgt7WS0kNNXBrJPvRz/
QR9MKcAuVKYZmiFt1diElTIt+jRAELbB58piTtSP4rpBrO3UqRRpp5oO8bQKQIEbtjHyqwkI2f9M
Hf1n6OjhPx7ndOhiZckYQkogZnSqcaKT8yVD2yecJyOBWVf57KlR2O85UnOXknD8dV0ZdUuW5PMS
LStU2nWJG9/Nnv87F63iIGPjjrXL3spvv1G/iXfXZV5cI5ycqSdZBDVnIDpUkria9sLLV996itvn
sPrdpeHGVqkre8UoQfDBOEZoiCFZOEpd1VKH0sXgxC/+DvWtT2jfpzYqOnbtADP2Zm6Y+7pECrfO
0R+lsg0iOeB6RkpdABabKL8bsnUnrm0YJX8ELH8/PU8VJmR6X03cpv8MKGCB6ngyfbm+Q/+Pdfsj
RFo3X+cqU0MtcclNtM9F8zn7HBxb29iVNtLK5w7/+fJPIpdxJo47g8tjRgpauSnKTzi8ruoBj+xG
idvXyyV1NF/HexNTFw/teHNd6tpimhrRuGEsAQ2zzhcTzb+uYnlORRj3D2nGX3ncf6dWs3Hbb4jh
0oHukyxAyRJigPlDX67P36oKNcEsSP/eAzL4Jq6icWQRXZev3WBMYwsIVJHN8U619ozOXqMnG1LW
bPxUinm+an1QJFoYFFT4KI2raKJm/uP1fVnW/SwSg4swdWIgcbEYR0R2LgHDpBHQNPCAlGfkiZsA
CuhVRQGCKhoPSBLfywM6iURFz2Iw6rnb0FC9CAWlD5AWMk/mNgsnDIckdi/M35k77v19/NR92g47
V1fzRFdpNYverOZphqgipE6bo9+UZRsed0uEZOaE1sB18yUam7NPRqI9hCr/fH3HVi+Sky0zJRtH
uVfJkXWm7nJ+gY4Q2ufKCYX6pN+MO/YjvdleudVjpSP2MyilukmWv5+4wqHr9TY3Awqwz6vRPgIA
bQ/5hiUulnZpiX9kSJaYZnHeo06AVtJsPqt5/Dqr5aGOuyemh183lnDZ6WuyJKNrqzoa4jTBRNIO
I0PNDRDJ7nzIn+Nn/R6l4k9Vb+dPgGB/9u83DX757QvZOHMcw6gm5kYl2eocm4YSwgqjDOX63ZIf
WE/6MSU28Ey7+Cm+xVhh4NSOIgBs2lBc2xAuHQEW1MFEJ66L/rUXS5qnuNROv+sf4rbSvNXDcKKp
dBjUsuc1WgGWKFsUe+pcBEbnXVfoI8u/WE3M7KqoeOBykasAc93RKJ6xk4PTi/KFvwIdukNb846+
By4T7Dk7ABxwj2KVY7rRb/5yXb66JD7X5C8LfnIyWA3QZowRRGSyvWgPmotBtNt2j5mQnWazH1vZ
7OpBPFF3+ZwTcbpC47DiOUZNG6AxCSadiIKRRGvLTlaN9ETOsrUnckI/AjhjgFoGvHL6M6md4nE6
Bi7wvLvkwXpUXfaVJs6030pnLwsRy33ATfyLkWqqGdLx0ICprwHTX6KT6jt1/QOKV576u3VC13fq
DfNZDb9OpUnnoVIIgsj/SFM9dJt3860vgl0j0JW288dAWD+vG8zqmThRTzoTCgFQL0txoxsxaqKh
Ht8FfCvW2tKKSTdEUOi1P4yFJZTcnhzyG8MaTrYDhKV01d+603zCENdGNL5qmBgSR52bo2xFpRui
Vg0A+QnOekQOPWmAMn5Wky33tSrE0pB1EhgGkyPXmUTUCIYgcKv4prb2WfSF/UtGiMrNf0VIBpEG
mOcKYojQR6/HqEZ5DNOH6yawetEh+mYMNB4od0gmUDdGEU452ksR9YFptGI0n8yvRsbdSdWer8ta
NQULYbeOGhhHs0XalwHDtyG64ZbQHmdvFv2zf8ic8Ku+G914X3xKd1secc3ALaCNkApayKtlh4z5
JtwxcUgF94FK+2EBeHNdpTXXtNAtULY4CdOUlo+3fpFgOJuKbswx4DyPbkTZQ2c2AkHTW2dYu+vy
VuMt0K1QUzOpxvDPuS+kjBthvpym1hvcCv3X2aVusaOYlLEnAVRLe6/Z2aet5H3N2C1U2gyKOrdO
iKRn0ecIume4YIL+LQH2LcUYKsa23OvqfZSF5BvsRI4qOYu008o5yBGP0F3lkvvgu/ZNfUfrVoAh
4Da9jb9ER30XOeUX48a3y8ft4FJbNRltKeejgokSrVQZ0WeA2roZ0Gq6MzGT6Vg2cQp39oI9MMdv
bWAb990reR68SRgOAJPH8hd/UBX7XyoKFiqoDEVbw9Dkg8mMuNAbdYnMkkTMwIbEGMG8vtqrm2pi
zlnTUaZjluRejDK04r6C+8/I5AVWeBsWww6D3xubuiVGsp2s9os8W85IaL2PzWgbE0JK8EhcV2b1
JP5XGU4kyymCljEjgzKaPh40w0xtrSk+VbwQSqwchs68/9/kSXZiEkxDA88OeXVrB3AsQ2q4aWE5
PgvswNc2rrRVszxRTzr3bC4sjKlAPT0C4ClBi/wQmEGxFYJc3ysUIc/di5LxgEY+rK6P2Ig2cX/M
qxKN0+aBtfw2L7TbmERPVsCe1IHsMVh5Dyx8ardFeByD9Hmq2nxjX1eDWss0mW6C4AaI+eWTT6K/
WgtHZQbuRuif2M14QOddoAF+Nzu+rX/Od1vn7vJC1NSl0cXQXQC7DJFCviCua90qCUYX1H3ePU4j
sYE2xlTE03X7+eiFnLs6DSUbU2cGbifUDaWl7syub9PS8hHVzq/5C3NGigSovSnuVEBK7OKThSqE
djvc/n10dC54MbXTBR2tWatIZ+HYz/YYvYUYJkTRZWvfFouU9aOGjma/oaP5JBfZTFrFih/0xkdb
TUPQF5cCbYbkrndzF5NQ+d3Ggl7arqadCJTLbU02F2j9QmDlTg4YH0QqusLRuR1+YciggT20g2L/
D6tpMEzncYY9XGKb89VkQQWCHW4qIgAAQ4db0wBhzrLX68pdHn/tTIq0Z0wDVHIqB1+AHsjWlftC
/XFdwKX7PBcgnbLB6NI6KeHO5qywWfvQYCyjNrwhNu24TTbczJY2yxk8scBOn3qFWJUvegqsRHEb
V9mW9S3LLlkfDI8hSlKpaaCfci6CVz6huRktgUSwL0EUtLPu69t8zz4hFwZ5wWauuKrTiUDpMlUH
AHsToEyEWnZsn2EQVyRFl+2vb9NKeIJ9OhEjXaYjn9Tc1wagMENn9tqD3tmzB7YsGyBUjIx65gsY
UXq0cer95BGBIrDyyLzSCUT/dv1TNhSW21WxNsAkO2QOvB/sDuNz/HhdwEo19kxXXbpilWzq0SrD
tDYLj3HLgIlNetGlM4a9viaY2/MzF8Oy7qiMt8W0cR5WUv9z4Yt7O7FRMKwFHHRjyI3t9KB7mGva
+Yf0tjhogvzYCq+31lJyIrg2Z03J+sxNkp+W/jhEG63Ftd83NcqWNAXu2JB+H2UhTk0FrjFrWluZ
dVvrf29s1tqBA1kcBwqGYebAlDYLZQSM+WLOUoyeCnMsHvvbaNc7Kq5puo+e2Ub4pS6GLh1wk5po
thGGti8gB+f7A9Y4lhqsjtE5H9z2BXN83e9RaN/1feilscMwhGL7n4beNhwgKyKvub2u8MptcyZf
so/cAv+aYUJ+UTzM/sFMwHS0FSNsyZC2bcKkUFWVOWSUv8GWZegvobpxsayEV/CRJ+u4mM6JnYMj
bJgKrYld82i8w5HsUMaz89/Av4jU/f8oqa3YickACLN0A2UH5JPn8hKALccQA26u9pi+oLC2iwXG
zz6KzR1KQb5zfZsuLR/WjuKMqYHMENmUZCb4BGUcg84QfmfuePh7DLci88tNOpcgGQLJVBDVUJwt
sOa5LQeg0q+cJBh31xW5vKDPxUi2gOEcP2r1RZGChXYR979AAETQt+9fw5o8Asi81VVcqTWci5RM
g2QJ96MEgeLggPBmcJlTWG7khiJExdVWHXP2EpFZ3t+h9RZ8z7lcKRaJOBgnma+ZovQz3C6+N7fV
xmpumYUUgcxDU6Pei9UEEZAdZoUzdFsOccsuJEM3a8WIUWBQRHPTuTrq7yCHtP2D+rgsXfeCQZfQ
3q5frNTYsHgW11DP4yjryZUafzKHEpPwmILvHPAX7AEy1Vu7/kEOIAR86RSBWOD57wvJqAwh9uY6
BBqmJu0YuAIaMlcQSsPXSf2FEMi+bv0rbupcgrRhVQhyorShCq7j6LvuJW5VwGs0r4i5Hf1Xuku+
Xhe4tnunGkm719bjWPIE19kwaoJ2d0Vh7g3l8L8JkWJGroY9zzisEDP7ETIU/51soqOW3zi/J88X
TgoYeVdZ5QB8lgCTqgEGpsqN0/Am8U3iVKBCKsE59/fYuUWkCR+/dPJVTRJZZ2NIq34wBPgkcoFB
mtnW0YgGuWHfbpzjVXOnzEJvBuVQegF9MBjI6/iYWoJ9Q2Eyw3gxOA+ABBPUpu/z7HbPgPsgRhXX
d27Ff6DsCxy7hexdsxb269NbMxwmpSNxYQoz/530b2H+5frvr4SfyyEGok0lOtMvqh4VuBxBj9GD
qehdBf3qLvrmi/T3MjnhQL0fW1nscnwkKzkTJx0vo/KjLlZzU1SYOGL510j9kqHJBradDb0ur/9z
vaRzFWJ6eRorQxHacXL6O12o+1hooD7ZF4dCAGC5FVpfgqb5uUTpkFHqj0uIAy6pXXs3iyp8MZBR
lDYDHKx8UnNRtc5sgBHKBhp+I/rQlqrjtXWVjoIBigtS51A3PqBcH9gpytr9HS7SxA49UFc8xz9a
29rl7gwu3QRZ2tYXrBkqvLKFzo6uYiUkQ4XLVgelXbT3v3YzqBq6Lde84iktjnaOCto3HXVqaUfb
uuGZZjWmwKgnJvMxEhpi+tvfgsquicEwgWoiPkAio0rbmOdgM4xmBAXEAhCtAHXce1Fv1pCWYE3e
r1Mp0n7VGca3a4JbUv00e+nD0mWmb8U7fa3RayB84zSsnboTaR/WcxJ7l9owz6WGpcPAHagjNAxt
pzc9fHXdBU/XD97q8qnYHgavhZKIpFgfT7GSZ6UJsmBMLRnPjP6K5g2ndSmDEkRN6JkzwLJVue2a
akllpCEiYctAexcYyAlDbRiJAVPkX89bAGYJXCfw3xS+kckQcIyyVZhTxRUTzJ/C9tnovyvD4/UV
Wyk/nMtYjtbJ7uCpA2XoQS6zoH1BK41bbAoqV60QgqNVfxd3DSg+khqTnhO3gxJkQ3ZHGNlwISuR
D6CsFLB6w1QxckakDAZTbEEeJZn1gZDEAKKKCT2bu5gFEmXpRCKAK93QfG0jT0Uup+RE8yaPc+r3
1RJsza+qN/5MRSh46KlPjVB287GrXLCdboUNK3ceJUAiUSipIyKhkq+yMJ00oZwcuOGhFwZiPPPA
XhaJ4Iv1rJcNJReLPz/q59Kk7dUiUIBXoIRy40N/qBxfZNzxh0Pogdeyv8lQ51kYYEw7wBzw5+pH
SjdbfJfH//wLlm04WeYUZPF1RjgqWK3ikvhbBDobPr1U5dcNVRcTOVPVBDm4Aagcggbw7zHpds+1
DpTQCGfdBUAzi8aJbnyP7zRMgBiHDVkXyyrJkq4DExTpEQ0gaxn2AqWgEwswzljecOTA8nK7/NF5
pl1jGN9OBPhE7a0b78J4lw/gBK8jcBXgb0tWlpVWpPtG4gZwPboB5tNv8VZ4drFzHzIo1QhuVuBL
pJ2LFSBsWQYOg9lHxx/TdMGIOc8EAYW2tZ4XFzj0wAQWjj9u8WU+6dxI8N4DbwMTsHkFFOV43OBA
dFMsEOKhN3dlmuDO0HbNCP5PNRRZ/W1uy0NqPgf538Owli/hqD5zRBIq16QbOAKvgYqhrMSlO4Sk
FdLzn3wf3Yx7y/X3lLrAKapu4WEGFgF3tVFuW1sGqpLlvQzgeiiRhAcYb+VzhRUH9iG0wQI0Y4aq
HDac7eW+AoOuI543DYvB1Ur72oJzAWw8KZhqSXBgBL1q8w3E0Rhn/7VxTNb0OZUkWencZIMSFpDU
uHNhc2/el3vt09TZrTuI3B32NSh8d9eFrspcnhwxMQaJeRmpRQ5CGfSOmwQyefTegUYuo/mGuS6n
+9zTUCCuYB4m4WjXytNmuumX4eDHqcsMZdcOGdgc+Z6X76rlDuGwET5tCZPWEAAZE/PbEJa2ymMK
YuYgu0+1o26Rh4D9dfwJ60ekgYeOmIE8Uw5uIgAMAmVoUzczQApMK5jG/UI0+/dbdCpFUikCGW44
qZAyql8j+qCV1YaFr9nAqQDJPQ+gcsJYboc1W2ggB1ASJT+vq7B2hk4lSCdV73vaDCjWuL4aV6/h
aMY3c0dV2wzASlSklrK/Lu/S359vzHIhndyiXIErVgpopOpfZuNTUx3RHrouYmPRDOngpPoA2hUT
KuF9GKdQa1T63/83CVKQN4LLTTciKDFlz+HwOwANxXUBq2dlif1Rs0BgI8f/k6mAq36EgCEpfoLI
HWyEpZcW/CVro5soK8R1cZdGgOAcNKDLyBLCcxnH1S50APqspG7FX8fp1ceoBpjBUYPa2PzLnYEc
FEgQMWrLvKl0O1ZM03OMvqTgTDIKh4DG2o583b2uzCUqDfZ8KkUKTON+MWg8e+PGmk0AUseUeuyA
RqoVvrojLoBhgjth+jy6hQg97nT+kXpkD2L/6x9yGSFLH7Isx4mtz0ivwh7M4G41YJY393zR2ujX
gzVFZCJ0t7AwH0n1uTtfFEchmWmWyTBbeS4PjDhDAN6NDLfU4I4v4D35HN2mItsBBy1ml92G0HjE
ExNiq6pwWdj7UPWPaMkT1sVopiwIMYLjjUIVkZugUOQ/cLc4qK4GXkx7C87+YZQX2gJsi9yDI1P+
SAhPVrcABWoyTRDZpM9N7mXGm2r90gEFGitwTfeTo08gqVY3IptL/4U1PpEqmTDeMQHvfQz6nyID
wrfDiyrfDMwqXrecLSGSBXdBxIfKgJAUGD8bKHM3K8lLklRf/kUOA+4C3WYdAfK5wUwq6Lgx05e5
LX0KGbI244V1zYYyl73fxTboHymSNhW4EmlpQErnNGj6tofqJhZJZSvO6AwC7EPHJTsmdnwz/EN6
cS5bPoIEhPlKDxos2nTIF7/7DHRyXN046ev79UdD6eB1ehToE1vWsVtevbKn+hUcLhtCVp3nyTJK
R8zPxx7PfUGVXi2PYCJxTM7EdXtYvQdOREjhhga2Jr3OoIdm+qBqBbvHUmdFhk0qZatqcVFrlaxC
CjwwsB8OYIvBwwDIcoPbZtfvBy970Pb/kOOe24AUckzBlNQYkwVj15fue/1Cfi9zPhEGNYjXHAbP
2oFdAfm14dS7rXL2hmHIoUiUp2FFshhIEaTTcQDfT5ldDGzjiH0kc5e+8L8GKHO3KAM45GYdKjYu
nj6YQNHtgLdbBC4ArmLCoRt2wU17E+0mL+kdsjfvmRfe82N1KN7QhTkUG15yw1ZlBpe+SSzQQ0Nv
Dlpo3wDR/vx+3VTXL1cGz4/s0rr0XWacRnicASQxgxPdLy1G8Mg/pDZYMN1IVH8dUsKE/giTqxRg
+SljI8DsFGabQM6hVBGegRrBrrt1hy+2eLGRJ4LkExiTAc9/4ZAP4SNLQSfHTG8KJ1sdIyehR7xo
4tTF9+tLubpZJzKlk0hzEFMOi49E+8yeMkwLtFu35npMtoxnEdAKoCsgeciRssoaSJahfDfegZTr
R+RaIOe8KRzFoaBv0R0U7THtH4l0Vzs53ktwtmzysruzeJyTb5AcqA6OWjxAgG9Q9vy5+xL+xBsb
CKzBMWer93jk6AuwhnfzEfNqYBN7yjaOxLrBnoiXtnYBEBcqh3h0tg5Z6QD9J5ZyqfXF/xFttjxX
DelEmrSpUZCNAORBGnjInFnFtBPoEMPP+fCjILUd0lvf2lJwUeDCdjmm9FGKIVhrKe8aey2LcIUg
arnTalCH2pqT7Yunxglc/6c+OXiwR79ZvCweWNsCDq0aGN5ARQ0DdE6XLDNpFSrgV4YRg91squ1R
gPvuV+VY962dHOYdwtBdeD/fG7uFlojcpk7njG/Xz9GqgSFf0z6MbKlonodToJirjTrBAizURJrD
nAqqV58TEHWMezBeY5L14NtsT/Ya3iAAF/nGNXAJAcKqn36AtOlJHxr+SPABGsDULr2ZRekljyDq
ex1eqzsihk/bfFNrhnYqc/n7SRhupjVeY5sgk3Wlh6ftvvvluLzsoj83qGvZeLjjqNaIz7EuW/qu
3a4YgltICFA8Amr9XDRJWawaQQV1azxV8dSpP4N+y6iX35CNGgRJKGJaS1dWrh2HeDiFhEq73Kxq
6kX76gNxp71n2Qcp079AgpZNBDMOpijQRLponfIa1H+90mRujbHgWWD0+eYlOC7YzDcQDL39NTYC
bxRjpAgzsyZ40YmMw5+zzmjbyU9dY1AeeTRjkvDfRHC8aIo8gzMiOV6SBXgGxIeIOn4Kte812xqN
umz+fSjxR4J08oYsjvSxRuYbH6J9lmIY1xS1O7t42xPuZn/9nK958o/Zgf+rj3TMUj5oYdGgwBCw
9mcSmc/plL6EQ/SuDe23qYxvUxLelYUiRq3a6ZVxB4LlDU6UtVz/7BukY8fxeCDqm/iGVizTbnig
xSPu4mrNn/qj+pt6tRN42j78tVXVWDl0p4LlWlExx6TFU27w8mx2hxhJXJzdWrzaSEUuofPnWyqn
98NI6pB2kKMjP/A/LxPyIKwucSbo74/5FABRy1sVb3SAuREd1kGALVzD7bJlvZctXelLpCwZJPtT
PulY6qa22S7EKDSQ+/QBeBA7/64Durw5nbC1xpJjoyDhVPvFnBEvCAuvnXHLY0G/cV1sSVniwhPP
3Ub1hLfjICUhhhv3AR4/Bsos30j01m7mM4NZPuNETJUCmJcoWD68PtrjVTEHr2aIntv8dokEq53l
zjfsHSN5k4hv+8/dJ7xPEYPm17l+ale1hQtCiIB+kSm3pGa9B3MoRblIU/DIzPTD6n/E1haX1Uoo
jV6mZgBtpmEW9APddKJrDn7QvMkgJDXf8c4HHhHeiDHWBADChrdOl5KXwaXKc99MJR7XWE5fMh8q
RMl1G20s1Kp7O5Uh2btpZSam+CCj/ghjsEdHy33nO92NPm0dri19JEuv8LgpmVIs2FxVlaOBeA6P
faZbGi0OWbrEwbaEsjMaoYC7yK20OsAbND3GWqGR8sm/sTxAvpf6JHgqu7v4VsfUA6DR4Pn4F6NT
NcwnojyJJrRMkdRFXMdbosjLI4wDAxKOtyo1vHFgiL+3bfDNgu6JYAYab5+dH7HUqI1R66BfbIEn
EhS3Gd53V/BE2XUxl+A8eMJTOdKl08QZUpgYcswjt78tSXdgHwBWQ6W3dPGc2a4j9mZkv3Zw/wjF
sOe5cjxX8IZOXnzUNm6y76rIboAIvCscPExg9+4DXoGIdniI3QPpDrUtMe2GfYmHyOytYs6i3YUV
/XeVwUhx/iEDSecY3FZLArcw77SoV4X75O/x9B+LzDH0bIGFF7My52KsEQTHGE5AYawm/XM9l+H9
SPG4+/W9XD0SFIAIYMxgM/LAeodnNZEgljgSJQE6IBZDOTtDS2x1eBqLn1WbbdwDa/V6kMb9V6Jc
C8sLjnfaLUhclm84Zk6PzIx56c1WfLahmlwMM0AXFGjgpXbnXv1K8LCpFXM8pxh88i3Q/UdEgF14
a75p2fsL2zhRTvKZTWYMfQK+eASg9QEoGi/Z6TvVpftgs9eyeh5OREku08fjlmVAFlHm51Z7irQv
+fxy3TjW2jm4KBdSJGBIqCkz36q12tEmqFGGcnJE1BUGnDFnZDxOAoBmj4v0ZutwrYYJ6NqhNrS4
al0Gc+h0SsegR9qjPZYHPNSys26XcDY5ojx00982Hh7CPAzPCmaO8iN72q6Y/D+U/vMF0sEDUqVP
BmC8XPaN7Wah4UE7xTHfgPcEpU+H8FMM++Dr9ZVe28xTraXERauDjuD9H5QMmreQvNXZw5htlPfW
qgLYzD96SbdDFScKZXhlye093bNuY8+6Z4J/692Fuiv/xQU7/su1fipSuijaBq/htipEsvKXghd7
0LbcuIs2Fk4G4zZGiJzDwMJZHE+7lYCn0a94nm/jYl2WXz7W6KgytMcwjwaM0bkvVmorbBkeXXJT
BfC0EuhfJ6jTIx7S0tEXCRQ76tjGdq1FRKcipVumy1oVT0Wj4KDPHm0o0L/1Vji0GLKsFRg8ASZf
4AUQdq4Vnh6ENiWCroX4LO2d9sXEG38uXhy/TfCGhIM3ZkQE6mlvKxxa0+1EsByHzZNPzXRpUBO8
s1VZeIqG//w/pH3XduRIkuyv7Jl37EKLe3bnASoFmUkyKUq84LBYLAS0ll9/LbJnpxORmIyp3n7p
08VqOkK6h7u52e3ztLZgqAmYoJGlbDAq/YKLALyEBIkJDSrs9VFxLfNkJj/aCmWQ8WBOKm8eV4aD
thmwCFA4A3qbmaWCUHNdt7GOeXxCTtfHteWO2xmqvcg/OtY+3Yf+dLo9vrXDvLDJOJoq7wwtgnAN
ULf6XruLn/VHdD3TyofkyO4EnWh3Hpy/UN9H4Af8NhK7IprVWAQ3JDryZBqsFLlz/ZWmGqAXRKBG
5wy+7id+/xRBCYAzVOrIltt0aZNdyyIQmyimaSN3cmYXqhWiTdApBJZFu9yLX3hxw0oWaWmQ3jkX
m6cbel0fTNBIRnUFeYa0um+b2leD6KFUoKhVK2A9hJBcpA9f6naG3Lvg3h7y9YbCBwCjCqYoCah7
lp2iNLsorCmbUTL+iLLYiYOQc22u7B+cek3VwWkv6tcdJn1pULQtKnPprjoO37Uf8RmWQl1c0CM3
XTrBkVd5ub6rlzaZhYSibW6JE6XnbALFSTsE7No02rOZ8UhFro//0hKzglBtGQozB5Vc40F/anbr
R32yBZtKFSKCMR/bfQfFQbfsXfLE83k820z4APnjEU1v4PrSWslOzMLWfNF4x4CHaOasokJPOXs0
NCQxVDwrweFv0G+52KlBFkADUMAqtq65ad3sNIPNdb7TnRIa23b3phCb8rpq3ujQlku8CBOALVDt
BVuN7JI9alyP3WPBfyP9i/3155cxwQZKtdB4JuIf7I8G+hDASIKHdu/0XtQ7BPLdPgEgS9rdPjkr
STq68n/aZXxaXPZQyalg1zyATflIR4/W+L35ETqxh35D7/9mj2XS1fSpKuQS9tQSTlSGoCtEFAFp
mTedO86evI3QPswxunY9XIyRJW2oLDRCQz0bbHJh69cDZDOVhnfpru5iVFSQXRJBMisxO6uAvLVk
tdhZ036AvpI91DYIG3bRXnfNZ9VtPXIKCkB25Dse3nklu4AlRF4LfHVUdoOFr41kboUsA8GsmZ4r
H9W+StDJ0m6VQ7TL34d7qMq3ryC1O3HWcvV+ujDMnFworEGKp4JhyFClEAWz8xfVse6otoN5n+yC
B4kuKO/Fs7qaF1aZmSaQNGyMAc67j6DaW+HG8EtimpyrYsUKenOg+IQG8zPX/fKmqARIRVolOBWL
srE16SXKXm7P3ooBDQIiYNKXKJkI28EuTq1cTkqIrRG/qkDCZdPP2wZWduSlAbbgYEJ5DiKlMCA2
n8186pP7TjgR67mweA1+KykKkxJrIkuMljhJE+m1e3Gtit1gCokmRXjFt7sOyjJ4wzu1zV/76wjc
xJMM7c6A3lGmWsZP9aqFPtcxA5IEbKsQsG/eesiIZ8TwFdPsOWf6egKXxtjtXc4IBETwkoST4RTa
keRHkv6c9bu+395eqpXU8bmPXKFia0iEn39+MYEkDXF5KEDIGEoHUTvdjQoIRPWRW0Rgp9Kbo9k3
u9FqPVUYv+pWk2O7RL8fRS0/gsaVFx+RNQHkBWt8BETEshoKfpnOGSd1Jkv3Sy2YJrCnCtL9BuNs
glrqx7HQYk/qiOig/WCj52FuS1b2OtapD8TSfU1jt7AQ/NszvLJxLi2zbiefQF4S5ToVsesnuyHB
Vg7j3CHG5LemwNOeWUmJYJCijA0qQ78H6JnlVHZoD4vHUIXiF3Ss/LyI5U0igbx5iKCvV0NkGc9h
c7aRqXyb8jDwBpBH4iWeA+FjEiqcOWabzuBGsTSIYOf/8rOYICNPAmREe8z/lBPlDfJtwHd3Gea7
FBJHm7X2kIRh/JgGlry5Pf/XroJOCETJJPTl4PHMHFxJE6xe7szYC/TSSSyo6om1N2YFJ5xZObIL
M8yRhRZ4OgmWEXu6eYTCnItu6p1OXhJyH6g88rXrCxxDkgCd0UBYDaZfJscRo4czQX8uerWkxGnr
H/HEy/yuWECaGSQn0IqQYYWxAKbfQh9KyNdQ8qfhqKnbgHaoOiV6+puX2unJlgfYO7NWMFtkYZN5
m8vIPuVVB21l8zt9rrbPwR7vc4j/vXZg595lR6gOeYI3/Uzfgg/FSRxpYzw199WLfJ97ut8eeHj1
lZ2z+CDGt4BKVQffKDSRCw0SyHXmJup9GBicF9CaFRAnAfpLvQoSIcsDO0cF4gogbdyoPaXZU6D8
zJKX3z4ClJtZkWQFrhKwyKUJLPOsiEUO1WpRdEdSuHl0MLTH20bWbp6FFebmidJG12YdCjrQyrW+
9o/5A/EjPCLAPW05sk0p8njZqZW7dWGSmbs81PvImqBDVBh3etF5ZQmJWvKzaibO6V4zBLg9Qg2Q
u4GKkjkPpCDtEJWQH4K+klN2Wy38poUo3MVvtydxxU1BqlxDJAPmUvCFM24KG6EzyxBqPeom2ib7
ZDPvYxSseM2ea3tOR1oPGTfoKSoKsyEsZENLEptQ+5a+J1bsKcoeXsG7PZZVI4YGWgxZBr7QYBZn
HqDWXRI6Z3KdHlHphRhxJkZuEiYm5z1AfxV7dYB5D9sbuVFUQJhpqwTowJwV14pItxXzIwYzgir9
yrWjnEHZPeeYW3m6nsUoTZCvAiCrsrm1dArq0Jx7NJaDi29W3FLdUlY3KHq/qODJAwXQq8CJqa9n
E2A2me4LUP8g1mVCpNJCS7JGkJFp8l+a+FMP9iOyP7dXbCUVgDckIGUmRZWB4pmZx0AbCkNq0Ec2
ONJXXL3ziwDYr+DoKKic4XOBaUe+wrk5rp3Nwir7XFCGUWuhkqq6NdXPnWc7DXk08iuJwqUNxrmE
chBpanZmm6S9C7nfbwG6Or8UBM5te31XLE0xbqMrQdveErBqmqV8VxtQMJfKU37KIHl/e7mudz0M
Uf0/XEs4YWxywYKq7lDPYMYVrcbrw8CJJuugErDUm5Gja6NbDw3nTK/vkAubzODETJYz2cQ81u7o
iu8VAOH9tnJnYB0Vh9jmHR9adR1ZYZiUih+ZKETwbBEfT2R5niaYbAig9NodyV4SwS+H1taznPPw
WtuKmFPEiXCT8hVgoJGKShUrMKy07b4J0ZQmtZwztnKOacIYNKGAPNNiztIXV1GBnj/kUlxRgCJx
LLhCpR7jIv92e2+sDIT2UVPFBMRvIItZmtG6JMh0A3xTTSM9WUL4nkFHnjOUFY+PaAKiFshLSyDy
VhiPb81kmqMKdAmF6jdvyTb0atFGTo1ITo/+ReOXFTpkP3OGtvJkReM71TqkfEiguGTMSiRSYo3u
wfFDRJVBuysOGZhQBxe5ynrTbX9/Ji+tMW4s6+WiUFVY0/UvWvUWxZzrYgWDToeDoALFGmw69tJV
5WLqlAxMZMEh2ICCQgJZuKNJ0HDBDgfEzppR9O0PkTvHyE+GXyMuh+fKnlQMinmSkRSyQM+w3Cx5
hyumkXHtTxY0ztMnXWhtsO5zztb6uv1phiU0NoM2zSXK4KwfelcBEypxGwESQ2SLFrJvvHf3ShMj
5hVIGZpyR4stm3EnU5oWKI0J6CIOT+Dad9KHSPanQ+pDRcm8bwE2jt8kR3TlrdIfEtO/vW9Wrq2F
eWbfoKF5xHsXDEpZXX4xrXTXanloo61mI3W6H/YT71W45uMWFpllhAj3bE462K3UjfUVtGsb9PLS
3mVaPmi4Zam1G+Zietm8Bjxc2Sgt6DdBlYLOBUf+DEcAvAIILjtJ5oCIHpRoTsvTvV3xrtiNKhwC
0lVoImMuNkGEk7My3DnhDDqYcQIPWjpF36I2+5YM4fvtNVy74VQEQhrSschzAyO6PBkd+jPEKJkt
FwhHBCeNgQYRKr6n2yARCQGNRazybyQbV+Z2YZb+/CIfls7I5xtEBOXtUG0a9ZTH4+7/ODJ6J1yY
0NQWik3CROtu0ezMkUvm+8CVd6Mze+1sq8S2hh0fXrmyfIuR0Z9fmNWTeRStGXSAoEty8kjfdwCw
QToOeaGME1au3GoLU4ybGOa0KdEdEnp5jzae1rQlYE4UImxuz+RKFIbsoGgClQdOlqsnm5lWY22M
GJFSlbYinybD8NUosc3ywWqKu0D5faIU69Igm5sRS0PsRn2EQUlySP7USy+xwoMPrE0eLhMFXIA0
t86CDVXgGTvE5aEnAFGVRT8hQmnHWuPenrs13wd09z/NsAhDa6jSWSlVrFEEGSDV0bbF4BlHcTfe
Ra/Gq7YRXfQgta/NNsHpuxN/RF9uf8GaU1p8AXOfNPoMglARX1C7+p4+DNCaAHTsM8CpG+Fb8YNj
jv665UuVdrz9OWAmflaHcKh0A+Z68L4Np3BvONn96PWnCBg9jq21nQnoPER/KUvIFcWpXKqSVsuw
RfU6REdy64dw3wDncsKZm5+KewOAFyl2W9kPHC4WZO0Ou7TOnHS0vo/xKIFsbn5GI+Gm9MdtM0Cw
Hjmh2UEv874IXIUXkq5sWyBeKP8KpOk0cHctr5exmfUiMyxUAfvQD3OoJaI0ZBodL5Sh9z6zjJQZ
kXLpAUyEmGlpJ81lsTW6xgLtaHIS7Poh2PU2COzAYoFmxdzholVXoomFQcYjgFYqItEMg62rfITi
tgbyA+nQHMAMRNr613L2kp+aI9+FLheLzxss4yoGksTG1MI2ZZxDN4iJCN9Xd1LgFS/Iw/q5anOJ
wtY872LAzPYJw2ZMBNQhPGub7+bMVz8pfDzwOwsRDaI2Yuuzy8v4roVQC6uMzxg1Q4ASFKz2fnas
H4sncwcOSlfv4eS54KWVE6IhL4WCFO08wQtguYlAGTpLowDF6m7fFnZNGczBQhcjkVRPThjY6bbK
gY4PeEHN6noaCIvPtJfIaC7tCglpGwMpCgDS4pcRQIF6+zFCjkAAyATdpg7nGlod5oU5ZutK5WwN
vdYAQ0Icca86Y4RYHNAe0C3jDxUHSDTu3bdmE1BJlPqAigBCiw2+iTlMI+mIF9V4E9axXQm/32YK
amodHUMoo9M1ZE6FmHfZLKUBASSzeou/NY50lxzitwoFidYpD+JfCbgXBpkTUaCVI5yJBQXCr5Rn
Wac3qunOm97LHgH/BzKo4rZyrB7Dy1Eye1SI2mgA8gQUPT42jJraeKC6NGTLbP0DrK02GPbyDe/t
trp8F3PLLF8/VGDS6kziGamB3P7PAGVLzq5cOwSXA2MeS/0wEhxLmBjgGtGdCArw0MvQ9027ppJn
HnRkLXGGKg84ddGOgnQC+8ofkLuNogwTCZXW/J7GOuWzHtsWfS29zEc01Pnl5i+00GGTQjsV5KQK
wIksqV6ah1JbZjgHRflohtDnMiO75TqnNa8LVBvQu1DtuU7IZCDXzQmA1+i4BocA8sbNSUHUCAru
B4CGXTB4DnZWbQF19W6vIl0k1g1fGmb2iSTHOihmYTg1BKcgja3EL011NLsdIaPdhi/tkGxvm1w/
EReDZTZOElh5W6IP0Rv25w5Xr0JjDPkBsV3oeGfPaITkVbnWyg0QvP7n/LLVJ0uPyxl6AjiEIdR/
NCC6QPpqZBQhCBk2RwwQIfM27Eo3L7bOhVEmlOpJWwStbFAvoe+B5L0jX6tj7hOkte3+jvaXHNTc
KT3Rl21ZQOty7YNAqX9ter4LoVfbjXVmRVnDTlawzHmERqTxfv6IH7X79KFwZFBEBM/Vzngz76a7
irPSnM3FchWgJWkq+x4LHe/MPSU7UjbNjg8sWgHRLSea8Y9DIOogxjnfRNGEdmWoij/UW9yxVNI8
f6OXrI4mBm5XEndbMR6Mkl5nIHmBQ3ENe77vTRsUX/o9DQU0RwLsdqO93D48a1Hs5Z5iXJg1FHKe
9rXsdlQwqkUDsfWz7tAbKB5Fk2Nr7W1J+fJBk4OcqiGxtVRU2uuyomEObaIxVTu6E98gX6Xtqs9w
M6JgUe/zxq7tNtmMjU1bf38QHo5ibePiEQQYDu0nBe53GWoB86tJQzBQLzN45CdEU+G171obTFZf
s6+6HdjSIfHD2b09z2uXFN6YoGsE1wbIfNnQckDqXOw6jY4dqh2Q99XjjeD8QfWdPJvQIvd4F8bK
cQH9JXDq6CISqTLOcqhlPkTZJNJ4yPiCAqkdtnv5UQaReQeKb+FB6J44Y1zxOguDzNxOmiBoUoUx
0u7EUHfBUAf3rX2n8On5dfqifkkdiwPWWDusMIr6KCqweFOzm6q1gBqDLGzkIeMyuvN9WNvajx66
h+Oe0hlE4M1Cgj4/8IrpK+wRVFngn4bZrM/cmGBusDDaFg3R3TvliXkJQWpuZ6/zJtpZyJQAHD6B
s+yVG8GvxEoL24wrEOcELb100P1XfU85ciIU/dSH/Jh7tcPXT13LyeioheDU4OSClZ9BWwRNBkjl
EEY4NZKvI+BMRbsF5RTF9FY/eMHm6tRemmOGR1JF7Lu6jpACqu9N+Lp5G74ad+hotEA7p7ugcZB9
BYE2zZMUHC+zFhguBstkhJqwq2pVLiMveCWPs5tA/qu3S5RSkYodXPV+/B753OTM2opeDpn+/CIN
Wwpq13QBZnj8SN4p0WkqOcaBvKPXwI6fzJAbw6wdVij5iCaoxHAxsbBEvVczZO0xx6Yku1X/EOL1
Xvecgvj6XF5YYeLB2WgCIQc/Pg1EvWAfIxb76CCAR2m7Rk8CBN+ZuKjwNT8K6lZIKuCGV6m4+nIy
JZUg5WdgMifVJy+iJ9njto4dgBgkDRU82m2l8ArV65sWJEBoZTtjx5gwFBzyAUTscR9oSK9NXnQ3
PncH5cuwoXiNZCeldvDRN0BdlZuRx+K+6l60P42zaduulYYqCGBc3Hdvkttt9McIaBF0edUOaNIO
/CzCuWDNhICY5H+Ol20RD6QGdNczTArb5pfkA+2foBKDF1TznXImpnZ8lACCcKYdCJ63tYO3I8ep
rm7hiy9gDmpnEDDkC3Bwivgxt4+TvstMrhg3/SVXwzwLbhoQPoCW6HIvCWZphUSFERLZI+KWbjMi
zFdKZ/ToQ7vwbjvRlR5u4M0u7DFeu2j1fk4N3D7iU+8KqBoaP5LP7pT6YWKHh9LrvSaw47vIl0Ob
fHY72U6eeRN7fYCoxiiejiJwLKiCs4XhQSqGsm3PxxZlYUiblrJnogFpQByqdS7yGlyTKjvP1CSw
rciOIz+ksdwyLQHSzpCTyJMexL25QeZtLxwFsDdSIAt4l8sN95XMM8mc2CJrB90w8IhpLfR7qd5U
OBQgqW1K3a6PFCCZH7hPx6sAdDlO1pWa0PCtuyGmrrQON6oJpkTwk8V+D4faGVu1cyLIFdlBa4cu
tz3oKtyHcdSbJZRP0YuNZq/lZg7SQpEKAZPc+u296tQP2UiFuYqN4JVbtO14mlOCWfy5u1N4hYDr
yZaB90bbK2RQIZjAUpAkbdBZgTomXtmNX8NA3IP/k3N2Vkz8IfcE6gMgDM6X5KUPjVoo7ChQe0iJ
kt9DiMl6nCLR2Nw+oVdhNZoVsC0AewLQBTRCzBwqM3CUaliorlk1pp1186noDWfS289WqKDAWwVO
31pbMhen24avozDGMnM1aM1gQDHIpHxl5wyZkz4DBm0bEFMTHnmvBzqMxb3HGGOC+QozUGZVqLq5
Qhwz/tXJklN1X/7KkEDzKBnIxNH6zXJDZqTHgyFCC6D1XO4saIJY0MWNHnHDocGRGzavjunCGhON
5BCTGTJqLawcyCcPI3qh8x/VR/wm+uMmuaclxhCB3uTeHibPLnPRtGj8mNMUdseqd5TopTJiu8XL
5LaV6/c1lgxva4CikZYGOJUJm9sy70k5m5YL+e4CLbtpZ2e10wGLpdrGkzHhGSZV0Pxr7tqjsS/c
yOdeMGuHA4hAoOYVEJBcvcYmy+hKsUGrHERLj+FW39Q7+Y02ARqe+LVBg7TmCE81Vld45HqQqxDa
Au02AHZosoffAvHPci+B0nsUIMqNvohdDV/tdicILW/QXrMzNibcpM87IlduEnaA2cZ1ClIeQKrP
IeHFhRN0vanPuUHrcBR7WYzgfwg3yU6N7NDRNBcPe+/2Gq+ZNFWgFFFHQVUaDe7LQUL0OCpi0wzc
GOEdpSu0q1fDM58lp9m1KBZxDbJ7F0UpEbKwKvrRJDyyWSqlYJBIpcWG4M4PCtB9VoH4LvaN47xp
f6VH6Q1kNjmXJurcInt5+1CrFm5ZgAqBsb7aR0GtjHNTjyH47nvXQo0jbkFkEyGqRJbopD5Pbgg4
k+XKvLbws/+9YZl91qeGGALtM4Xe0IaeNIR2UCBZVQ1ODFhVq2ROaIx3JBROWf18e23ZyOA8ZhD3
qFQEFdkM5pFdzG1WBAEsZz0aWvFGSJrKboYRdOM82o21RQVyV6F7Fn0orDZKLYSViA4UpCuKX1ml
bIIR7Wmz4f+FAf1pxWIGBLIvOUotWGnTVzQr3iE0sS3zPmx4T/bVmcOlZ9HCH8XXLg8Fco6TAVXy
0Gtm2RmE0Lam3BXaH3Gf7m4PiQ0xzmt0YYlxwWlZoUTcw5JWWfuSBN5Y17wUJfVCyx0I4gqo+4Io
BCUi1ImWoyn0bG7NAUifEtIuqV3fy450H2zAIegIpwRAXuFpaLYhMKj8/p3r+wVUe5hG9Cui90mT
2FedmcYI/ueRoDnPFVO7sVPXMCC/iFWcvfoEsqNNxgkCrjYjWLJgEHkGC+K/wGAvx2vWVTO2Q5F4
enXso4e6ukvj360NQ24EfhG9hirmFq8LZk7NOu0bZH4TpF9BQaw6IoQOUfIGrPd7heSOCNAE9+Zk
X45nmyiz6wh8UTplEd/FDCr1UJv+0CAMt8SpwYm+axGvkTsV/+Jszes7k47xwh79ngtvNKedmhB1
Try4sHtET0+yM780eJMLGC7KRIlTGy5IbTc6Xo6b2+fiqjiFwYLlDGEcPL+OMIQ5691cBm2XC+g1
i0unrQq7UHa5XAM5Lbj5rO5GTbeNcq+Dg78l1Svqdf4sldBiIndKm3tKL/p93O30SHEM6xhBhnma
axvqSbEMohyicK6mq3NMPxcpIpTTQP0BurTlXIlqMpkkJXjBA4kcDrYRPd6ekCsDaOqjPVbocEVp
+SptAOMlumnHyBelvawbLhJhzm0LV8fGBCGBCfQ2rgoF2W8mmI2lcE7lLpTdFjQZaTnaubQLeDWb
q8QSRM0BVqPaEHSqMF/LiZpyLRUaDVYqb/YNf9godz3KJbRaIx2KZ34R7HpYC4MskCuPtb4sB0N0
BeNU9r/qonbNkPeGo6Hg4opF2h4Ms3hyyGAIN1jRHhJDsk8rkfjMyl9xIm+iuriL2sJF7Hpvdd9u
L9SaMcooqkFgVkJmmbl7mjwiECImMtImAa4AvW2k3WAoYEXqhNKOSZVsp4pzHq/vcYzwwqjMGCWB
qhRtYIlAE9e7zqNM+sUh/YKHwGbala8mh7zxetWW5piwVBS0KFXHDIjGJNC3tRmND0Uch7YZB7/L
Dwwl58XIGHeRN2LUz00lu8WEwijWcBoqjgu+OryMCcbLd2VjEFLCRNXMFUjq4btSp+Eheq/eawC2
QWIMjyWEYUgpsAW6oARxxQQuPCTH896uXxIv+R5uVY8mjOeN9ZSDfRxCY812y8djXTVjsMbprr3w
FlI+FLUaVDSZgNdS6dIyd4M2heEdbPmecozuAaiXaHoResvcLBgb45yt6yg+gGzXAgUEfUdeWG8G
fSJmCOvqZhC88bl51R6yo+oVm/QuNR3xZ7Fr0eROIYWpw6svnePBy+PPWGcjbTJMaZzmsN5ZsZOZ
4SYzY8fS8a9u14inrJrspP2wBMkLSwsUBZMvRFBfbYgfRPFTZqKjtHgt1adGTd0iHNw2uFfK0q/k
2a201yLhaX9fnWb2gxl3ZdZQMy5UpOaCg+SDPR3q1EhUIhF7qo+FL/CRCOwJYA0ysYRVBHFe0xnS
OrtIgQRHydonD/outfO39L0+gqd4e/uavCoonG1S4lITaCw05DE70oyrMpkTHAdaUG3BVd/7k6eD
BzY6s5hSGZJ5D22iLdlmkNPilo3YOwzMV3h40V5ypCjRR8dMstamEd57OHR6fhcRdHgliVN0AWeY
VzNLrUBPGG9aoAAgGbvc+ZD6KOpihpWhzxyhUeyw6d3bM3nltFGhRZ8huCLQOYw0LxsaZN04ZDKo
9nzNDo/k0fArpEFoDkj2qUgc5X+9bfF66pYGmUGJch0P5ZSBsrf+GMZDgna1tny/beP61Jq0Mx7D
wnWBVKHO7I8gj5Roas9qVYNnyXZ1BO3+d+GhOGVvlDAYD+eDckK3k1dHDjQFVB8qNT9KMGRy0ax0
PIsLZPkpbFRUlHFL9LII/d4399KWkhzRoiIvwXS9VzBiBNVwEQBxXLEC1EoQ5RAWh1KCIPWJO4Ms
M7XJWBqDx5lbjiWVCRcg0AKsDJ59fnxfbONdsJl3lNoj2zefLbHRqjNuacv57EEhPoYijYc/OdaH
3AGD2u1Pud5KCjr4ESWBvQwP4PNVeOEZYjzhMzJjK7XBQ4Y2ueqlmniYEY6Ncw3uwkavtq0EWcjQ
L8snfWP4MahUum9GYqe/NA09Awr47vidVte3ONwdcrNn3CeC9quh9Yo8R0Ed++F7DCFxc6/0ALma
u/Ce0s2L/8YGunoTaoxJuu4XI1VMgWhh3MS++CRSFjrVaTahjicYpCOInwCANKa0Yw7q9aH7uzQC
rHG6DBfG814uS/TLxb4wqM1W1pPU1Ycq//3bbjGtbNNzroSDMhVV6KuHFDsXnOWt3bd2/qVyLUhV
KZ+GYKun27uUzTgxQ2Nv2Lof5Dhuy9APhlc1fEZJdjI+4t8VematMNeqovSVMZc4laP+KfainZHH
KuMK/1zFYqaGOBQi88jY65AeY85+VOJBH5Ai80e/qZyUquDgnBfIoGfbPwTWpvk4Zq7kBV/4V+nK
qViaZ7Zoo/QZAQVO5lvPkXSY3gkV4AFJYqu8iG7t8NWhrtcOoDiatUcG3cLdyvgRkHYQglahzIf3
9KWR3IMJdI/+pX0ra5xtch3iY2Iheo++B3ChUBH65RGIFT0qwKUseNWvcidDNzkD+AUcUf3jHxiJ
bAdSlJP03jyT7yoaIzhpjuuhwvwZkwfOO0BemKHqs4zjV0+CFyaKN0uSnwEwAJAwFOY4+Y6rvDnw
hZSlBFc3OuZRgWFMqcAsqMRKqZbk4EVb2sOiwSkSLsv9VRkUlhDTQGwXrFqg12fzhdKoZ/o0B5E/
j9JHJReeHD1VhXZATht9OrqbhZ0bQrJc057nYHaaaeK4KDqUpfe3kGWmcEMDRwOCzctFHQRNqfFj
uI/wvQbCRey/4YXngN7ZLlsOguraVS1t0RW+uEPJpE9ZE8GWCTzPEM+2Up3mgMcEsDYicHog64x7
QEV1fmlliPISXbNG6LfVUxugUW+GzvAImkP5qxAlnE25MiQkfMEWYaCQjjVkjDXiYPVN1RGcvUmu
D1rRxydVH0XNAZuO9heCYawF6ByQ/gV/EzAIy7GZJCMSMXGJUqZ2+D97AMzDjZxiN91TVFJ64BFv
XQdT1CIqZqBQwiZhE/hBXRhGQkTigwRhm5k/grDa3XY/KxH+0gRzacplEIlyBxOUZTPBw3ncUmJZ
aWNBMYPWznm+nGuR2fRa0E+kbWFRB+ncDsoZSCvPm8FPDuFOhG5M/MSLflc8w3KQzN7vkFmNhB4m
5ScKCEoB1I4QsWSPITBt/MzjysVC7aGADD5RgwKylztlTrVhjpOZ+OmO9h9pP0CcC7gghCseyw2P
0HvlyKFADkVE4NCRKzapV7442H0rNyHgUMQvDJCUW3tDmYFJEJ2y/pmrXzjb5drFQ94Xop7wAFBG
1DRmJoG4KsRMozvS1p9ENG6bTrjtNsGuvGuAxJS/lpVj7EUXdfn/zfX818f4/8LP4vGPi7H5+3/j
vz+KcqqjEN2Ky//8+yH6qIum+NX+N/3f/vnXmL/1UH7mz239+dke3kv2by7+R/z+f9h339v3xX94
eRu101P3WU+nz6ZL29s//eNLMRD6ix6LKG9fiqtf8W/9pfNg/uUv+o/P83e9TOXn//zto+jyln5f
CO//t3/8aPfzf/5Gy23/dfWLzoO59QvSd4y5+4nfrP4nhT4gi4EgLi3y8B9/LBjyf4JEjEIjKPQK
/2AHwNDFJP6rsf9bf+kf6/GRfr7Xf///AAAA//8=</cx:binary>
              </cx:geoCache>
            </cx:geography>
          </cx:layoutPr>
        </cx:series>
      </cx:plotAreaRegion>
    </cx:plotArea>
  </cx:chart>
  <cx:spPr>
    <a:solidFill>
      <a:schemeClr val="bg2">
        <a:lumMod val="25000"/>
      </a:schemeClr>
    </a:solidFill>
    <a:ln>
      <a:solidFill>
        <a:schemeClr val="bg1">
          <a:lumMod val="95000"/>
        </a:schemeClr>
      </a:solid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plotArea>
      <cx:plotAreaRegion>
        <cx:plotSurface>
          <cx:spPr>
            <a:ln>
              <a:solidFill>
                <a:schemeClr val="bg1">
                  <a:lumMod val="95000"/>
                </a:schemeClr>
              </a:solidFill>
            </a:ln>
          </cx:spPr>
        </cx:plotSurface>
        <cx:series layoutId="regionMap" uniqueId="{D56F90FE-36EC-4DAB-AB50-E09B85EB166C}">
          <cx:tx>
            <cx:txData>
              <cx:f>_xlchart.v5.14</cx:f>
              <cx:v>%</cx:v>
            </cx:txData>
          </cx:tx>
          <cx:dataId val="0"/>
          <cx:layoutPr>
            <cx:geography cultureLanguage="es-ES" cultureRegion="CO" attribution="Con tecnología de Bing">
              <cx:geoCache provider="{E9337A44-BEBE-4D9F-B70C-5C5E7DAFC167}">
                <cx:binary>7Fhbc5w6Ev4rLj8vsUASoFMnqYoEcwuOHdu52C/UZDwWAoS4SAj49as4V+ecZLdqd992Xqagpe5W
d3+fuvnzMP1xqI/7/mSSdTP8cZienxZat3+cnQ2H4ij3wzMpDr0a1IN+dlDyTD08iMPx7L7fW9Hw
swD46OxQ7Ht9nE5f/Om08aPK1GGvhWremGM/Xx0HU+vhN7K/FZ0clGn0p+3caXp+yi6yi3O6fXl6
sr+XoknEoHtx0MHz0+zlSXJx9TJxomOjhZ5v5vb4/PTpstOTs5/N/MWlk9p5rc2924yfYQRwEEIC
Pv/805NaNfyL2IvQs8gPAoIx/CwPvxp/vZduf7Y/SVS/v99/ff23Pj16tL+/74/D4I71+P9k75Mz
uBi8zP7m+N9N/RwyVSv5UTgfxKDY53Ay9el47OIxHmdP0/Xiz59euAj99OaHjP4czn8l+ktCv3n3
5JT+vz7m/7P8BBjf4vi/yfKvK+AbgJK93qeP0PuhCH4v/Vo9P239LYI/53177+CJY4AjgMMwgoBE
0I+jHwD+SecXRb9A4y91HPeDfn76Cd5hECGnP8TAcUAYnJ7Y41dR7KM4CEmIIQwAdMzQqF4Xn0gj
imKCnD8RRnEcxE40KPNZ5J7CmIQIxpjEIYTfyPJS1TNXzbdwfXk+aYy8VKLRw/PTEKDTk/bzuu+u
Q+hj7AOAgjDATn7YXzlGdsv9f8jIg80ILEhaslyoJU/myl8TwdfCoI8guq282wHj16SYqeaQ6kXf
Wa/bxF4406ADC5ttrKghLV4hhNtkiUqzLmW+i3S/K8uwZp1tVzhG266bbmsP3NtxyTS8XHC5CtCQ
EpkFS4gSr6vO49pjHjJZHYDbHMQtFRj2NC/KbV5qybwoWBgu4s3Ujquut6s8CHoqp0lQJXNaT/2O
wO6dJIWiUMYFNbLrE8/3shbhTQmFpgbGlyH3Mt+He46mS8/ARBnDZDFupQgZnu65QRdxpFs6hC1P
YjM+8MaP2YCilnZQmURBfNeXeEO8oGLGKzb9XK15MW8bW14Vrd3WSzXRnHc59WcR0i5EgHUjfy/Q
UFFcYkyHxivoUmpCY9AS6rcxJbPVVBjvtTfMDQVkKVlXtecyUpyZZa4pEFFW4GCTQ3HgRZhTHMfZ
PE7bCMM8KfwG0A6UkBk5FrTsFkW9eZhc1hrnpY9qCivOqiAYqR3yO6jDlQDtZhAEJ/motvW0rPKy
vbKoGKngFjFohxUv849th84b7XHajU2XiUKyhfNX4wzeAx5mmMC3cQPX4dgfUWt20N1+LK/jivK6
vIsX84EEJm2BR0UT7UpVaUYmuR1qyWJ9o9qloDOXbCbDSgP/FWjApm7zmtpcJhVpr9HAAW21OIx6
YSpqtkvMQ2aDnA6wZkFlsgrUu4D0m6q9UT4+r4pqZTxJkQ93aC5SuIy0tjmLY0iXLniIZkOhHxm6
TOEaYJwM+Q32vU1Tk42HmoaOMl+RIV7xBtO6nF5rPO8aWTHVQbYsC627gJkw3Fs1p8WUJziG68iS
7TzEHmsIfgUtT8YSZrUc93GJaONwUXhgNY2vsSGMDHyzNHbF52HNXXpoJeKrvIy3RJbSZRX5Dlni
nZ2FZL0Nz8k8F4mjh80UeW+DqboYSpLZBb+LPAeOnjPp2Z0/+et6NLtQuKobAQ1dMc/KrNv+g9eZ
bUtqOpXtBvt4O/khU9yVtiyp7fWaEI/l8I5HPoNkZrmsE0+CZJkAa/PmTYcWmgO01bOfiZE7WOhP
VjdS1pdT0SRt8FAZRPvwCgxTNoySGiMT4jqvAhFaLx0N8Xg9mZumNgxHHSO62gCEqF/rlSElVfiu
tIhyT2fY4Rm3nKlJJyMKqCMnNjbSaVmSaSzPcy9MetG/8XmcdM0BcsMKTtJm7Fg4Scr7gEbF0bde
0s/oQhmY2kixuYIhNUBQFC4JLxwSYEeXWWSlvyRhN9EaO//9LPJLhof+lYzDFM712sKa5tYVMpxW
gxg3Wi9rf9a0jHZL/KHp3tsKUB7OzAQPCi2Xgx/ueAOvFzCxxpQUdWItwib1x4j6E6KhBOsKNSuj
YrqgPhXkEg/TpjNHk5d0AFf+1KbLgFw1dxkc0aswkm+7oaeizm+KHijqq48i9+gcBTSX8FWrQYYm
8yaKvU2vxrVKrO4oCQnl8li32WJdqU+YQS+rO8fXvKQimmkRyNSS8SoC3UZzy1rvAVYhLWrBFoBT
O9mado4sfbPQubsowkvcw1U9C+aImS0QMiEcw4blDszvHG/TZrapFZJO5AaX2wA6ljbZEs47y/l6
0gPtSf2qbnU62+sgDKk1jr/LOx28HZ2pXnZUl4ULvTNb35aFZbB9KPCd8DXrY+TI7NpvhYu0K22H
+aLv16I4VHpaqzG4rkh4ucTFRgmzViVaTTJ+U0zwGrUFWxrBRq7WQwCoLupE4Gmdc1coMDrvwCVv
bVoSR7StWc/LMa8QNcPg4jGvbKRT7mhflF46IG8jOrAxi7dZJpj2QZzEPb8VfncutaPPvL1uwEKh
UMxEIVWd3lYjptyKHR+bNCo7Cp0ZUn4I54ZNY88K6adCZHO70BKd4xA4wMSruWsu9YhTpQwVsP9I
CvC6RXLnww/uUqfQqJyaTiVREdzYHG+w6dYeiK/bYaZe7609i9OA2O0A72fpu2uF0wjjre2c7ahN
uJ5ZOk6pkN45qdshaZr6bpzGdQPbdeUKpBjsVRm+k81AY96mtZUMLNE2zstsqGY22OtYvrWopFq+
n8bO4TLGzM4BlbzaFH78arTxbTTkGSF8bRzdjPNtZYvEgmveFSuV9+5oDQ1cJvrJMF16rJ1U6tV5
KsOKajJSP7hYptpR2piC/NijmMLeT0fRr4MpyIZmWNcRZGh46HThGLlhsePMqLnFhaZa1Ek5ayb6
eOUvgcuVSUzQJlh7iXCdiOsf0nFxfDnPq564+2fUDEC8UcOuRW3SubahtPEaLCTB5J0qOfODwWn4
OMVTqmp93pvy0npVih016nm8DXRBLZRroWbkAHDjtc1l0ZCsIi40GNAp8OjiEjfafhO4azhqPYrs
kHD78ONY9aSxO6h27gUvvgzC3x5fXLTH5uSy3h+Ow+Ow9V3y9PH7LPapvf02mP3UP38etn8v/dZp
ftr72GLeqN93779a9GMT/9c1/7Ve/lH142TxW5X/2fTuPg98mXR+F5Z/a9GXVD1+VnnxTwAAAP//
</cx:binary>
              </cx:geoCache>
            </cx:geography>
          </cx:layoutPr>
        </cx:series>
      </cx:plotAreaRegion>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chartData>
  <cx:chart>
    <cx:title pos="t" align="ctr" overlay="0">
      <cx:tx>
        <cx:txData>
          <cx:v>UBICACION</cx:v>
        </cx:txData>
      </cx:tx>
      <cx:txPr>
        <a:bodyPr spcFirstLastPara="1" vertOverflow="ellipsis" horzOverflow="overflow" wrap="square" lIns="0" tIns="0" rIns="0" bIns="0" anchor="ctr" anchorCtr="1"/>
        <a:lstStyle/>
        <a:p>
          <a:pPr algn="ctr" rtl="0">
            <a:defRPr>
              <a:solidFill>
                <a:schemeClr val="bg1"/>
              </a:solidFill>
            </a:defRPr>
          </a:pPr>
          <a:r>
            <a:rPr lang="es-ES" sz="1400" b="0" i="0" u="none" strike="noStrike" baseline="0">
              <a:solidFill>
                <a:schemeClr val="bg1"/>
              </a:solidFill>
              <a:latin typeface="Calibri" panose="020F0502020204030204"/>
            </a:rPr>
            <a:t>UBICACION</a:t>
          </a:r>
        </a:p>
      </cx:txPr>
    </cx:title>
    <cx:plotArea>
      <cx:plotAreaRegion>
        <cx:series layoutId="regionMap" uniqueId="{C4022FE4-EC6C-4AF2-A8E9-E87CD66C26F4}">
          <cx:tx>
            <cx:txData>
              <cx:f>_xlchart.v5.18</cx:f>
              <cx:v>%</cx:v>
            </cx:txData>
          </cx:tx>
          <cx:dataId val="0"/>
          <cx:layoutPr>
            <cx:geography cultureLanguage="es-ES" cultureRegion="CO" attribution="Con tecnología de Bing">
              <cx:geoCache provider="{E9337A44-BEBE-4D9F-B70C-5C5E7DAFC167}">
                <cx:binary>7HrZcuQ4suWvlOXzsAogAZJo67pmA5KxKbSmcql8oUmZSgAECJAAuH79uHqzvn3beuYDRi8ykUEG
4HD3s7j+/H3903fz9uJ/WXtjw5++r79/kDEOf/rtt/BdvvUv4ddeffcuuJ/x1++u/839/Km+v/32
w78syorfUoTJb9/li49v64f/+jO8Tby5q/v+EpWzj9Ob357ewmRi+A/3/u2tX767ycb3xwW86fcP
1f31/paf//eHX95sVHF73oa33z/8tw99+OW3f33V//jaXwysLE4/4FnyK2KM4ZxlH34xzoq/XU6K
9FeGyhJnpER/+cn//p13Lz08Vznj+lf18ver/24lf1nHy48f/i2EX/72+5+f/G/r/ucbKrjqrxuv
3Psiq/u/7Oq3/x7Y//rzv1yAff7LlX+K/b8G5f9263+E/v9hw/8/9P827f/TsfwjN+uX+NL8Jan/
6WT+892/H+m/PPqfauOvZXP+8fsHiv+pUt7f8LfH/n16//2Jt5cQf/+Q5PmvJWEpoggXqGQlIR9+
Wd7+cqvEv5aUsjSnOMsLXBb0wy/W+Sh//4Dpr2VJC8YIKhh9f+zDL8FN77cS8muasoyxvMSI4QyV
+T8ayYMzm3D2H7H429+/2Kl/cMrG8PuHFJVQv8NfP/iXtdKCMoJLyso0y1J4ZwH3v788QbuCz+P/
VehZBcOUrrNRjveqn5UsLp3MlOkfERMZSzY+JUW0zaCXqfgYhnkhJ6EHR++wTtbICzHf42H8ue/z
OSvmn11cRfK4UiZUhbY122oZcvWzXMWRdVJw7M1HluF7skCADiE3Zn0iDIu8ytoW2bMW1qaaW5Wm
5rBjNFCeBKG3xmYxzs9WdmKvU4PG9XNfLib4qu3wmr7MpXOmGjWLrqIdypdqWA1lfKSDMTfTrljC
lcXCP3k5i3Be91TuPLVzm73ODk3DzzlYNR9ppjThi9TFeojJvE28YPNgmhbCYJ/modtJZW0Xn5BG
Y6hMZKOpnOwXekBZUgTem6IPjXBID3zZuzk9YjYhw+We50XlxskRrjXDqO78mLuK6G5NLu0iJKtg
abk5S2KLnst5aIemNcK11bSO0nEtismrqp8t8gVfE636Zhv2dKhDNFFcOrN03V0X2bZ/dlIjJb6j
0LNvhfW2492ce8bt2CePdKRCcbe6MuGJtuFlaKmBK5OzTPJMollyn5ii/CZktxA+pvPSfvNDqyzi
ayDrdpiCbbuvZMPK3I6eSnGOhGhX29ntQ0VCpvqTITKktWQk8XVbrm7/4vOsw82WT8zVuY0JNpwl
o9stZyjsT6Z1GNIkjWh/nhY0/qHElnSYhwzrvk5Qt8RDQuyQvicAKytGYwEhNUGXD1Krua2Gzvrk
czJCEW18HzFjZ70p9DPRGvY3lktXHNniGasdjV1yGc1sSNNHjJOT65HqEE/wFtR1ikirekWK9lfI
0XauMuxwz9uuY8e5YHt+mpJ+8mdM9brwvtuWhG+JwrTOZ9PFcMKtoPI8yrRUlSeLy14yuzhZq7TY
YpOuk3ZPq8K7arIoBb0SOXh9hjLNyjp2w+Act/Ou88hngTNaUy+8hPvQNapZz0weqQsBHUbjFW7U
xNTyqres2L9lyKC2UllCs3MJe5OHvkT9flo0MTMkJUNCfmJlZ/dmF8VcNG22yy+sXQx+GZU37KWN
oZuft1379bUtpECHKXr1FMKS+mpbGFOVFQiX5yXsC72h1E1FvSXMKcr3bVx3HhBdYpNnZjePupRG
nm20LX1I9jVR1zYo+MyYt6w7ony0LK0TiP7Ah6nvdF2WthgGHlO85XXa+sk1aF8ZOnfT1Lsh8jCV
eTiptt2Wa5zmVj9pEbasNgbR/DKFdlwOxCQdqVO3jt0XIbftJuihIFVPZvNZDFuKm7W13VJltpjU
OeAiGg5cx283OlMev2TvT9ZZGvV8lh6vnmdqnt7KEgr4KrvemnofTN96vsTS21M5bS3kWMp0Xxwl
7jbSoGzO6GF2sOY/Ur35oeoVdPELKtYSncdCRvPHunYDrud+7NWNoLg1F6KFC9zZYRgbVRA0vk4o
W8VzH305VPNKyjDW+9LbxXCz4sk/9fswhO+FL8tn1KVmqHabixuBV5xBLxzol9bME67EQHpxDjYP
W41Hw3a+GL/MzZSjpGiCIyX02mFI/tCSMMuRj3m1pLFdOeqL7jhrOj4xaDW28nvbxYoS4SI3EfmZ
i3xOb3qZmKWBvuVVjXXQN5MVMvBhmMubLE3ttY1rajlFWd+YwuAfkpDtla4eKT7nw3wlUa6+7pKw
fPREpM02t+tDYFk5cbkMTqQ8Ll0b6oG0eVLvk87a29HIUNQJGeLWYJ3qtsm1iOHFzKS0FU3Rutee
kNBylbqgTwXamT7tMwlFzn2KtuXYibwTHc+mjSnu2zbbmjIphvmSL8rYU9vS/NvSp6m49lQyI06Q
d378GUeVbJ8CJEHsq0gDrny3S+gm8VOZtpVI2YNA8il2+GZl+Vghu1yKrc347tLndSyfxoIsVTFD
+ytwGnlHFnVYaVJUOvQ5z8OATogk6iRcPl7afo4NmgTmAL5fo6UPYSiPNsTHzqUjVw6SJkH7XC/t
nsN5ZIZ3Nt4mBF91r0ZebNlyLoW9Lxz+7LX8SPFWcryZt0Wtj+Me5nqnqYCDCG9iTV5Ent93GSBT
vy2V3LJ4wSFQHklaXtHiyZcstRnXFs8Xb/TJzlLelNmOjnTMAFZM2R/EmEB1hFFWWaI/LgO7KTsy
cxx1yj0keEPXKL4iKqaqhDMZhI1HqtviYoaeHXHqxGOEEhV1ZwdN+bTY/n7BuUQH3EZyRHL4IWhv
K5mskhuojmbW+YtKtLjKNbimgBKGNzNdy6kHHEM7KXk5xPtNSglAbe+2dVu5B2x4ckrlh9LQO2j2
8QWozddkw3nVddll6fVzoqRpFjjrIxSs5C2VL8yN+F72azy2bgmcKdJzXzh2QNSnb7Fb9f2ulp/F
tsoDQ1tXTaa4JL18Svee3ebr/DinSHLtbHbU07odvRvaKg7Di3GaPG1ykZ8BYvpLlHSo3arp1y0m
+sbujh4TG8kpsy6pFLavm/eBF8N03ZOxqAPubb1nuK1CTAS3HunXMKNbY8y1xP1d3KFt2tF1h7kd
xipxNG/YVr5ILUae27nj6e5ZtWX9TSH2rgE0r8dMuSoy404r2Q7ppB4gdMuVQE65JQJJHIe3HiqB
L3g4eVueojef/Z6+OjmeupEsPA3mVtH9UhBGa6bDdR9lV+nUd+dI7aEz9kFLdJ5E8Z3EcA5oPsiM
Cc7a9bCs60Gm8phK2b90ifanRYofugBuYNeeHpc19MduY19ntiaQ0/hYLHteicwd17k7loWo5ITS
Si/lAgDsnoCLf6QivWn34RpEu3HXes23MtysnajMBD007UTSxJxmVZSzPrSJRqckyaCE5yHfuSB9
fsQWjYeBCfZMduU+OtmFL4ik80eRRfTGrGw/qs1OXbVmPj/PnXsnwO0WL2ywWH+ahggsqcjZoXdd
ub3zHHnDspVc2w0o6uyn6WWah/VToUr9BB8xD2UsY20HKm9l9BmXZh0OQMHLt6FA6pQByTrZjQ13
U7+Lr3Nstzu96Vi12OY/c1Lqh2inWOfbOLo74KKawGYxbvnu51jFfQpfnWSJPDmTlvR2nYet48K0
Ww/tbHehWrpt9wfjWzadLfDo1z4BVloRpuNYl3kiTEP8Nn+km1TQ+edYbGcowznW82RydaSzst0l
y6eVfnNGFfHaRZx30CWI+0NtSQ4Ia5AqjqMzFpN63IQVQ8WcT/IqYCZKXpRYPCoT4KTdKHqAXK3L
lattVaFGy4QeJzT5W1t49HlTPgISDOSCttFuXI++nGATcc/rqQhtyvcBq5krA+qo3knvw7EIU5wr
7ycIAxFmNIcIlJSdVuA1KS+nFr+6JP/Sldg2JF0LDr7J1IFKme6XZGuSPEq+Z1OsZlAVNZTs+qlf
vb4xix1OXYgB+qIGBF6G5NCLPq9oDlDsdMbOS+sQp12HL9AQnk1B5NO6+vHBii27ATJMoRGj7uxn
dHYT+mpxjup1TFWlumC4I9nn6Ok3Yob8Pi3cx96V+JtMB38BbgvwHL2rKR2XE06SNzau+f2O5xe3
F6/LHNamX/R26ZSSlcyRvaexjzf9MPfHACV7C0Q2AJxKVbHFLJ+GbQOeujt1AIbR/9yZ2Q7QxPeq
65U8QF6adyUx4cdh7+gpkkk2HfHJEygK1CxsNrUC/QTUsS9rwgbdA0ABqQPZg5JLEEApOcrSHiAi
JOd8zdAt0LFwtKMtKiLIrRm7gY9FMV/TovVV70usOUFOPjOL3A2dhrZeiZtqiulLu0R8LfN2BOxZ
foyRLc1Wrt1R2XY9M9uXlcviZ+gOEjZXHsw7ZLTrdNcT+qMYWUUydqItrebNYD5i9SSy7A1v5A9L
548TXqBjKtdVQP1W3s7sj9gSy9WgDED9xBozUsJtn/6RZhSwPmGYE+8ueQG9ZpHzXtkcdPbe5qdE
5XfrkN35JH4G/rfxPsjar+JTN4RTG2bNp5jfJrl+mdLwlVigDh3C9y1JrwwuRjyfLSqPC3YLb/Hm
TjkT5gIhqMbBALikJOHBdPRQ6uVu3fSznacfGwqY78twC+zr1m8o3hYKiEDW6oznmvxkLlG8XPIF
kBLdpml+1gXLeK/3rJkzP/JYZjdUZMdBhpEvip59i56jUMcph3XkZALdyWI8+qQlfCbuu8T7CJJC
uboFKKmKHHSiUNAHu1xlXGlqOBaw6GRNM77F9Vu25rUvNkBLsForNPhPSuSfYggdd5syVXTTcxv7
46TZzDMUh6Ndi/kcJZu4hzZ7HhbzGPe19jqaSgNCNNi3h6FLoXEk3R2brQPcYGvl5441wSaiGvrt
c9dNVxR92owsqfuYIIhT2nEQSc8+jo8oD+jonEB8W2zaUDR+B28j8KXMHnexVnhFz6RjD6AIL6kM
94SyStpurRerxOPgs+HQLTaeUhCvvEsTsC7CWHKEjX4YiSVVCF5XeZdOCzf9VFxNF3J4k1KVQPl2
dSrvuaF252iSqGqNus59CZck2qspQXc7Le7JFs7ZamE1pScV3QYAaVTeMEcPBG3kaDbVnz1o5ioF
mdaafqt3XHymI3OVzZKJlzl7csVynYW53XSPOeiKU5eJz5RsDUpSye2uv4F1cBvo9sXM4dOmx6WR
e+LqDqUGUr88Qd8bTqVXqCmm1oDCXZcq2D2p8AJMdYMWw1eIBR9JK6ClxsXeDhsYB9q0z7NbTTP0
9hNOhmsPrtQjwa49bxO8cjTpdnDE+HoSzF0RSoYzcLnxOOKFAOgU02dgrJngo+96IIOlP/swD6HC
I6E9+A5rdqD7rAewcvrQVx0bWlHti29fx20A6acjFgc6bLMCQTq0L3HS69SUYtjpCWUUkJFaPaOG
yXFd+ayxOjDVzk9J16Y3ZA8YaEyyASaN67MqoYhatf1M4NCOG5rXRmRku+9z0h6mZA4M3Kat19A7
yHQQxMRT4eZwonnsfxqc0EvMy/Ec0Qi6K8fTUaYT1F+q9s3yKHJVwkMg1vgEArUaZjjmZF/kEUz8
mfDJtAjaDGp7emE767Ib3etwS9Jk+trj3LtjpzG07bQIPT4zzPBRMcVuwMBZ2K3BRpytWTRUFNOt
P9u+jVW+Z+EehRTd72nLHqTMN/U0dGtYzybu2XVXRBoIsPWXtffpcRQruuswsJpjsihheWaJwbUG
twvcgg3zHETdDdCItfEqrj9lW9gGpBU+6d3hpY7ZntYljQm0gyLlSdI90mTfrgr3z2OW7jdDSsVn
0y953ZJO3QuPwkfsxaPb55tNlZ9SH/zZpUBZt9yTg1Xts+z2A5w3qOk8e9m6JT2MSa44WcXM1xJ/
6vvusRXj3RQzVWVTeCAT7vhKy/PapXdk7Q/aZY0r0HjMA/1huuGCQR/MPvnWr1TwuPrLLg1qutx9
8X13P2DrmrJUW4XBNavzPtgqHfsJJN+qIctywL48P4hMNgbUaJ0WEzoAQb2dVAk8P+/+8LO6aiCS
FXiNjsOZnPLN3eaaXZKCNolfSz6X83bwBlzFvmXukVAZweCbdY0FQoCUTDSla5cmKUE7dGRfePRF
dtEpVvcM1ME9tWnXAT8aHI+bVdD0CKyO5HgA787FemSTuS6SguLtEbpLEOmqVM+3MwOtlsjBQlh6
yrVMjrlx14nIU7nPHzPdNUIMjz5tLXjLieYrMSc5LrqKKrlJ2/ApGyKp8K510+YFa/IkQhMkRJ2H
POuBQLfnJR8IX/PkgcX9S1hGxue1fe4ywF+Sxq+JT+47HSMfwGmpAhlablF67JRdgOrFu8kWgGxt
/y4s7sGefXUz5HPR3hWyf+zWtMEpPYptezILoby3w8z7Avr6pJMzntLXJElvwC4WfM+TF8zKb1il
+7lTnat9AnrY6Yd2K65bvt1Ggc67LL/k295kRH0KJj2BaVr7NJyJ3I92XwRPkW260p/24Lpz2+K0
KorldiPyZyrCpd/XW9ONj4HSR2g7j0UiPoli/EmpuTjwAUQGBET32/2YanvsdlAnW+F/zrqMFcvm
z3C2NfMlQHvZpO0Ee5ntl63sHsetHTixyZmYibe7fJij+zG4uUnWDMovHOgynoJzYM/C2dIsqzvX
1/OayipQAYzDP6XJCCoyNvuanVMw8UnnHpaUfDSKek5oiBwszIfFJnfg1t0W/dxVmPTfdYK+mlze
6208TYEBUNNP0PNDHVwYq32NsRqW8ssweW7KKKq0n9FJsCK/xyDxQJFsjrdtkvHQ6vQYW3QWc0Iq
LQFgB1wMn0MEyx274PnggTCOwyeI4H3ZzZdpn6pYrqfOoRs2A6Ma2/XS5eZQkuFGl2NDCPgnOy5V
vY9aVuuGeg6V/6VHjHJhB3FggkzcgRsLDiNfqHsJajkCqfwkyuy4d+7VbP4ObLGrMNN3tUUKSWme
decbv5PGr8N957P70SgJwLfWYBLWOumuwE+/dXn3aLq2Mjs4MH18KRaacEQZFF4q3wlcOGbLrngP
WsrM432U8ksxqGenveKrHcVJOv/mZqGbd8cd6Ayuh16dS2v6Sq3sdQ3ta9T0MAr5nAX2AhvtbnKx
3qkAifnOlFB7le107TGq1j4ZqsyQrEllIhuaDs82Bf97te6F9JRdpl55Ht45S7qAO447+7jq0NZM
DfA0XWUz79ND0YIFkqbuQS3bwSYJq5Ayh7QdnnUePhO30CZ1434oivxHMeTJcQo9qQZP3YEk4gkc
oO82KW+XBCeg3Yp3wrnfqBbf+nKUfJmHRwqOUbWN0yniBYJKp8dJrpAdTjzHZf4KpSpPamDHckyf
S2XO024c92uyHGSxz+VhtWG5UMS6VxHT7Tbdo+x5qaNK6zEtNRxJn91O7RAOEJb0AhMVsAVgbAR8
CI2VhQnadzLPuJpBKn8tRULP24CB9GftTq45WMwfYWazPxG37beZmcL7UAwMB9KW08dETfgMXtZ6
7XPkv8PEwcZqGQcyADtp50M7ofWPaHpxGkH837B9xX94T/wLWCuv87iBtVK8Gy+zbBtJKKC4VAj+
7Nuq3dSDN6niMiTP5ZzZowU0dgU1VZGpRizTdFsuY3ECMXpPBwS+/bSl1Y7wzllPx2ZUS42TAtzh
rlBcpFClLYI2kDMwyxmUCTgeMwdJ8Eg0ueDMf4Q5IKRpUW6H3OrsQWVZ5OCNIpg8jaaGcEk4p3zl
2tiR92OhObiyT4kbSu7MWLO9/LL1uYfg6295V7w64MfVJDWtsmEeT2nbfoE5SG1KF3rQPutrroqv
myyTrzS4IwyTfIPIfuojemoxfvVj9kMWa8XyPamzAtwCMusv27qiasg3WXdj6vjQAtXGdEdn+i5E
1wQ0uldwfOucnc20PxcyycEvjF+jTq6FSO/DjO/imG616EN+EjBDrazAoc4B1LmXveGJCornoLSw
HW4Kpk4u6aDRj/tX8C/u+8K/GIQ+KjruHE/udc83dIf9fMKEfGzXXYCfAO79mpmzzPJzBkm3biPh
cgUO07fInyiYFc1EYlorOqhaz/N2LAgsH/ySB7K5sdrWAewzquk35N9tBluQw5j29M2Nyl7LbMJ8
WpfxbEQqP2bDoj6udp8vNIWiT8tlvS9ja8DxHUj6lkMi1zAR7O4F+IUtDz53FKaZzIJBLLuP85iK
Ozwl7iawAHovoDSBBkpG89Z7iSxfkha9Mm9mXo4MZoCQrVVpxuUhN5KCjT2lTdb34rNIVHaNpZRn
vGeQ83m/DvgA4JvfUXBmz0nhyMMec1Ivyy51wlfdg9Y2K4Jy6hYDLjssL832sQ4qBwIly7UBMwsc
Ggf/1vIIg7cVjPp9jAP0iKwYwEEEz4MbtOHzqjxYnSMoqH5l3U/PFIB4ZrPrmAX7ZFZrr9nsikvm
tvTEWNL/TJdM3Mx4Gx9bzHLKpdIBvhRbMtxuc5nAMcnyWZdiPevdjmeWyeWC25E2OjL0CcyzLNbQ
AfHXTE+oMoPP3w0oexdTlxxbPC+nNnPhiIn3Nw7DvCwIW0S+sT6r22HID32xdQ/JNkAj7mhMYwVR
mj71mcs+5++aK5QDBHTOQCzYPYKBkFB1Ny8DOZMpTs1S5uoGDCx0WDBMpHifzcOh3IH2ahS6M11w
zLkc066eXQmYrgodqnxozblNRFIladkvFRILuRk3mf3sqXAp30zM+opEphscBXDxnRrmnrAJG+IC
CoiPO1AxcHw+YZjZlNUsFvUNz0h+hrmsbnoYPgw1GaEJF3rZf4gyyWujM/otS7yoRwSWplHL+qUz
owMi2qHbrl8DcNmyBI5C6H3aFcuDz/dur83gurxB4H4dtmkVjQ7UQ+sr6dPm75MSfBLBizT498lo
uWmYiBfLJY1BnPAaT7Y1u+atBc+OxznvagnzSPNEx5H2hzbqTjaJmO0bbjP8ow1suUzZtP+BWpOS
arZt+NaCE/F5i30CA4g5Wzc+76q8HUwmMTfj3n3DVq/frESONkBnIr3JN5aEA+mZX3seOqhlWACI
Bj4veZjBLeqBiG+DXwTwO48BJ4o5a5txH2b1bVMChhs6l8o/iEJCQ/Aw/BrP6db9H9K+bDduXYn2
iwRQEkVKrxKl7rbdjqckdl6ExEk0z7O+/i754J50s3VbNznY2MAGvNGlIovFGlYtVpXd5RFDehLC
WR1CFFsmD6cx/GwiTy/ERFMdeIocl43bFX6j7NRgspjHO60PgJ4YEEUNbZvs0q6bdLfUrTYVqYUC
oN0YOc3cqM51YifWgBC0ntDhs6vRKJBOWwMP9k0TmD16Z5r/g8SIEESmNmjQGH2BwMpIG+Wbj/Jt
akdGoISOX6Zj7bVaoJs3M2/4I+mWBLBHrmOp+Uz2HNgAYAaqJm1xN3TqhLx7RPStpSnXHjNdn/ME
JY1c/VnkChqVppLD2TLWdaMXZB2KqUZAkc3ij4Bw6KxeKlH+jKCy8/WEuirFHS2avKPMjYmZZ7ch
bl0T3SYjq46sD8zoWIwoB383jCQ1jkPRjeOxSYz8rYm7YYQGWooWiYpPm+ygMnrHB2Ijq8a2QL/F
t35p+WT89hnCCntGobC5hQLZoxn2SuY0qBc5cQ0ohKOYxYyyCUAjna03rVnuDNLmvWj8IClcbUAZ
6dBZpP1FFQ2dDjKTiYg0nD/7A1AQhlmim2rRGU6jTaL3bKRd6Zat1VkoIuQ6QCGZZU1PaouYmhRt
1t2mUYS4tUDV2wEeqBtF5/vA4RCmmMTre705VKTMantGd9exGqUiR1hmV4vAilAkaAMr60UKCA8y
xXQoI1uZKiURAfO7o4EudnU3aUC07GcgWBIkYrGWCRg5StQEeU/v8Jjmo+cnRYTQO6rjaDwqTTXz
50JTaOAaRlR/Yt3MFcGCNjYcNQKw44HHwEK6yOJwfRlBoLU7LARHv4xXAVLfWBkR46OhfhfzFOAC
pezng5qhQviMznfUH7Uu6BHazIoGEA/zYZlowwHVMRi5CXTSSMoKqxrPpQ2UlJK4A7Xgk1WGkMFV
+1zPvJ4r6ojOfZVZbh43yntYEqLflYDqoAai9igsFX4V/xxnHvp2ywrdMY148oaqMB97pUipAG6H
9QDcJKHuqGGJgmQSWWgyZcS3AG+ZhvEZQKEmQAI2xZ/NedTMxykY0h+xMTfzYeBhWL1kgEGoXssU
JPakCcrQjhG++V9Spo3ZUQ2bCKAS/MqI9lnY4bYefb1BQNTn2RtXlmCIKmEQIx5vTNUmLf76tVfa
GJerOYQcNeu4Zg5Pw/ALol7dtCslrIJHlmvzz6Hq/Flkmh83WONofm0mHsR3vtkPqm10taWgz1AN
5KjHdf9ehcjVfNT8uKNkOYobaPuXv0hSKZqD2LflzsSNqbcLLUJSbVM9QqZcQAG+K7U4H5yKVslg
h+HcI8CxmjrdBRo3v1roxFg37dAmzE1pnytOZnItXna0Q9Q0B1GJYzWx3DZ1zWgcH80Bju+lTew0
5chC1KRZpdroygExozHixy6QLhnqroGZoj6n1gp/GFDw9u98q4WjoYi8AzfKwsgQIev6x5pgPW00
rqwfQUmUIwuU+XmqUavB+qET4hQj1wJHbzNLsSsUixaMg3rf66wfd/rkm4eos7gDTBcibBKPBRIc
U8d9NQbFbNyUimERt+1xud2jLUYeYiPNx31V5HQCjCZHoaeJqjFFo7KZcTLTRh1dMqAf8FbrLRrX
SppGNk4LvMAEE3sivQpkUTqznroUF9vS5wm10aM4F/5zmGvoC6kz7fje1yh6uZbBEHIlum6grBpY
0yTQjvLDg5GYc3s7KPAsTjX7Q+P0Voz/B03vmDq1Vc2qE6F+kz1qgDTccdwZN1Y2Jc2O9G35PVfz
QbdbuO/SVlW0MDwjiNXoc5pFfiJy2pIW6+AjLp7qdIQ/MWeU/Luxjd50Q4noLTL0/DHtLFTGK4XX
6ErNbTG5Xdfj5CJtRstk1OrJt3HtzMQza9KGos31Jt0pakc/axpcO3otOS6UtMfZc5VoSiYE88Qf
YUGZOSFNwjm126RIgDzJWGg6Y28iZp9zVa2doezpPdAi3N+ZJsJhVCSaubnRx2awXFXXgwnt9LAp
DzRC1G5n3ciBQZlZgdRoCJtOEKw7SkBZRwBEMQG+vm3DKFBvwgLFOYdqWRnR0a6AGfhcDnXc7MfM
70aHF4063QCLNSaIZ4chQTGspApQMHFZZ6XuzH2YTvYJ4nUNRAqk6jmElKnEJOhcqSZhJl8Qs6cQ
0pz5ABH5QK70XnGP8pMzOIMbWU53b+wjt+vd4JgcNE+zYzc/mqFI3lD/E6bTuc3++qcAGHvxJZah
GzplBnqmhnb+JVNLJ3T8ktjLxjel/gGz2dD1XFWTAqprEZXp3NBMZGmarGqA262NO12QCQjP+LVV
lV09O9e1UIGZP1HjUoqkRtIEat9lhi4awBK+53cInHahoAfriTx3gnrtt/A28nz3utgF6fsHCbxI
NS0NwGJiEYJNtCSpvBoBHo0hFUaSu1wdbrmWfjWs+pgl053Z6fHGYqrLL16TuGCTT7DHIe1rWqSQ
mN5F99F+3pui85RH3wbUU8Rbq7rsjSzNAKSa6Sq1oKm0d6EZxiFRmC5aQZzmvtkhirVnZ7rT9vxw
fSkvN9BSTYtSYmgaZiPYYqcniiHJyDrdR7U0aDPtR4KYunfGREntskrzxwZZ5KbNXK6lBb+EHYRx
Mp0ucPJTkSiHtiNv9dgd33uxGEy0Uz6Pju5kotxxcV2/i2PAicFNjakq5cCMqBJofAJS0mJTrIuo
fACE01a66gaL8XxdyvlphkF+SGGEcgpAoKZL5mHWY9qNZYQNW0polX7TRKhWX5exrskfGdJOxSYa
zxHqgW4x/GjLxGkmZEhFsmV7W6pIuxPrWtSiRpi6rTDecbHWD6odwC+qj3kmgNX2LDEr/6Nqi5Ge
GGEXGQRQdmwSHx9gfwCwuEZnbGi2un7LYQKeGhML2mKWJ0JixKMqTUNdjLgt7WS0kNNXBrJPvRz/
QR9MKcAuVKYZmiFt1diElTIt+jRAELbB58piTtSP4rpBrO3UqRRpp5oO8bQKQIEbtjHyqwkI2f9M
Hf1n6OjhPx7ndOhiZckYQkogZnSqcaKT8yVD2yecJyOBWVf57KlR2O85UnOXknD8dV0ZdUuW5PMS
LStU2nWJG9/Nnv87F63iIGPjjrXL3spvv1G/iXfXZV5cI5ycqSdZBDVnIDpUkria9sLLV996itvn
sPrdpeHGVqkre8UoQfDBOEZoiCFZOEpd1VKH0sXgxC/+DvWtT2jfpzYqOnbtADP2Zm6Y+7pECrfO
0R+lsg0iOeB6RkpdABabKL8bsnUnrm0YJX8ELH8/PU8VJmR6X03cpv8MKGCB6ngyfbm+Q/+Pdfsj
RFo3X+cqU0MtcclNtM9F8zn7HBxb29iVNtLK5w7/+fJPIpdxJo47g8tjRgpauSnKTzi8ruoBj+xG
idvXyyV1NF/HexNTFw/teHNd6tpimhrRuGEsAQ2zzhcTzb+uYnlORRj3D2nGX3ncf6dWs3Hbb4jh
0oHukyxAyRJigPlDX67P36oKNcEsSP/eAzL4Jq6icWQRXZev3WBMYwsIVJHN8U619ozOXqMnG1LW
bPxUinm+an1QJFoYFFT4KI2raKJm/uP1fVnW/SwSg4swdWIgcbEYR0R2LgHDpBHQNPCAlGfkiZsA
CuhVRQGCKhoPSBLfywM6iURFz2Iw6rnb0FC9CAWlD5AWMk/mNgsnDIckdi/M35k77v19/NR92g47
V1fzRFdpNYverOZphqgipE6bo9+UZRsed0uEZOaE1sB18yUam7NPRqI9hCr/fH3HVi+Sky0zJRtH
uVfJkXWm7nJ+gY4Q2ufKCYX6pN+MO/YjvdleudVjpSP2MyilukmWv5+4wqHr9TY3Awqwz6vRPgIA
bQ/5hiUulnZpiX9kSJaYZnHeo06AVtJsPqt5/Dqr5aGOuyemh183lnDZ6WuyJKNrqzoa4jTBRNIO
I0PNDRDJ7nzIn+Nn/R6l4k9Vb+dPgGB/9u83DX757QvZOHMcw6gm5kYl2eocm4YSwgqjDOX63ZIf
WE/6MSU28Ey7+Cm+xVhh4NSOIgBs2lBc2xAuHQEW1MFEJ66L/rUXS5qnuNROv+sf4rbSvNXDcKKp
dBjUsuc1WgGWKFsUe+pcBEbnXVfoI8u/WE3M7KqoeOBykasAc93RKJ6xk4PTi/KFvwIdukNb846+
By4T7Dk7ABxwj2KVY7rRb/5yXb66JD7X5C8LfnIyWA3QZowRRGSyvWgPmotBtNt2j5mQnWazH1vZ
7OpBPFF3+ZwTcbpC47DiOUZNG6AxCSadiIKRRGvLTlaN9ETOsrUnckI/AjhjgFoGvHL6M6md4nE6
Bi7wvLvkwXpUXfaVJs6030pnLwsRy33ATfyLkWqqGdLx0ICprwHTX6KT6jt1/QOKV576u3VC13fq
DfNZDb9OpUnnoVIIgsj/SFM9dJt3860vgl0j0JW288dAWD+vG8zqmThRTzoTCgFQL0txoxsxaqKh
Ht8FfCvW2tKKSTdEUOi1P4yFJZTcnhzyG8MaTrYDhKV01d+603zCENdGNL5qmBgSR52bo2xFpRui
Vg0A+QnOekQOPWmAMn5Wky33tSrE0pB1EhgGkyPXmUTUCIYgcKv4prb2WfSF/UtGiMrNf0VIBpEG
mOcKYojQR6/HqEZ5DNOH6yawetEh+mYMNB4od0gmUDdGEU452ksR9YFptGI0n8yvRsbdSdWer8ta
NQULYbeOGhhHs0XalwHDtyG64ZbQHmdvFv2zf8ic8Ku+G914X3xKd1secc3ALaCNkApayKtlh4z5
JtwxcUgF94FK+2EBeHNdpTXXtNAtULY4CdOUlo+3fpFgOJuKbswx4DyPbkTZQ2c2AkHTW2dYu+vy
VuMt0K1QUzOpxvDPuS+kjBthvpym1hvcCv3X2aVusaOYlLEnAVRLe6/Z2aet5H3N2C1U2gyKOrdO
iKRn0ecIume4YIL+LQH2LcUYKsa23OvqfZSF5BvsRI4qOYu008o5yBGP0F3lkvvgu/ZNfUfrVoAh
4Da9jb9ER30XOeUX48a3y8ft4FJbNRltKeejgokSrVQZ0WeA2roZ0Gq6MzGT6Vg2cQp39oI9MMdv
bWAb990reR68SRgOAJPH8hd/UBX7XyoKFiqoDEVbw9Dkg8mMuNAbdYnMkkTMwIbEGMG8vtqrm2pi
zlnTUaZjluRejDK04r6C+8/I5AVWeBsWww6D3xubuiVGsp2s9os8W85IaL2PzWgbE0JK8EhcV2b1
JP5XGU4kyymCljEjgzKaPh40w0xtrSk+VbwQSqwchs68/9/kSXZiEkxDA88OeXVrB3AsQ2q4aWE5
PgvswNc2rrRVszxRTzr3bC4sjKlAPT0C4ClBi/wQmEGxFYJc3ysUIc/di5LxgEY+rK6P2Ig2cX/M
qxKN0+aBtfw2L7TbmERPVsCe1IHsMVh5Dyx8ardFeByD9Hmq2nxjX1eDWss0mW6C4AaI+eWTT6K/
WgtHZQbuRuif2M14QOddoAF+Nzu+rX/Od1vn7vJC1NSl0cXQXQC7DJFCviCua90qCUYX1H3ePU4j
sYE2xlTE03X7+eiFnLs6DSUbU2cGbifUDaWl7syub9PS8hHVzq/5C3NGigSovSnuVEBK7OKThSqE
djvc/n10dC54MbXTBR2tWatIZ+HYz/YYvYUYJkTRZWvfFouU9aOGjma/oaP5JBfZTFrFih/0xkdb
TUPQF5cCbYbkrndzF5NQ+d3Ggl7arqadCJTLbU02F2j9QmDlTg4YH0QqusLRuR1+YciggT20g2L/
D6tpMEzncYY9XGKb89VkQQWCHW4qIgAAQ4db0wBhzrLX68pdHn/tTIq0Z0wDVHIqB1+AHsjWlftC
/XFdwKX7PBcgnbLB6NI6KeHO5qywWfvQYCyjNrwhNu24TTbczJY2yxk8scBOn3qFWJUvegqsRHEb
V9mW9S3LLlkfDI8hSlKpaaCfci6CVz6huRktgUSwL0EUtLPu69t8zz4hFwZ5wWauuKrTiUDpMlUH
AHsToEyEWnZsn2EQVyRFl+2vb9NKeIJ9OhEjXaYjn9Tc1wagMENn9tqD3tmzB7YsGyBUjIx65gsY
UXq0cer95BGBIrDyyLzSCUT/dv1TNhSW21WxNsAkO2QOvB/sDuNz/HhdwEo19kxXXbpilWzq0SrD
tDYLj3HLgIlNetGlM4a9viaY2/MzF8Oy7qiMt8W0cR5WUv9z4Yt7O7FRMKwFHHRjyI3t9KB7mGva
+Yf0tjhogvzYCq+31lJyIrg2Z03J+sxNkp+W/jhEG63Ftd83NcqWNAXu2JB+H2UhTk0FrjFrWluZ
dVvrf29s1tqBA1kcBwqGYebAlDYLZQSM+WLOUoyeCnMsHvvbaNc7Kq5puo+e2Ub4pS6GLh1wk5po
thGGti8gB+f7A9Y4lhqsjtE5H9z2BXN83e9RaN/1feilscMwhGL7n4beNhwgKyKvub2u8MptcyZf
so/cAv+aYUJ+UTzM/sFMwHS0FSNsyZC2bcKkUFWVOWSUv8GWZegvobpxsayEV/CRJ+u4mM6JnYMj
bJgKrYld82i8w5HsUMaz89/Av4jU/f8oqa3YickACLN0A2UH5JPn8hKALccQA26u9pi+oLC2iwXG
zz6KzR1KQb5zfZsuLR/WjuKMqYHMENmUZCb4BGUcg84QfmfuePh7DLci88tNOpcgGQLJVBDVUJwt
sOa5LQeg0q+cJBh31xW5vKDPxUi2gOEcP2r1RZGChXYR979AAETQt+9fw5o8Asi81VVcqTWci5RM
g2QJ96MEgeLggPBmcJlTWG7khiJExdVWHXP2EpFZ3t+h9RZ8z7lcKRaJOBgnma+ZovQz3C6+N7fV
xmpumYUUgcxDU6Pei9UEEZAdZoUzdFsOccsuJEM3a8WIUWBQRHPTuTrq7yCHtP2D+rgsXfeCQZfQ
3q5frNTYsHgW11DP4yjryZUafzKHEpPwmILvHPAX7AEy1Vu7/kEOIAR86RSBWOD57wvJqAwh9uY6
BBqmJu0YuAIaMlcQSsPXSf2FEMi+bv0rbupcgrRhVQhyorShCq7j6LvuJW5VwGs0r4i5Hf1Xuku+
Xhe4tnunGkm719bjWPIE19kwaoJ2d0Vh7g3l8L8JkWJGroY9zzisEDP7ETIU/51soqOW3zi/J88X
TgoYeVdZ5QB8lgCTqgEGpsqN0/Am8U3iVKBCKsE59/fYuUWkCR+/dPJVTRJZZ2NIq34wBPgkcoFB
mtnW0YgGuWHfbpzjVXOnzEJvBuVQegF9MBjI6/iYWoJ9Q2Eyw3gxOA+ABBPUpu/z7HbPgPsgRhXX
d27Ff6DsCxy7hexdsxb269NbMxwmpSNxYQoz/530b2H+5frvr4SfyyEGok0lOtMvqh4VuBxBj9GD
qehdBf3qLvrmi/T3MjnhQL0fW1nscnwkKzkTJx0vo/KjLlZzU1SYOGL510j9kqHJBradDb0ur/9z
vaRzFWJ6eRorQxHacXL6O12o+1hooD7ZF4dCAGC5FVpfgqb5uUTpkFHqj0uIAy6pXXs3iyp8MZBR
lDYDHKx8UnNRtc5sgBHKBhp+I/rQlqrjtXWVjoIBigtS51A3PqBcH9gpytr9HS7SxA49UFc8xz9a
29rl7gwu3QRZ2tYXrBkqvLKFzo6uYiUkQ4XLVgelXbT3v3YzqBq6Lde84iktjnaOCto3HXVqaUfb
uuGZZjWmwKgnJvMxEhpi+tvfgsquicEwgWoiPkAio0rbmOdgM4xmBAXEAhCtAHXce1Fv1pCWYE3e
r1Mp0n7VGca3a4JbUv00e+nD0mWmb8U7fa3RayB84zSsnboTaR/WcxJ7l9owz6WGpcPAHagjNAxt
pzc9fHXdBU/XD97q8qnYHgavhZKIpFgfT7GSZ6UJsmBMLRnPjP6K5g2ndSmDEkRN6JkzwLJVue2a
akllpCEiYctAexcYyAlDbRiJAVPkX89bAGYJXCfw3xS+kckQcIyyVZhTxRUTzJ/C9tnovyvD4/UV
Wyk/nMtYjtbJ7uCpA2XoQS6zoH1BK41bbAoqV60QgqNVfxd3DSg+khqTnhO3gxJkQ3ZHGNlwISuR
D6CsFLB6w1QxckakDAZTbEEeJZn1gZDEAKKKCT2bu5gFEmXpRCKAK93QfG0jT0Uup+RE8yaPc+r3
1RJsza+qN/5MRSh46KlPjVB287GrXLCdboUNK3ceJUAiUSipIyKhkq+yMJ00oZwcuOGhFwZiPPPA
XhaJ4Iv1rJcNJReLPz/q59Kk7dUiUIBXoIRy40N/qBxfZNzxh0Pogdeyv8lQ51kYYEw7wBzw5+pH
SjdbfJfH//wLlm04WeYUZPF1RjgqWK3ikvhbBDobPr1U5dcNVRcTOVPVBDm4Aagcggbw7zHpds+1
DpTQCGfdBUAzi8aJbnyP7zRMgBiHDVkXyyrJkq4DExTpEQ0gaxn2AqWgEwswzljecOTA8nK7/NF5
pl1jGN9OBPhE7a0b78J4lw/gBK8jcBXgb0tWlpVWpPtG4gZwPboB5tNv8VZ4drFzHzIo1QhuVuBL
pJ2LFSBsWQYOg9lHxx/TdMGIOc8EAYW2tZ4XFzj0wAQWjj9u8WU+6dxI8N4DbwMTsHkFFOV43OBA
dFMsEOKhN3dlmuDO0HbNCP5PNRRZ/W1uy0NqPgf538Owli/hqD5zRBIq16QbOAKvgYqhrMSlO4Sk
FdLzn3wf3Yx7y/X3lLrAKapu4WEGFgF3tVFuW1sGqpLlvQzgeiiRhAcYb+VzhRUH9iG0wQI0Y4aq
HDac7eW+AoOuI543DYvB1Ur72oJzAWw8KZhqSXBgBL1q8w3E0Rhn/7VxTNb0OZUkWencZIMSFpDU
uHNhc2/el3vt09TZrTuI3B32NSh8d9eFrspcnhwxMQaJeRmpRQ5CGfSOmwQyefTegUYuo/mGuS6n
+9zTUCCuYB4m4WjXytNmuumX4eDHqcsMZdcOGdgc+Z6X76rlDuGwET5tCZPWEAAZE/PbEJa2ymMK
YuYgu0+1o26Rh4D9dfwJ60ekgYeOmIE8Uw5uIgAMAmVoUzczQApMK5jG/UI0+/dbdCpFUikCGW44
qZAyql8j+qCV1YaFr9nAqQDJPQ+gcsJYboc1W2ggB1ASJT+vq7B2hk4lSCdV73vaDCjWuL4aV6/h
aMY3c0dV2wzASlSklrK/Lu/S359vzHIhndyiXIErVgpopOpfZuNTUx3RHrouYmPRDOngpPoA2hUT
KuF9GKdQa1T63/83CVKQN4LLTTciKDFlz+HwOwANxXUBq2dlif1Rs0BgI8f/k6mAq36EgCEpfoLI
HWyEpZcW/CVro5soK8R1cZdGgOAcNKDLyBLCcxnH1S50APqspG7FX8fp1ceoBpjBUYPa2PzLnYEc
FEgQMWrLvKl0O1ZM03OMvqTgTDIKh4DG2o583b2uzCUqDfZ8KkUKTON+MWg8e+PGmk0AUseUeuyA
RqoVvrojLoBhgjth+jy6hQg97nT+kXpkD2L/6x9yGSFLH7Isx4mtz0ivwh7M4G41YJY393zR2ujX
gzVFZCJ0t7AwH0n1uTtfFEchmWmWyTBbeS4PjDhDAN6NDLfU4I4v4D35HN2mItsBBy1ml92G0HjE
ExNiq6pwWdj7UPWPaMkT1sVopiwIMYLjjUIVkZugUOQ/cLc4qK4GXkx7C87+YZQX2gJsi9yDI1P+
SAhPVrcABWoyTRDZpM9N7mXGm2r90gEFGitwTfeTo08gqVY3IptL/4U1PpEqmTDeMQHvfQz6nyID
wrfDiyrfDMwqXrecLSGSBXdBxIfKgJAUGD8bKHM3K8lLklRf/kUOA+4C3WYdAfK5wUwq6Lgx05e5
LX0KGbI244V1zYYyl73fxTboHymSNhW4EmlpQErnNGj6tofqJhZJZSvO6AwC7EPHJTsmdnwz/EN6
cS5bPoIEhPlKDxos2nTIF7/7DHRyXN046ev79UdD6eB1ehToE1vWsVtevbKn+hUcLhtCVp3nyTJK
R8zPxx7PfUGVXi2PYCJxTM7EdXtYvQdOREjhhga2Jr3OoIdm+qBqBbvHUmdFhk0qZatqcVFrlaxC
CjwwsB8OYIvBwwDIcoPbZtfvBy970Pb/kOOe24AUckzBlNQYkwVj15fue/1Cfi9zPhEGNYjXHAbP
2oFdAfm14dS7rXL2hmHIoUiUp2FFshhIEaTTcQDfT5ldDGzjiH0kc5e+8L8GKHO3KAM45GYdKjYu
nj6YQNHtgLdbBC4ArmLCoRt2wU17E+0mL+kdsjfvmRfe82N1KN7QhTkUG15yw1ZlBpe+SSzQQ0Nv
Dlpo3wDR/vx+3VTXL1cGz4/s0rr0XWacRnicASQxgxPdLy1G8Mg/pDZYMN1IVH8dUsKE/giTqxRg
+SljI8DsFGabQM6hVBGegRrBrrt1hy+2eLGRJ4LkExiTAc9/4ZAP4SNLQSfHTG8KJ1sdIyehR7xo
4tTF9+tLubpZJzKlk0hzEFMOi49E+8yeMkwLtFu35npMtoxnEdAKoCsgeciRssoaSJahfDfegZTr
R+RaIOe8KRzFoaBv0R0U7THtH4l0Vzs53ktwtmzysruzeJyTb5AcqA6OWjxAgG9Q9vy5+xL+xBsb
CKzBMWer93jk6AuwhnfzEfNqYBN7yjaOxLrBnoiXtnYBEBcqh3h0tg5Z6QD9J5ZyqfXF/xFttjxX
DelEmrSpUZCNAORBGnjInFnFtBPoEMPP+fCjILUd0lvf2lJwUeDCdjmm9FGKIVhrKe8aey2LcIUg
arnTalCH2pqT7Yunxglc/6c+OXiwR79ZvCweWNsCDq0aGN5ARQ0DdE6XLDNpFSrgV4YRg91squ1R
gPvuV+VY962dHOYdwtBdeD/fG7uFlojcpk7njG/Xz9GqgSFf0z6MbKlonodToJirjTrBAizURJrD
nAqqV58TEHWMezBeY5L14NtsT/Ya3iAAF/nGNXAJAcKqn36AtOlJHxr+SPABGsDULr2ZRekljyDq
ex1eqzsihk/bfFNrhnYqc/n7SRhupjVeY5sgk3Wlh6ftvvvluLzsoj83qGvZeLjjqNaIz7EuW/qu
3a4YgltICFA8Amr9XDRJWawaQQV1azxV8dSpP4N+y6iX35CNGgRJKGJaS1dWrh2HeDiFhEq73Kxq
6kX76gNxp71n2Qcp079AgpZNBDMOpijQRLponfIa1H+90mRujbHgWWD0+eYlOC7YzDcQDL39NTYC
bxRjpAgzsyZ40YmMw5+zzmjbyU9dY1AeeTRjkvDfRHC8aIo8gzMiOV6SBXgGxIeIOn4Kte812xqN
umz+fSjxR4J08oYsjvSxRuYbH6J9lmIY1xS1O7t42xPuZn/9nK958o/Zgf+rj3TMUj5oYdGgwBCw
9mcSmc/plL6EQ/SuDe23qYxvUxLelYUiRq3a6ZVxB4LlDU6UtVz/7BukY8fxeCDqm/iGVizTbnig
xSPu4mrNn/qj+pt6tRN42j78tVXVWDl0p4LlWlExx6TFU27w8mx2hxhJXJzdWrzaSEUuofPnWyqn
98NI6pB2kKMjP/A/LxPyIKwucSbo74/5FABRy1sVb3SAuREd1kGALVzD7bJlvZctXelLpCwZJPtT
PulY6qa22S7EKDSQ+/QBeBA7/64Durw5nbC1xpJjoyDhVPvFnBEvCAuvnXHLY0G/cV1sSVniwhPP
3Ub1hLfjICUhhhv3AR4/Bsos30j01m7mM4NZPuNETJUCmJcoWD68PtrjVTEHr2aIntv8dokEq53l
zjfsHSN5k4hv+8/dJ7xPEYPm17l+ale1hQtCiIB+kSm3pGa9B3MoRblIU/DIzPTD6n/E1haX1Uoo
jV6mZgBtpmEW9APddKJrDn7QvMkgJDXf8c4HHhHeiDHWBADChrdOl5KXwaXKc99MJR7XWE5fMh8q
RMl1G20s1Kp7O5Uh2btpZSam+CCj/ghjsEdHy33nO92NPm0dri19JEuv8LgpmVIs2FxVlaOBeA6P
faZbGi0OWbrEwbaEsjMaoYC7yK20OsAbND3GWqGR8sm/sTxAvpf6JHgqu7v4VsfUA6DR4Pn4F6NT
NcwnojyJJrRMkdRFXMdbosjLI4wDAxKOtyo1vHFgiL+3bfDNgu6JYAYab5+dH7HUqI1R66BfbIEn
EhS3Gd53V/BE2XUxl+A8eMJTOdKl08QZUpgYcswjt78tSXdgHwBWQ6W3dPGc2a4j9mZkv3Zw/wjF
sOe5cjxX8IZOXnzUNm6y76rIboAIvCscPExg9+4DXoGIdniI3QPpDrUtMe2GfYmHyOytYs6i3YUV
/XeVwUhx/iEDSecY3FZLArcw77SoV4X75O/x9B+LzDH0bIGFF7My52KsEQTHGE5AYawm/XM9l+H9
SPG4+/W9XD0SFIAIYMxgM/LAeodnNZEgljgSJQE6IBZDOTtDS2x1eBqLn1WbbdwDa/V6kMb9V6Jc
C8sLjnfaLUhclm84Zk6PzIx56c1WfLahmlwMM0AXFGjgpXbnXv1K8LCpFXM8pxh88i3Q/UdEgF14
a75p2fsL2zhRTvKZTWYMfQK+eASg9QEoGi/Z6TvVpftgs9eyeh5OREku08fjlmVAFlHm51Z7irQv
+fxy3TjW2jm4KBdSJGBIqCkz36q12tEmqFGGcnJE1BUGnDFnZDxOAoBmj4v0ZutwrYYJ6NqhNrS4
al0Gc+h0SsegR9qjPZYHPNSys26XcDY5ojx00982Hh7CPAzPCmaO8iN72q6Y/D+U/vMF0sEDUqVP
BmC8XPaN7Wah4UE7xTHfgPcEpU+H8FMM++Dr9ZVe28xTraXERauDjuD9H5QMmreQvNXZw5htlPfW
qgLYzD96SbdDFScKZXhlye093bNuY8+6Z4J/692Fuiv/xQU7/su1fipSuijaBq/htipEsvKXghd7
0LbcuIs2Fk4G4zZGiJzDwMJZHE+7lYCn0a94nm/jYl2WXz7W6KgytMcwjwaM0bkvVmorbBkeXXJT
BfC0EuhfJ6jTIx7S0tEXCRQ76tjGdq1FRKcipVumy1oVT0Wj4KDPHm0o0L/1Vji0GLKsFRg8ASZf
4AUQdq4Vnh6ENiWCroX4LO2d9sXEG38uXhy/TfCGhIM3ZkQE6mlvKxxa0+1EsByHzZNPzXRpUBO8
s1VZeIqG//w/pH3XduRIkuyv7Jl37EKLe3bnASoFmUkyKUq84LBYLAS0ll9/LbJnpxORmIyp3n7p
08VqOkK6h7u52e3ztLZgqAmYoJGlbDAq/YKLALyEBIkJDSrs9VFxLfNkJj/aCmWQ8WBOKm8eV4aD
thmwCFA4A3qbmaWCUHNdt7GOeXxCTtfHteWO2xmqvcg/OtY+3Yf+dLo9vrXDvLDJOJoq7wwtgnAN
ULf6XruLn/VHdD3TyofkyO4EnWh3Hpy/UN9H4Af8NhK7IprVWAQ3JDryZBqsFLlz/ZWmGqAXRKBG
5wy+7id+/xRBCYAzVOrIltt0aZNdyyIQmyimaSN3cmYXqhWiTdApBJZFu9yLX3hxw0oWaWmQ3jkX
m6cbel0fTNBIRnUFeYa0um+b2leD6KFUoKhVK2A9hJBcpA9f6naG3Lvg3h7y9YbCBwCjCqYoCah7
lp2iNLsorCmbUTL+iLLYiYOQc22u7B+cek3VwWkv6tcdJn1pULQtKnPprjoO37Uf8RmWQl1c0CM3
XTrBkVd5ub6rlzaZhYSibW6JE6XnbALFSTsE7No02rOZ8UhFro//0hKzglBtGQozB5Vc40F/anbr
R32yBZtKFSKCMR/bfQfFQbfsXfLE83k820z4APnjEU1v4PrSWslOzMLWfNF4x4CHaOasokJPOXs0
NCQxVDwrweFv0G+52KlBFkADUMAqtq65ad3sNIPNdb7TnRIa23b3phCb8rpq3ujQlku8CBOALVDt
BVuN7JI9alyP3WPBfyP9i/3155cxwQZKtdB4JuIf7I8G+hDASIKHdu/0XtQ7BPLdPgEgS9rdPjkr
STq68n/aZXxaXPZQyalg1zyATflIR4/W+L35ETqxh35D7/9mj2XS1fSpKuQS9tQSTlSGoCtEFAFp
mTedO86evI3QPswxunY9XIyRJW2oLDRCQz0bbHJh69cDZDOVhnfpru5iVFSQXRJBMisxO6uAvLVk
tdhZ036AvpI91DYIG3bRXnfNZ9VtPXIKCkB25Dse3nklu4AlRF4LfHVUdoOFr41kboUsA8GsmZ4r
H9W+StDJ0m6VQ7TL34d7qMq3ryC1O3HWcvV+ujDMnFworEGKp4JhyFClEAWz8xfVse6otoN5n+yC
B4kuKO/Fs7qaF1aZmSaQNGyMAc67j6DaW+HG8EtimpyrYsUKenOg+IQG8zPX/fKmqARIRVolOBWL
srE16SXKXm7P3ooBDQIiYNKXKJkI28EuTq1cTkqIrRG/qkDCZdPP2wZWduSlAbbgYEJ5DiKlMCA2
n8186pP7TjgR67mweA1+KykKkxJrIkuMljhJE+m1e3Gtit1gCokmRXjFt7sOyjJ4wzu1zV/76wjc
xJMM7c6A3lGmWsZP9aqFPtcxA5IEbKsQsG/eesiIZ8TwFdPsOWf6egKXxtjtXc4IBETwkoST4RTa
keRHkv6c9bu+395eqpXU8bmPXKFia0iEn39+MYEkDXF5KEDIGEoHUTvdjQoIRPWRW0Rgp9Kbo9k3
u9FqPVUYv+pWk2O7RL8fRS0/gsaVFx+RNQHkBWt8BETEshoKfpnOGSd1Jkv3Sy2YJrCnCtL9BuNs
glrqx7HQYk/qiOig/WCj52FuS1b2OtapD8TSfU1jt7AQ/NszvLJxLi2zbiefQF4S5ToVsesnuyHB
Vg7j3CHG5LemwNOeWUmJYJCijA0qQ78H6JnlVHZoD4vHUIXiF3Ss/LyI5U0igbx5iKCvV0NkGc9h
c7aRqXyb8jDwBpBH4iWeA+FjEiqcOWabzuBGsTSIYOf/8rOYICNPAmREe8z/lBPlDfJtwHd3Gea7
FBJHm7X2kIRh/JgGlry5Pf/XroJOCETJJPTl4PHMHFxJE6xe7szYC/TSSSyo6om1N2YFJ5xZObIL
M8yRhRZ4OgmWEXu6eYTCnItu6p1OXhJyH6g88rXrCxxDkgCd0UBYDaZfJscRo4czQX8uerWkxGnr
H/HEy/yuWECaGSQn0IqQYYWxAKbfQh9KyNdQ8qfhqKnbgHaoOiV6+puX2unJlgfYO7NWMFtkYZN5
m8vIPuVVB21l8zt9rrbPwR7vc4j/vXZg595lR6gOeYI3/Uzfgg/FSRxpYzw199WLfJ97ut8eeHj1
lZ2z+CDGt4BKVQffKDSRCw0SyHXmJup9GBicF9CaFRAnAfpLvQoSIcsDO0cF4gogbdyoPaXZU6D8
zJKX3z4ClJtZkWQFrhKwyKUJLPOsiEUO1WpRdEdSuHl0MLTH20bWbp6FFebmidJG12YdCjrQyrW+
9o/5A/EjPCLAPW05sk0p8njZqZW7dWGSmbs81PvImqBDVBh3etF5ZQmJWvKzaibO6V4zBLg9Qg2Q
u4GKkjkPpCDtEJWQH4K+klN2Wy38poUo3MVvtydxxU1BqlxDJAPmUvCFM24KG6EzyxBqPeom2ib7
ZDPvYxSseM2ea3tOR1oPGTfoKSoKsyEsZENLEptQ+5a+J1bsKcoeXsG7PZZVI4YGWgxZBr7QYBZn
HqDWXRI6Z3KdHlHphRhxJkZuEiYm5z1AfxV7dYB5D9sbuVFUQJhpqwTowJwV14pItxXzIwYzgir9
yrWjnEHZPeeYW3m6nsUoTZCvAiCrsrm1dArq0Jx7NJaDi29W3FLdUlY3KHq/qODJAwXQq8CJqa9n
E2A2me4LUP8g1mVCpNJCS7JGkJFp8l+a+FMP9iOyP7dXbCUVgDckIGUmRZWB4pmZx0AbCkNq0Ec2
ONJXXL3ziwDYr+DoKKic4XOBaUe+wrk5rp3Nwir7XFCGUWuhkqq6NdXPnWc7DXk08iuJwqUNxrmE
chBpanZmm6S9C7nfbwG6Or8UBM5te31XLE0xbqMrQdveErBqmqV8VxtQMJfKU37KIHl/e7mudz0M
Uf0/XEs4YWxywYKq7lDPYMYVrcbrw8CJJuugErDUm5Gja6NbDw3nTK/vkAubzODETJYz2cQ81u7o
iu8VAOH9tnJnYB0Vh9jmHR9adR1ZYZiUih+ZKETwbBEfT2R5niaYbAig9NodyV4SwS+H1taznPPw
WtuKmFPEiXCT8hVgoJGKShUrMKy07b4J0ZQmtZwztnKOacIYNKGAPNNiztIXV1GBnj/kUlxRgCJx
LLhCpR7jIv92e2+sDIT2UVPFBMRvIItZmtG6JMh0A3xTTSM9WUL4nkFHnjOUFY+PaAKiFshLSyDy
VhiPb81kmqMKdAmF6jdvyTb0atFGTo1ITo/+ReOXFTpkP3OGtvJkReM71TqkfEiguGTMSiRSYo3u
wfFDRJVBuysOGZhQBxe5ynrTbX9/Ji+tMW4s6+WiUFVY0/UvWvUWxZzrYgWDToeDoALFGmw69tJV
5WLqlAxMZMEh2ICCQgJZuKNJ0HDBDgfEzppR9O0PkTvHyE+GXyMuh+fKnlQMinmSkRSyQM+w3Cx5
hyumkXHtTxY0ztMnXWhtsO5zztb6uv1phiU0NoM2zSXK4KwfelcBEypxGwESQ2SLFrJvvHf3ShMj
5hVIGZpyR4stm3EnU5oWKI0J6CIOT+Dad9KHSPanQ+pDRcm8bwE2jt8kR3TlrdIfEtO/vW9Wrq2F
eWbfoKF5xHsXDEpZXX4xrXTXanloo61mI3W6H/YT71W45uMWFpllhAj3bE462K3UjfUVtGsb9PLS
3mVaPmi4Zam1G+Zietm8Bjxc2Sgt6DdBlYLOBUf+DEcAvAIILjtJ5oCIHpRoTsvTvV3xrtiNKhwC
0lVoImMuNkGEk7My3DnhDDqYcQIPWjpF36I2+5YM4fvtNVy74VQEQhrSschzAyO6PBkd+jPEKJkt
FwhHBCeNgQYRKr6n2yARCQGNRazybyQbV+Z2YZb+/CIfls7I5xtEBOXtUG0a9ZTH4+7/ODJ6J1yY
0NQWik3CROtu0ezMkUvm+8CVd6Mze+1sq8S2hh0fXrmyfIuR0Z9fmNWTeRStGXSAoEty8kjfdwCw
QToOeaGME1au3GoLU4ybGOa0KdEdEnp5jzae1rQlYE4UImxuz+RKFIbsoGgClQdOlqsnm5lWY22M
GJFSlbYinybD8NUosc3ywWqKu0D5faIU69Igm5sRS0PsRn2EQUlySP7USy+xwoMPrE0eLhMFXIA0
t86CDVXgGTvE5aEnAFGVRT8hQmnHWuPenrs13wd09z/NsAhDa6jSWSlVrFEEGSDV0bbF4BlHcTfe
Ra/Gq7YRXfQgta/NNsHpuxN/RF9uf8GaU1p8AXOfNPoMglARX1C7+p4+DNCaAHTsM8CpG+Fb8YNj
jv665UuVdrz9OWAmflaHcKh0A+Z68L4Np3BvONn96PWnCBg9jq21nQnoPER/KUvIFcWpXKqSVsuw
RfU6REdy64dw3wDncsKZm5+KewOAFyl2W9kPHC4WZO0Ou7TOnHS0vo/xKIFsbn5GI+Gm9MdtM0Cw
Hjmh2UEv874IXIUXkq5sWyBeKP8KpOk0cHctr5exmfUiMyxUAfvQD3OoJaI0ZBodL5Sh9z6zjJQZ
kXLpAUyEmGlpJ81lsTW6xgLtaHIS7Poh2PU2COzAYoFmxdzholVXoomFQcYjgFYqItEMg62rfITi
tgbyA+nQHMAMRNr613L2kp+aI9+FLheLzxss4yoGksTG1MI2ZZxDN4iJCN9Xd1LgFS/Iw/q5anOJ
wtY872LAzPYJw2ZMBNQhPGub7+bMVz8pfDzwOwsRDaI2Yuuzy8v4roVQC6uMzxg1Q4ASFKz2fnas
H4sncwcOSlfv4eS54KWVE6IhL4WCFO08wQtguYlAGTpLowDF6m7fFnZNGczBQhcjkVRPThjY6bbK
gY4PeEHN6noaCIvPtJfIaC7tCglpGwMpCgDS4pcRQIF6+zFCjkAAyATdpg7nGlod5oU5ZutK5WwN
vdYAQ0Icca86Y4RYHNAe0C3jDxUHSDTu3bdmE1BJlPqAigBCiw2+iTlMI+mIF9V4E9axXQm/32YK
amodHUMoo9M1ZE6FmHfZLKUBASSzeou/NY50lxzitwoFidYpD+JfCbgXBpkTUaCVI5yJBQXCr5Rn
Wac3qunOm97LHgH/BzKo4rZyrB7Dy1Eye1SI2mgA8gQUPT42jJraeKC6NGTLbP0DrK02GPbyDe/t
trp8F3PLLF8/VGDS6kziGamB3P7PAGVLzq5cOwSXA2MeS/0wEhxLmBjgGtGdCArw0MvQ9027ppJn
HnRkLXGGKg84ddGOgnQC+8ofkLuNogwTCZXW/J7GOuWzHtsWfS29zEc01Pnl5i+00GGTQjsV5KQK
wIksqV6ah1JbZjgHRflohtDnMiO75TqnNa8LVBvQu1DtuU7IZCDXzQmA1+i4BocA8sbNSUHUCAru
B4CGXTB4DnZWbQF19W6vIl0k1g1fGmb2iSTHOihmYTg1BKcgja3EL011NLsdIaPdhi/tkGxvm1w/
EReDZTZOElh5W6IP0Rv25w5Xr0JjDPkBsV3oeGfPaITkVbnWyg0QvP7n/LLVJ0uPyxl6AjiEIdR/
NCC6QPpqZBQhCBk2RwwQIfM27Eo3L7bOhVEmlOpJWwStbFAvoe+B5L0jX6tj7hOkte3+jvaXHNTc
KT3Rl21ZQOty7YNAqX9ter4LoVfbjXVmRVnDTlawzHmERqTxfv6IH7X79KFwZFBEBM/Vzngz76a7
irPSnM3FchWgJWkq+x4LHe/MPSU7UjbNjg8sWgHRLSea8Y9DIOogxjnfRNGEdmWoij/UW9yxVNI8
f6OXrI4mBm5XEndbMR6Mkl5nIHmBQ3ENe77vTRsUX/o9DQU0RwLsdqO93D48a1Hs5Z5iXJg1FHKe
9rXsdlQwqkUDsfWz7tAbKB5Fk2Nr7W1J+fJBk4OcqiGxtVRU2uuyomEObaIxVTu6E98gX6Xtqs9w
M6JgUe/zxq7tNtmMjU1bf38QHo5ibePiEQQYDu0nBe53GWoB86tJQzBQLzN45CdEU+G171obTFZf
s6+6HdjSIfHD2b09z2uXFN6YoGsE1wbIfNnQckDqXOw6jY4dqh2Q99XjjeD8QfWdPJvQIvd4F8bK
cQH9JXDq6CISqTLOcqhlPkTZJNJ4yPiCAqkdtnv5UQaReQeKb+FB6J44Y1zxOguDzNxOmiBoUoUx
0u7EUHfBUAf3rX2n8On5dfqifkkdiwPWWDusMIr6KCqweFOzm6q1gBqDLGzkIeMyuvN9WNvajx66
h+Oe0hlE4M1Cgj4/8IrpK+wRVFngn4bZrM/cmGBusDDaFg3R3TvliXkJQWpuZ6/zJtpZyJQAHD6B
s+yVG8GvxEoL24wrEOcELb100P1XfU85ciIU/dSH/Jh7tcPXT13LyeioheDU4OSClZ9BWwRNBkjl
EEY4NZKvI+BMRbsF5RTF9FY/eMHm6tRemmOGR1JF7Lu6jpACqu9N+Lp5G74ad+hotEA7p7ugcZB9
BYE2zZMUHC+zFhguBstkhJqwq2pVLiMveCWPs5tA/qu3S5RSkYodXPV+/B753OTM2opeDpn+/CIN
Wwpq13QBZnj8SN4p0WkqOcaBvKPXwI6fzJAbw6wdVij5iCaoxHAxsbBEvVczZO0xx6Yku1X/EOL1
Xvecgvj6XF5YYeLB2WgCIQc/Pg1EvWAfIxb76CCAR2m7Rk8CBN+ZuKjwNT8K6lZIKuCGV6m4+nIy
JZUg5WdgMifVJy+iJ9njto4dgBgkDRU82m2l8ArV65sWJEBoZTtjx5gwFBzyAUTscR9oSK9NXnQ3
PncH5cuwoXiNZCeldvDRN0BdlZuRx+K+6l60P42zaduulYYqCGBc3Hdvkttt9McIaBF0edUOaNIO
/CzCuWDNhICY5H+Ol20RD6QGdNczTArb5pfkA+2foBKDF1TznXImpnZ8lACCcKYdCJ63tYO3I8ep
rm7hiy9gDmpnEDDkC3Bwivgxt4+TvstMrhg3/SVXwzwLbhoQPoCW6HIvCWZphUSFERLZI+KWbjMi
zFdKZ/ToQ7vwbjvRlR5u4M0u7DFeu2j1fk4N3D7iU+8KqBoaP5LP7pT6YWKHh9LrvSaw47vIl0Ob
fHY72U6eeRN7fYCoxiiejiJwLKiCs4XhQSqGsm3PxxZlYUiblrJnogFpQByqdS7yGlyTKjvP1CSw
rciOIz+ksdwyLQHSzpCTyJMexL25QeZtLxwFsDdSIAt4l8sN95XMM8mc2CJrB90w8IhpLfR7qd5U
OBQgqW1K3a6PFCCZH7hPx6sAdDlO1pWa0PCtuyGmrrQON6oJpkTwk8V+D4faGVu1cyLIFdlBa4cu
tz3oKtyHcdSbJZRP0YuNZq/lZg7SQpEKAZPc+u296tQP2UiFuYqN4JVbtO14mlOCWfy5u1N4hYDr
yZaB90bbK2RQIZjAUpAkbdBZgTomXtmNX8NA3IP/k3N2Vkz8IfcE6gMgDM6X5KUPjVoo7ChQe0iJ
kt9DiMl6nCLR2Nw+oVdhNZoVsC0AewLQBTRCzBwqM3CUaliorlk1pp1186noDWfS289WqKDAWwVO
31pbMhen24avozDGMnM1aM1gQDHIpHxl5wyZkz4DBm0bEFMTHnmvBzqMxb3HGGOC+QozUGZVqLq5
Qhwz/tXJklN1X/7KkEDzKBnIxNH6zXJDZqTHgyFCC6D1XO4saIJY0MWNHnHDocGRGzavjunCGhON
5BCTGTJqLawcyCcPI3qh8x/VR/wm+uMmuaclxhCB3uTeHibPLnPRtGj8mNMUdseqd5TopTJiu8XL
5LaV6/c1lgxva4CikZYGOJUJm9sy70k5m5YL+e4CLbtpZ2e10wGLpdrGkzHhGSZV0Pxr7tqjsS/c
yOdeMGuHA4hAoOYVEJBcvcYmy+hKsUGrHERLj+FW39Q7+Y02ARqe+LVBg7TmCE81Vld45HqQqxDa
Au02AHZosoffAvHPci+B0nsUIMqNvohdDV/tdicILW/QXrMzNibcpM87IlduEnaA2cZ1ClIeQKrP
IeHFhRN0vanPuUHrcBR7WYzgfwg3yU6N7NDRNBcPe+/2Gq+ZNFWgFFFHQVUaDe7LQUL0OCpi0wzc
GOEdpSu0q1fDM58lp9m1KBZxDbJ7F0UpEbKwKvrRJDyyWSqlYJBIpcWG4M4PCtB9VoH4LvaN47xp
f6VH6Q1kNjmXJurcInt5+1CrFm5ZgAqBsb7aR0GtjHNTjyH47nvXQo0jbkFkEyGqRJbopD5Pbgg4
k+XKvLbws/+9YZl91qeGGALtM4Xe0IaeNIR2UCBZVQ1ODFhVq2ROaIx3JBROWf18e23ZyOA8ZhD3
qFQEFdkM5pFdzG1WBAEsZz0aWvFGSJrKboYRdOM82o21RQVyV6F7Fn0orDZKLYSViA4UpCuKX1ml
bIIR7Wmz4f+FAf1pxWIGBLIvOUotWGnTVzQr3iE0sS3zPmx4T/bVmcOlZ9HCH8XXLg8Fco6TAVXy
0Gtm2RmE0Lam3BXaH3Gf7m4PiQ0xzmt0YYlxwWlZoUTcw5JWWfuSBN5Y17wUJfVCyx0I4gqo+4Io
BCUi1ImWoyn0bG7NAUifEtIuqV3fy450H2zAIegIpwRAXuFpaLYhMKj8/p3r+wVUe5hG9Cui90mT
2FedmcYI/ueRoDnPFVO7sVPXMCC/iFWcvfoEsqNNxgkCrjYjWLJgEHkGC+K/wGAvx2vWVTO2Q5F4
enXso4e6ukvj360NQ24EfhG9hirmFq8LZk7NOu0bZH4TpF9BQaw6IoQOUfIGrPd7heSOCNAE9+Zk
X45nmyiz6wh8UTplEd/FDCr1UJv+0CAMt8SpwYm+axGvkTsV/+Jszes7k47xwh79ngtvNKedmhB1
Try4sHtET0+yM780eJMLGC7KRIlTGy5IbTc6Xo6b2+fiqjiFwYLlDGEcPL+OMIQ5691cBm2XC+g1
i0unrQq7UHa5XAM5Lbj5rO5GTbeNcq+Dg78l1Svqdf4sldBiIndKm3tKL/p93O30SHEM6xhBhnma
axvqSbEMohyicK6mq3NMPxcpIpTTQP0BurTlXIlqMpkkJXjBA4kcDrYRPd6ekCsDaOqjPVbocEVp
+SptAOMlumnHyBelvawbLhJhzm0LV8fGBCGBCfQ2rgoF2W8mmI2lcE7lLpTdFjQZaTnaubQLeDWb
q8QSRM0BVqPaEHSqMF/LiZpyLRUaDVYqb/YNf9godz3KJbRaIx2KZ34R7HpYC4MskCuPtb4sB0N0
BeNU9r/qonbNkPeGo6Hg4opF2h4Ms3hyyGAIN1jRHhJDsk8rkfjMyl9xIm+iuriL2sJF7Hpvdd9u
L9SaMcooqkFgVkJmmbl7mjwiECImMtImAa4AvW2k3WAoYEXqhNKOSZVsp4pzHq/vcYzwwqjMGCWB
qhRtYIlAE9e7zqNM+sUh/YKHwGbala8mh7zxetWW5piwVBS0KFXHDIjGJNC3tRmND0Uch7YZB7/L
Dwwl58XIGHeRN2LUz00lu8WEwijWcBoqjgu+OryMCcbLd2VjEFLCRNXMFUjq4btSp+Eheq/eawC2
QWIMjyWEYUgpsAW6oARxxQQuPCTH896uXxIv+R5uVY8mjOeN9ZSDfRxCY812y8djXTVjsMbprr3w
FlI+FLUaVDSZgNdS6dIyd4M2heEdbPmecozuAaiXaHoResvcLBgb45yt6yg+gGzXAgUEfUdeWG8G
fSJmCOvqZhC88bl51R6yo+oVm/QuNR3xZ7Fr0eROIYWpw6svnePBy+PPWGcjbTJMaZzmsN5ZsZOZ
4SYzY8fS8a9u14inrJrspP2wBMkLSwsUBZMvRFBfbYgfRPFTZqKjtHgt1adGTd0iHNw2uFfK0q/k
2a201yLhaX9fnWb2gxl3ZdZQMy5UpOaCg+SDPR3q1EhUIhF7qo+FL/CRCOwJYA0ysYRVBHFe0xnS
OrtIgQRHydonD/outfO39L0+gqd4e/uavCoonG1S4lITaCw05DE70oyrMpkTHAdaUG3BVd/7k6eD
BzY6s5hSGZJ5D22iLdlmkNPilo3YOwzMV3h40V5ypCjRR8dMstamEd57OHR6fhcRdHgliVN0AWeY
VzNLrUBPGG9aoAAgGbvc+ZD6KOpihpWhzxyhUeyw6d3bM3nltFGhRZ8huCLQOYw0LxsaZN04ZDKo
9nzNDo/k0fArpEFoDkj2qUgc5X+9bfF66pYGmUGJch0P5ZSBsrf+GMZDgna1tny/beP61Jq0Mx7D
wnWBVKHO7I8gj5Roas9qVYNnyXZ1BO3+d+GhOGVvlDAYD+eDckK3k1dHDjQFVB8qNT9KMGRy0ax0
PIsLZPkpbFRUlHFL9LII/d4399KWkhzRoiIvwXS9VzBiBNVwEQBxXLEC1EoQ5RAWh1KCIPWJO4Ms
M7XJWBqDx5lbjiWVCRcg0AKsDJ59fnxfbONdsJl3lNoj2zefLbHRqjNuacv57EEhPoYijYc/OdaH
3AGD2u1Pud5KCjr4ESWBvQwP4PNVeOEZYjzhMzJjK7XBQ4Y2ueqlmniYEY6Ncw3uwkavtq0EWcjQ
L8snfWP4MahUum9GYqe/NA09Awr47vidVte3ONwdcrNn3CeC9quh9Yo8R0Ed++F7DCFxc6/0ALma
u/Ce0s2L/8YGunoTaoxJuu4XI1VMgWhh3MS++CRSFjrVaTahjicYpCOInwCANKa0Yw7q9aH7uzQC
rHG6DBfG814uS/TLxb4wqM1W1pPU1Ycq//3bbjGtbNNzroSDMhVV6KuHFDsXnOWt3bd2/qVyLUhV
KZ+GYKun27uUzTgxQ2Nv2Lof5Dhuy9APhlc1fEZJdjI+4t8VematMNeqovSVMZc4laP+KfainZHH
KuMK/1zFYqaGOBQi88jY65AeY85+VOJBH5Ai80e/qZyUquDgnBfIoGfbPwTWpvk4Zq7kBV/4V+nK
qViaZ7Zoo/QZAQVO5lvPkXSY3gkV4AFJYqu8iG7t8NWhrtcOoDiatUcG3cLdyvgRkHYQglahzIf3
9KWR3IMJdI/+pX0ra5xtch3iY2Iheo++B3ChUBH65RGIFT0qwKUseNWvcidDNzkD+AUcUf3jHxiJ
bAdSlJP03jyT7yoaIzhpjuuhwvwZkwfOO0BemKHqs4zjV0+CFyaKN0uSnwEwAJAwFOY4+Y6rvDnw
hZSlBFc3OuZRgWFMqcAsqMRKqZbk4EVb2sOiwSkSLsv9VRkUlhDTQGwXrFqg12fzhdKoZ/o0B5E/
j9JHJReeHD1VhXZATht9OrqbhZ0bQrJc057nYHaaaeK4KDqUpfe3kGWmcEMDRwOCzctFHQRNqfFj
uI/wvQbCRey/4YXngN7ZLlsOguraVS1t0RW+uEPJpE9ZE8GWCTzPEM+2Up3mgMcEsDYicHog64x7
QEV1fmlliPISXbNG6LfVUxugUW+GzvAImkP5qxAlnE25MiQkfMEWYaCQjjVkjDXiYPVN1RGcvUmu
D1rRxydVH0XNAZuO9heCYawF6ByQ/gV/EzAIy7GZJCMSMXGJUqZ2+D97AMzDjZxiN91TVFJ64BFv
XQdT1CIqZqBQwiZhE/hBXRhGQkTigwRhm5k/grDa3XY/KxH+0gRzacplEIlyBxOUZTPBw3ncUmJZ
aWNBMYPWznm+nGuR2fRa0E+kbWFRB+ncDsoZSCvPm8FPDuFOhG5M/MSLflc8w3KQzN7vkFmNhB4m
5ScKCEoB1I4QsWSPITBt/MzjysVC7aGADD5RgwKylztlTrVhjpOZ+OmO9h9pP0CcC7gghCseyw2P
0HvlyKFADkVE4NCRKzapV7442H0rNyHgUMQvDJCUW3tDmYFJEJ2y/pmrXzjb5drFQ94Xop7wAFBG
1DRmJoG4KsRMozvS1p9ENG6bTrjtNsGuvGuAxJS/lpVj7EUXdfn/zfX818f4/8LP4vGPi7H5+3/j
vz+KcqqjEN2Ky//8+yH6qIum+NX+N/3f/vnXmL/1UH7mz239+dke3kv2by7+R/z+f9h339v3xX94
eRu101P3WU+nz6ZL29s//eNLMRD6ix6LKG9fiqtf8W/9pfNg/uUv+o/P83e9TOXn//zto+jyln5f
CO//t3/8aPfzf/5Gy23/dfWLzoO59QvSd4y5+4nfrP4nhT4gi4EgLi3y8B9/LBjyf4JEjEIjKPQK
/2AHwNDFJP6rsf9bf+kf6/GRfr7Xf///AAAA//8=</cx:binary>
              </cx:geoCache>
            </cx:geography>
          </cx:layoutPr>
        </cx:series>
      </cx:plotAreaRegion>
    </cx:plotArea>
  </cx:chart>
  <cx:spPr>
    <a:solidFill>
      <a:schemeClr val="bg2">
        <a:lumMod val="25000"/>
      </a:schemeClr>
    </a:solidFill>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_xlchart.v5.21</cx:f>
        <cx:nf>_xlchart.v5.20</cx:nf>
      </cx:strDim>
      <cx:numDim type="colorVal">
        <cx:f>_xlchart.v5.23</cx:f>
        <cx:nf>_xlchart.v5.22</cx:nf>
      </cx:numDim>
    </cx:data>
  </cx:chartData>
  <cx:chart>
    <cx:plotArea>
      <cx:plotAreaRegion>
        <cx:series layoutId="regionMap" uniqueId="{D56F90FE-36EC-4DAB-AB50-E09B85EB166C}">
          <cx:tx>
            <cx:txData>
              <cx:f>_xlchart.v5.22</cx:f>
              <cx:v>%</cx:v>
            </cx:txData>
          </cx:tx>
          <cx:dataId val="0"/>
          <cx:layoutPr>
            <cx:geography cultureLanguage="es-ES" cultureRegion="CO" attribution="Con tecnología de Bing">
              <cx:geoCache provider="{E9337A44-BEBE-4D9F-B70C-5C5E7DAFC167}">
                <cx:binary>7Fhbc5w6Ev4rLj8vsUASoFMnqYoEcwuOHdu52C/UZDwWAoS4SAj49as4V+ecZLdqd992Xqagpe5W
d3+fuvnzMP1xqI/7/mSSdTP8cZienxZat3+cnQ2H4ij3wzMpDr0a1IN+dlDyTD08iMPx7L7fW9Hw
swD46OxQ7Ht9nE5f/Om08aPK1GGvhWremGM/Xx0HU+vhN7K/FZ0clGn0p+3caXp+yi6yi3O6fXl6
sr+XoknEoHtx0MHz0+zlSXJx9TJxomOjhZ5v5vb4/PTpstOTs5/N/MWlk9p5rc2924yfYQRwEEIC
Pv/805NaNfyL2IvQs8gPAoIx/CwPvxp/vZduf7Y/SVS/v99/ff23Pj16tL+/74/D4I71+P9k75Mz
uBi8zP7m+N9N/RwyVSv5UTgfxKDY53Ay9el47OIxHmdP0/Xiz59euAj99OaHjP4czn8l+ktCv3n3
5JT+vz7m/7P8BBjf4vi/yfKvK+AbgJK93qeP0PuhCH4v/Vo9P239LYI/53177+CJY4AjgMMwgoBE
0I+jHwD+SecXRb9A4y91HPeDfn76Cd5hECGnP8TAcUAYnJ7Y41dR7KM4CEmIIQwAdMzQqF4Xn0gj
imKCnD8RRnEcxE40KPNZ5J7CmIQIxpjEIYTfyPJS1TNXzbdwfXk+aYy8VKLRw/PTEKDTk/bzuu+u
Q+hj7AOAgjDATn7YXzlGdsv9f8jIg80ILEhaslyoJU/myl8TwdfCoI8guq282wHj16SYqeaQ6kXf
Wa/bxF4406ADC5ttrKghLV4hhNtkiUqzLmW+i3S/K8uwZp1tVzhG266bbmsP3NtxyTS8XHC5CtCQ
EpkFS4gSr6vO49pjHjJZHYDbHMQtFRj2NC/KbV5qybwoWBgu4s3Ujquut6s8CHoqp0lQJXNaT/2O
wO6dJIWiUMYFNbLrE8/3shbhTQmFpgbGlyH3Mt+He46mS8/ARBnDZDFupQgZnu65QRdxpFs6hC1P
YjM+8MaP2YCilnZQmURBfNeXeEO8oGLGKzb9XK15MW8bW14Vrd3WSzXRnHc59WcR0i5EgHUjfy/Q
UFFcYkyHxivoUmpCY9AS6rcxJbPVVBjvtTfMDQVkKVlXtecyUpyZZa4pEFFW4GCTQ3HgRZhTHMfZ
PE7bCMM8KfwG0A6UkBk5FrTsFkW9eZhc1hrnpY9qCivOqiAYqR3yO6jDlQDtZhAEJ/motvW0rPKy
vbKoGKngFjFohxUv849th84b7XHajU2XiUKyhfNX4wzeAx5mmMC3cQPX4dgfUWt20N1+LK/jivK6
vIsX84EEJm2BR0UT7UpVaUYmuR1qyWJ9o9qloDOXbCbDSgP/FWjApm7zmtpcJhVpr9HAAW21OIx6
YSpqtkvMQ2aDnA6wZkFlsgrUu4D0m6q9UT4+r4pqZTxJkQ93aC5SuIy0tjmLY0iXLniIZkOhHxm6
TOEaYJwM+Q32vU1Tk42HmoaOMl+RIV7xBtO6nF5rPO8aWTHVQbYsC627gJkw3Fs1p8WUJziG68iS
7TzEHmsIfgUtT8YSZrUc93GJaONwUXhgNY2vsSGMDHyzNHbF52HNXXpoJeKrvIy3RJbSZRX5Dlni
nZ2FZL0Nz8k8F4mjh80UeW+DqboYSpLZBb+LPAeOnjPp2Z0/+et6NLtQuKobAQ1dMc/KrNv+g9eZ
bUtqOpXtBvt4O/khU9yVtiyp7fWaEI/l8I5HPoNkZrmsE0+CZJkAa/PmTYcWmgO01bOfiZE7WOhP
VjdS1pdT0SRt8FAZRPvwCgxTNoySGiMT4jqvAhFaLx0N8Xg9mZumNgxHHSO62gCEqF/rlSElVfiu
tIhyT2fY4Rm3nKlJJyMKqCMnNjbSaVmSaSzPcy9MetG/8XmcdM0BcsMKTtJm7Fg4Scr7gEbF0bde
0s/oQhmY2kixuYIhNUBQFC4JLxwSYEeXWWSlvyRhN9EaO//9LPJLhof+lYzDFM712sKa5tYVMpxW
gxg3Wi9rf9a0jHZL/KHp3tsKUB7OzAQPCi2Xgx/ueAOvFzCxxpQUdWItwib1x4j6E6KhBOsKNSuj
YrqgPhXkEg/TpjNHk5d0AFf+1KbLgFw1dxkc0aswkm+7oaeizm+KHijqq48i9+gcBTSX8FWrQYYm
8yaKvU2vxrVKrO4oCQnl8li32WJdqU+YQS+rO8fXvKQimmkRyNSS8SoC3UZzy1rvAVYhLWrBFoBT
O9mado4sfbPQubsowkvcw1U9C+aImS0QMiEcw4blDszvHG/TZrapFZJO5AaX2wA6ljbZEs47y/l6
0gPtSf2qbnU62+sgDKk1jr/LOx28HZ2pXnZUl4ULvTNb35aFZbB9KPCd8DXrY+TI7NpvhYu0K22H
+aLv16I4VHpaqzG4rkh4ucTFRgmzViVaTTJ+U0zwGrUFWxrBRq7WQwCoLupE4Gmdc1coMDrvwCVv
bVoSR7StWc/LMa8QNcPg4jGvbKRT7mhflF46IG8jOrAxi7dZJpj2QZzEPb8VfncutaPPvL1uwEKh
UMxEIVWd3lYjptyKHR+bNCo7Cp0ZUn4I54ZNY88K6adCZHO70BKd4xA4wMSruWsu9YhTpQwVsP9I
CvC6RXLnww/uUqfQqJyaTiVREdzYHG+w6dYeiK/bYaZe7609i9OA2O0A72fpu2uF0wjjre2c7ahN
uJ5ZOk6pkN45qdshaZr6bpzGdQPbdeUKpBjsVRm+k81AY96mtZUMLNE2zstsqGY22OtYvrWopFq+
n8bO4TLGzM4BlbzaFH78arTxbTTkGSF8bRzdjPNtZYvEgmveFSuV9+5oDQ1cJvrJMF16rJ1U6tV5
KsOKajJSP7hYptpR2piC/NijmMLeT0fRr4MpyIZmWNcRZGh46HThGLlhsePMqLnFhaZa1Ek5ayb6
eOUvgcuVSUzQJlh7iXCdiOsf0nFxfDnPq564+2fUDEC8UcOuRW3SubahtPEaLCTB5J0qOfODwWn4
OMVTqmp93pvy0npVih016nm8DXRBLZRroWbkAHDjtc1l0ZCsIi40GNAp8OjiEjfafhO4azhqPYrs
kHD78ONY9aSxO6h27gUvvgzC3x5fXLTH5uSy3h+Ow+Ow9V3y9PH7LPapvf02mP3UP38etn8v/dZp
ftr72GLeqN93779a9GMT/9c1/7Ve/lH142TxW5X/2fTuPg98mXR+F5Z/a9GXVD1+VnnxTwAAAP//
</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4.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8.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trlProps/ctrlProp1.xml><?xml version="1.0" encoding="utf-8"?>
<formControlPr xmlns="http://schemas.microsoft.com/office/spreadsheetml/2009/9/main" objectType="CheckBox" fmlaLink="$L$5" lockText="1" noThreeD="1"/>
</file>

<file path=xl/ctrlProps/ctrlProp2.xml><?xml version="1.0" encoding="utf-8"?>
<formControlPr xmlns="http://schemas.microsoft.com/office/spreadsheetml/2009/9/main" objectType="CheckBox" fmlaLink="$L$6"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fmlaLink="$L$7"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image" Target="../media/image7.svg"/><Relationship Id="rId5" Type="http://schemas.openxmlformats.org/officeDocument/2006/relationships/image" Target="../media/image6.png"/><Relationship Id="rId4" Type="http://schemas.openxmlformats.org/officeDocument/2006/relationships/image" Target="../media/image5.svg"/></Relationships>
</file>

<file path=xl/drawings/_rels/drawing2.xml.rels><?xml version="1.0" encoding="UTF-8" standalone="yes"?>
<Relationships xmlns="http://schemas.openxmlformats.org/package/2006/relationships"><Relationship Id="rId8" Type="http://schemas.openxmlformats.org/officeDocument/2006/relationships/hyperlink" Target="#ADMINISTRACION!A1"/><Relationship Id="rId3" Type="http://schemas.openxmlformats.org/officeDocument/2006/relationships/chart" Target="../charts/chart1.xml"/><Relationship Id="rId7" Type="http://schemas.openxmlformats.org/officeDocument/2006/relationships/hyperlink" Target="#OFERTA!A1"/><Relationship Id="rId2" Type="http://schemas.microsoft.com/office/2014/relationships/chartEx" Target="../charts/chartEx2.xml"/><Relationship Id="rId1" Type="http://schemas.microsoft.com/office/2014/relationships/chartEx" Target="../charts/chartEx1.xml"/><Relationship Id="rId6" Type="http://schemas.openxmlformats.org/officeDocument/2006/relationships/hyperlink" Target="#MATERIALES!A1"/><Relationship Id="rId5" Type="http://schemas.openxmlformats.org/officeDocument/2006/relationships/hyperlink" Target="#'MANO DE OBRA '!A1"/><Relationship Id="rId10" Type="http://schemas.openxmlformats.org/officeDocument/2006/relationships/chart" Target="../charts/chart3.xml"/><Relationship Id="rId4" Type="http://schemas.openxmlformats.org/officeDocument/2006/relationships/hyperlink" Target="#'MAQUINARIA Y EQUIPO'!A1"/><Relationship Id="rId9"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microsoft.com/office/2014/relationships/chartEx" Target="../charts/chartEx4.xml"/><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3" Type="http://schemas.openxmlformats.org/officeDocument/2006/relationships/hyperlink" Target="#ADMINISTRACION!A1"/><Relationship Id="rId2" Type="http://schemas.openxmlformats.org/officeDocument/2006/relationships/hyperlink" Target="#'MANO DE OBRA '!A1"/><Relationship Id="rId1" Type="http://schemas.openxmlformats.org/officeDocument/2006/relationships/hyperlink" Target="#'MAQUINARIA Y EQUIPO'!A1"/><Relationship Id="rId5" Type="http://schemas.openxmlformats.org/officeDocument/2006/relationships/hyperlink" Target="#MATERIALES!A1"/><Relationship Id="rId4" Type="http://schemas.openxmlformats.org/officeDocument/2006/relationships/hyperlink" Target="#DASH!A1"/></Relationships>
</file>

<file path=xl/drawings/_rels/drawing5.xml.rels><?xml version="1.0" encoding="UTF-8" standalone="yes"?>
<Relationships xmlns="http://schemas.openxmlformats.org/package/2006/relationships"><Relationship Id="rId3" Type="http://schemas.openxmlformats.org/officeDocument/2006/relationships/hyperlink" Target="#OFERTA!A1"/><Relationship Id="rId2" Type="http://schemas.openxmlformats.org/officeDocument/2006/relationships/hyperlink" Target="#MATERIALES!A1"/><Relationship Id="rId1" Type="http://schemas.openxmlformats.org/officeDocument/2006/relationships/hyperlink" Target="#'MANO DE OBRA '!A1"/><Relationship Id="rId5" Type="http://schemas.openxmlformats.org/officeDocument/2006/relationships/hyperlink" Target="#ADMINISTRACION!A1"/><Relationship Id="rId4" Type="http://schemas.openxmlformats.org/officeDocument/2006/relationships/hyperlink" Target="#DASH!A1"/></Relationships>
</file>

<file path=xl/drawings/_rels/drawing6.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7.xml.rels><?xml version="1.0" encoding="UTF-8" standalone="yes"?>
<Relationships xmlns="http://schemas.openxmlformats.org/package/2006/relationships"><Relationship Id="rId3" Type="http://schemas.openxmlformats.org/officeDocument/2006/relationships/hyperlink" Target="#OFERTA!A1"/><Relationship Id="rId2" Type="http://schemas.openxmlformats.org/officeDocument/2006/relationships/hyperlink" Target="#MATERIALES!A1"/><Relationship Id="rId1" Type="http://schemas.openxmlformats.org/officeDocument/2006/relationships/hyperlink" Target="#'MAQUINARIA Y EQUIPO'!A1"/><Relationship Id="rId5" Type="http://schemas.openxmlformats.org/officeDocument/2006/relationships/hyperlink" Target="#DASH!A1"/><Relationship Id="rId4" Type="http://schemas.openxmlformats.org/officeDocument/2006/relationships/hyperlink" Target="#ADMINISTRACION!A1"/></Relationships>
</file>

<file path=xl/drawings/_rels/drawing8.xml.rels><?xml version="1.0" encoding="UTF-8" standalone="yes"?>
<Relationships xmlns="http://schemas.openxmlformats.org/package/2006/relationships"><Relationship Id="rId3" Type="http://schemas.openxmlformats.org/officeDocument/2006/relationships/hyperlink" Target="#DASH!A1"/><Relationship Id="rId2" Type="http://schemas.openxmlformats.org/officeDocument/2006/relationships/hyperlink" Target="#ADMINISTRACION!A1"/><Relationship Id="rId1" Type="http://schemas.openxmlformats.org/officeDocument/2006/relationships/hyperlink" Target="#'MANO DE OBRA '!A1"/><Relationship Id="rId5" Type="http://schemas.openxmlformats.org/officeDocument/2006/relationships/hyperlink" Target="#OFERTA!A1"/><Relationship Id="rId4" Type="http://schemas.openxmlformats.org/officeDocument/2006/relationships/hyperlink" Target="#'MAQUINARIA Y EQUIPO'!A1"/></Relationships>
</file>

<file path=xl/drawings/_rels/drawing9.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5" Type="http://schemas.openxmlformats.org/officeDocument/2006/relationships/hyperlink" Target="#OFERTA!A1"/><Relationship Id="rId4" Type="http://schemas.openxmlformats.org/officeDocument/2006/relationships/hyperlink" Target="#DASH!A1"/></Relationships>
</file>

<file path=xl/drawings/_rels/drawing10.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5" Type="http://schemas.openxmlformats.org/officeDocument/2006/relationships/hyperlink" Target="#OFERTA!A1"/><Relationship Id="rId4" Type="http://schemas.openxmlformats.org/officeDocument/2006/relationships/hyperlink" Target="#DASH!A1"/></Relationships>
</file>

<file path=xl/drawings/_rels/drawing11.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5" Type="http://schemas.openxmlformats.org/officeDocument/2006/relationships/hyperlink" Target="#OFERTA!A1"/><Relationship Id="rId4" Type="http://schemas.openxmlformats.org/officeDocument/2006/relationships/hyperlink" Target="#DASH!A1"/></Relationships>
</file>

<file path=xl/drawings/_rels/drawing12.xml.rels><?xml version="1.0" encoding="UTF-8" standalone="yes"?>
<Relationships xmlns="http://schemas.openxmlformats.org/package/2006/relationships"><Relationship Id="rId8" Type="http://schemas.openxmlformats.org/officeDocument/2006/relationships/hyperlink" Target="#MATERIALES!A1"/><Relationship Id="rId3" Type="http://schemas.openxmlformats.org/officeDocument/2006/relationships/chart" Target="../charts/chart6.xml"/><Relationship Id="rId7" Type="http://schemas.openxmlformats.org/officeDocument/2006/relationships/hyperlink" Target="#'MANO DE OBRA '!A1"/><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hyperlink" Target="#'MAQUINARIA Y EQUIPO'!A1"/><Relationship Id="rId11" Type="http://schemas.openxmlformats.org/officeDocument/2006/relationships/hyperlink" Target="#DASH!A1"/><Relationship Id="rId5" Type="http://schemas.microsoft.com/office/2014/relationships/chartEx" Target="../charts/chartEx6.xml"/><Relationship Id="rId10" Type="http://schemas.openxmlformats.org/officeDocument/2006/relationships/hyperlink" Target="#ADMINISTRACION!A1"/><Relationship Id="rId4" Type="http://schemas.microsoft.com/office/2014/relationships/chartEx" Target="../charts/chartEx5.xml"/><Relationship Id="rId9" Type="http://schemas.openxmlformats.org/officeDocument/2006/relationships/hyperlink" Target="#OFERTA!A1"/></Relationships>
</file>

<file path=xl/drawings/_rels/drawing13.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14.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15.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16.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17.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18.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19.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20.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21.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22.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23.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24.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25.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26.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27.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28.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29.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30.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31.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32.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33.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34.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35.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36.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37.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38.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39.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40.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41.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42.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43.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44.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45.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46.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47.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48.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49.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50.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51.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52.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53.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54.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55.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56.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57.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58.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59.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60.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61.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62.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63.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64.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65.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66.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67.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68.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69.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70.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71.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72.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73.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74.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75.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76.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77.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78.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79.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80.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81.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82.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83.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84.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85.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86.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87.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88.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89.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90.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91.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92.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93.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_rels/drawing94.xml.rels><?xml version="1.0" encoding="UTF-8" standalone="yes"?>
<Relationships xmlns="http://schemas.openxmlformats.org/package/2006/relationships"><Relationship Id="rId3" Type="http://schemas.openxmlformats.org/officeDocument/2006/relationships/hyperlink" Target="#MATERIALES!A1"/><Relationship Id="rId2" Type="http://schemas.openxmlformats.org/officeDocument/2006/relationships/hyperlink" Target="#'MANO DE OBRA '!A1"/><Relationship Id="rId1" Type="http://schemas.openxmlformats.org/officeDocument/2006/relationships/hyperlink" Target="#'MAQUINARIA Y EQUIPO'!A1"/><Relationship Id="rId6" Type="http://schemas.openxmlformats.org/officeDocument/2006/relationships/hyperlink" Target="#DASH!A1"/><Relationship Id="rId5" Type="http://schemas.openxmlformats.org/officeDocument/2006/relationships/hyperlink" Target="#ADMINISTRACION!A1"/><Relationship Id="rId4" Type="http://schemas.openxmlformats.org/officeDocument/2006/relationships/hyperlink" Target="#OFERTA!A1"/></Relationships>
</file>

<file path=xl/drawings/drawing1.xml><?xml version="1.0" encoding="utf-8"?>
<xdr:wsDr xmlns:xdr="http://schemas.openxmlformats.org/drawingml/2006/spreadsheetDrawing" xmlns:a="http://schemas.openxmlformats.org/drawingml/2006/main">
  <xdr:twoCellAnchor editAs="oneCell">
    <xdr:from>
      <xdr:col>5</xdr:col>
      <xdr:colOff>754380</xdr:colOff>
      <xdr:row>0</xdr:row>
      <xdr:rowOff>129540</xdr:rowOff>
    </xdr:from>
    <xdr:to>
      <xdr:col>7</xdr:col>
      <xdr:colOff>762000</xdr:colOff>
      <xdr:row>9</xdr:row>
      <xdr:rowOff>76200</xdr:rowOff>
    </xdr:to>
    <xdr:pic>
      <xdr:nvPicPr>
        <xdr:cNvPr id="3" name="Gráfico 2" descr="Camión con relleno sólido">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716780" y="129540"/>
          <a:ext cx="1592580" cy="1592580"/>
        </a:xfrm>
        <a:prstGeom prst="rect">
          <a:avLst/>
        </a:prstGeom>
      </xdr:spPr>
    </xdr:pic>
    <xdr:clientData/>
  </xdr:twoCellAnchor>
  <xdr:twoCellAnchor editAs="oneCell">
    <xdr:from>
      <xdr:col>6</xdr:col>
      <xdr:colOff>7620</xdr:colOff>
      <xdr:row>15</xdr:row>
      <xdr:rowOff>160020</xdr:rowOff>
    </xdr:from>
    <xdr:to>
      <xdr:col>8</xdr:col>
      <xdr:colOff>15240</xdr:colOff>
      <xdr:row>24</xdr:row>
      <xdr:rowOff>106680</xdr:rowOff>
    </xdr:to>
    <xdr:pic>
      <xdr:nvPicPr>
        <xdr:cNvPr id="4" name="Gráfico 3" descr="Electricista">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762500" y="2903220"/>
          <a:ext cx="1592580" cy="1592580"/>
        </a:xfrm>
        <a:prstGeom prst="rect">
          <a:avLst/>
        </a:prstGeom>
      </xdr:spPr>
    </xdr:pic>
    <xdr:clientData/>
  </xdr:twoCellAnchor>
  <xdr:twoCellAnchor editAs="oneCell">
    <xdr:from>
      <xdr:col>5</xdr:col>
      <xdr:colOff>739140</xdr:colOff>
      <xdr:row>7</xdr:row>
      <xdr:rowOff>15240</xdr:rowOff>
    </xdr:from>
    <xdr:to>
      <xdr:col>7</xdr:col>
      <xdr:colOff>746760</xdr:colOff>
      <xdr:row>15</xdr:row>
      <xdr:rowOff>144780</xdr:rowOff>
    </xdr:to>
    <xdr:pic>
      <xdr:nvPicPr>
        <xdr:cNvPr id="5" name="Gráfico 4" descr="Fábrica">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701540" y="1295400"/>
          <a:ext cx="1592580" cy="1592580"/>
        </a:xfrm>
        <a:prstGeom prst="rect">
          <a:avLst/>
        </a:prstGeom>
      </xdr:spPr>
    </xdr:pic>
    <xdr:clientData/>
  </xdr:twoCellAnchor>
  <xdr:twoCellAnchor>
    <xdr:from>
      <xdr:col>1</xdr:col>
      <xdr:colOff>533400</xdr:colOff>
      <xdr:row>2</xdr:row>
      <xdr:rowOff>175260</xdr:rowOff>
    </xdr:from>
    <xdr:to>
      <xdr:col>4</xdr:col>
      <xdr:colOff>609600</xdr:colOff>
      <xdr:row>6</xdr:row>
      <xdr:rowOff>121920</xdr:rowOff>
    </xdr:to>
    <xdr:sp macro="[0]!Rectánguloesquinasredondeadas5_Haga_clic_en" textlink="">
      <xdr:nvSpPr>
        <xdr:cNvPr id="6" name="Rectángulo: esquinas redondeadas 5">
          <a:extLst>
            <a:ext uri="{FF2B5EF4-FFF2-40B4-BE49-F238E27FC236}">
              <a16:creationId xmlns:a16="http://schemas.microsoft.com/office/drawing/2014/main" id="{00000000-0008-0000-0000-000006000000}"/>
            </a:ext>
          </a:extLst>
        </xdr:cNvPr>
        <xdr:cNvSpPr/>
      </xdr:nvSpPr>
      <xdr:spPr>
        <a:xfrm>
          <a:off x="1325880" y="541020"/>
          <a:ext cx="2453640" cy="678180"/>
        </a:xfrm>
        <a:prstGeom prst="roundRect">
          <a:avLst/>
        </a:prstGeom>
        <a:solidFill>
          <a:schemeClr val="accent2">
            <a:lumMod val="75000"/>
          </a:schemeClr>
        </a:solidFill>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s-CO" sz="1100">
              <a:latin typeface="Bahnschrift Light" panose="020B0502040204020203" pitchFamily="34" charset="0"/>
            </a:rPr>
            <a:t>REGISTRO</a:t>
          </a:r>
          <a:r>
            <a:rPr lang="es-CO" sz="1100" baseline="0">
              <a:latin typeface="Bahnschrift Light" panose="020B0502040204020203" pitchFamily="34" charset="0"/>
            </a:rPr>
            <a:t> MAQUINARIA</a:t>
          </a:r>
          <a:endParaRPr lang="es-CO" sz="1100">
            <a:latin typeface="Bahnschrift Light" panose="020B0502040204020203" pitchFamily="34" charset="0"/>
          </a:endParaRPr>
        </a:p>
      </xdr:txBody>
    </xdr:sp>
    <xdr:clientData/>
  </xdr:twoCellAnchor>
  <xdr:twoCellAnchor>
    <xdr:from>
      <xdr:col>1</xdr:col>
      <xdr:colOff>685800</xdr:colOff>
      <xdr:row>18</xdr:row>
      <xdr:rowOff>167640</xdr:rowOff>
    </xdr:from>
    <xdr:to>
      <xdr:col>4</xdr:col>
      <xdr:colOff>762000</xdr:colOff>
      <xdr:row>22</xdr:row>
      <xdr:rowOff>114300</xdr:rowOff>
    </xdr:to>
    <xdr:sp macro="[0]!Rectánguloesquinasredondeadas6_Haga_clic_en" textlink="">
      <xdr:nvSpPr>
        <xdr:cNvPr id="7" name="Rectángulo: esquinas redondeadas 6">
          <a:extLst>
            <a:ext uri="{FF2B5EF4-FFF2-40B4-BE49-F238E27FC236}">
              <a16:creationId xmlns:a16="http://schemas.microsoft.com/office/drawing/2014/main" id="{00000000-0008-0000-0000-000007000000}"/>
            </a:ext>
          </a:extLst>
        </xdr:cNvPr>
        <xdr:cNvSpPr/>
      </xdr:nvSpPr>
      <xdr:spPr>
        <a:xfrm>
          <a:off x="1478280" y="3459480"/>
          <a:ext cx="2453640" cy="678180"/>
        </a:xfrm>
        <a:prstGeom prst="roundRect">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ctr"/>
        <a:lstStyle/>
        <a:p>
          <a:pPr algn="ctr"/>
          <a:r>
            <a:rPr lang="es-CO" sz="1100">
              <a:latin typeface="Bahnschrift Light" panose="020B0502040204020203" pitchFamily="34" charset="0"/>
            </a:rPr>
            <a:t>REGISTRO</a:t>
          </a:r>
          <a:r>
            <a:rPr lang="es-CO" sz="1100" baseline="0">
              <a:latin typeface="Bahnschrift Light" panose="020B0502040204020203" pitchFamily="34" charset="0"/>
            </a:rPr>
            <a:t> MANO DE OBRA</a:t>
          </a:r>
          <a:endParaRPr lang="es-CO" sz="1100">
            <a:latin typeface="Bahnschrift Light" panose="020B0502040204020203" pitchFamily="34" charset="0"/>
          </a:endParaRPr>
        </a:p>
      </xdr:txBody>
    </xdr:sp>
    <xdr:clientData/>
  </xdr:twoCellAnchor>
  <xdr:twoCellAnchor>
    <xdr:from>
      <xdr:col>1</xdr:col>
      <xdr:colOff>594360</xdr:colOff>
      <xdr:row>10</xdr:row>
      <xdr:rowOff>106680</xdr:rowOff>
    </xdr:from>
    <xdr:to>
      <xdr:col>4</xdr:col>
      <xdr:colOff>563880</xdr:colOff>
      <xdr:row>14</xdr:row>
      <xdr:rowOff>45720</xdr:rowOff>
    </xdr:to>
    <xdr:sp macro="[0]!Rectánguloesquinasredondeadas7_Haga_clic_en" textlink="">
      <xdr:nvSpPr>
        <xdr:cNvPr id="8" name="Rectángulo: esquinas redondeadas 7">
          <a:extLst>
            <a:ext uri="{FF2B5EF4-FFF2-40B4-BE49-F238E27FC236}">
              <a16:creationId xmlns:a16="http://schemas.microsoft.com/office/drawing/2014/main" id="{00000000-0008-0000-0000-000008000000}"/>
            </a:ext>
          </a:extLst>
        </xdr:cNvPr>
        <xdr:cNvSpPr/>
      </xdr:nvSpPr>
      <xdr:spPr>
        <a:xfrm>
          <a:off x="1386840" y="1935480"/>
          <a:ext cx="2346960" cy="670560"/>
        </a:xfrm>
        <a:prstGeom prst="roundRect">
          <a:avLst/>
        </a:prstGeom>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r>
            <a:rPr lang="es-CO" sz="1100"/>
            <a:t>REGISTRO</a:t>
          </a:r>
          <a:r>
            <a:rPr lang="es-CO" sz="1100" baseline="0"/>
            <a:t> MATERIALES</a:t>
          </a:r>
          <a:endParaRPr lang="es-CO"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169749</xdr:colOff>
      <xdr:row>18</xdr:row>
      <xdr:rowOff>98198</xdr:rowOff>
    </xdr:from>
    <xdr:to>
      <xdr:col>16</xdr:col>
      <xdr:colOff>0</xdr:colOff>
      <xdr:row>23</xdr:row>
      <xdr:rowOff>0</xdr:rowOff>
    </xdr:to>
    <xdr:sp macro="" textlink="$C$1">
      <xdr:nvSpPr>
        <xdr:cNvPr id="7" name="Paralelogramo 6">
          <a:extLst>
            <a:ext uri="{FF2B5EF4-FFF2-40B4-BE49-F238E27FC236}">
              <a16:creationId xmlns:a16="http://schemas.microsoft.com/office/drawing/2014/main" id="{00000000-0008-0000-0100-000007000000}"/>
            </a:ext>
          </a:extLst>
        </xdr:cNvPr>
        <xdr:cNvSpPr/>
      </xdr:nvSpPr>
      <xdr:spPr>
        <a:xfrm>
          <a:off x="962229" y="463958"/>
          <a:ext cx="26408811" cy="816202"/>
        </a:xfrm>
        <a:prstGeom prst="parallelogram">
          <a:avLst/>
        </a:prstGeom>
        <a:solidFill>
          <a:srgbClr val="227447"/>
        </a:solidFill>
        <a:ln w="19050">
          <a:solidFill>
            <a:srgbClr val="FFFFFF"/>
          </a:solidFill>
        </a:ln>
        <a:effectLst>
          <a:glow rad="63500">
            <a:schemeClr val="bg1">
              <a:alpha val="40000"/>
            </a:schemeClr>
          </a:glow>
          <a:outerShdw blurRad="50800" dist="38100" dir="2700000" algn="tl" rotWithShape="0">
            <a:prstClr val="black">
              <a:alpha val="40000"/>
            </a:prstClr>
          </a:outerShdw>
          <a:reflection blurRad="6350" stA="52000" endA="300" endPos="35000" dir="5400000" sy="-100000" algn="bl" rotWithShape="0"/>
        </a:effectLst>
        <a:scene3d>
          <a:camera prst="orthographicFront"/>
          <a:lightRig rig="threePt" dir="t"/>
        </a:scene3d>
        <a:sp3d>
          <a:bevelT prst="convex"/>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BC380673-F925-40AE-BB4D-458C8CBF6633}" type="TxLink">
            <a:rPr lang="en-US" sz="3000" b="1" i="0" u="none" strike="noStrike">
              <a:solidFill>
                <a:schemeClr val="bg1"/>
              </a:solidFill>
              <a:latin typeface="Calibri"/>
              <a:cs typeface="Calibri"/>
            </a:rPr>
            <a:pPr algn="ctr"/>
            <a:t>MYT ENERGY PARQUE FOTOVOLTAICO TEPUY 108 MW</a:t>
          </a:fld>
          <a:endParaRPr lang="es-CO" sz="3000" b="1">
            <a:solidFill>
              <a:schemeClr val="bg1"/>
            </a:solidFill>
          </a:endParaRPr>
        </a:p>
      </xdr:txBody>
    </xdr:sp>
    <xdr:clientData/>
  </xdr:twoCellAnchor>
  <xdr:twoCellAnchor>
    <xdr:from>
      <xdr:col>4</xdr:col>
      <xdr:colOff>381000</xdr:colOff>
      <xdr:row>26</xdr:row>
      <xdr:rowOff>106129</xdr:rowOff>
    </xdr:from>
    <xdr:to>
      <xdr:col>6</xdr:col>
      <xdr:colOff>408133</xdr:colOff>
      <xdr:row>29</xdr:row>
      <xdr:rowOff>73770</xdr:rowOff>
    </xdr:to>
    <xdr:sp macro="" textlink="$F$4">
      <xdr:nvSpPr>
        <xdr:cNvPr id="13" name="Rectángulo: biselado 12">
          <a:extLst>
            <a:ext uri="{FF2B5EF4-FFF2-40B4-BE49-F238E27FC236}">
              <a16:creationId xmlns:a16="http://schemas.microsoft.com/office/drawing/2014/main" id="{00000000-0008-0000-0100-00000D000000}"/>
            </a:ext>
          </a:extLst>
        </xdr:cNvPr>
        <xdr:cNvSpPr/>
      </xdr:nvSpPr>
      <xdr:spPr>
        <a:xfrm>
          <a:off x="5505450" y="2011129"/>
          <a:ext cx="2827483" cy="539141"/>
        </a:xfrm>
        <a:prstGeom prst="bevel">
          <a:avLst/>
        </a:prstGeom>
        <a:solidFill>
          <a:schemeClr val="accent6">
            <a:lumMod val="20000"/>
            <a:lumOff val="80000"/>
          </a:schemeClr>
        </a:solidFill>
        <a:ln>
          <a:noFill/>
        </a:ln>
        <a:effectLst>
          <a:glow rad="63500">
            <a:schemeClr val="accent6">
              <a:satMod val="175000"/>
              <a:alpha val="40000"/>
            </a:schemeClr>
          </a:glow>
          <a:reflection blurRad="6350" stA="52000" endA="300" endPos="35000" dir="5400000" sy="-100000" algn="bl" rotWithShape="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985F7F1-C998-4FC9-929C-4F00B34837E9}" type="TxLink">
            <a:rPr lang="en-US" sz="1800" b="1" i="0" u="none" strike="noStrike">
              <a:solidFill>
                <a:srgbClr val="000000"/>
              </a:solidFill>
              <a:latin typeface="Calibri"/>
              <a:cs typeface="Calibri"/>
            </a:rPr>
            <a:pPr algn="ctr"/>
            <a:t>COSTO OFERTA </a:t>
          </a:fld>
          <a:endParaRPr lang="es-CO" sz="1800" b="1"/>
        </a:p>
      </xdr:txBody>
    </xdr:sp>
    <xdr:clientData/>
  </xdr:twoCellAnchor>
  <xdr:twoCellAnchor>
    <xdr:from>
      <xdr:col>4</xdr:col>
      <xdr:colOff>424890</xdr:colOff>
      <xdr:row>39</xdr:row>
      <xdr:rowOff>150018</xdr:rowOff>
    </xdr:from>
    <xdr:to>
      <xdr:col>6</xdr:col>
      <xdr:colOff>452023</xdr:colOff>
      <xdr:row>42</xdr:row>
      <xdr:rowOff>117659</xdr:rowOff>
    </xdr:to>
    <xdr:sp macro="" textlink="$B$14">
      <xdr:nvSpPr>
        <xdr:cNvPr id="17" name="Rectángulo: biselado 16">
          <a:extLst>
            <a:ext uri="{FF2B5EF4-FFF2-40B4-BE49-F238E27FC236}">
              <a16:creationId xmlns:a16="http://schemas.microsoft.com/office/drawing/2014/main" id="{00000000-0008-0000-0100-000011000000}"/>
            </a:ext>
          </a:extLst>
        </xdr:cNvPr>
        <xdr:cNvSpPr/>
      </xdr:nvSpPr>
      <xdr:spPr>
        <a:xfrm>
          <a:off x="5549340" y="4531518"/>
          <a:ext cx="2827483" cy="539141"/>
        </a:xfrm>
        <a:prstGeom prst="bevel">
          <a:avLst/>
        </a:prstGeom>
        <a:solidFill>
          <a:schemeClr val="accent2">
            <a:lumMod val="40000"/>
            <a:lumOff val="60000"/>
          </a:schemeClr>
        </a:solidFill>
        <a:ln>
          <a:noFill/>
        </a:ln>
        <a:effectLst>
          <a:glow rad="63500">
            <a:schemeClr val="accent2">
              <a:satMod val="175000"/>
              <a:alpha val="40000"/>
            </a:schemeClr>
          </a:glow>
          <a:reflection blurRad="6350" stA="52000" endA="300" endPos="35000" dir="5400000" sy="-100000" algn="bl" rotWithShape="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BAE2C22B-1303-4923-877D-6754342116FE}" type="TxLink">
            <a:rPr lang="en-US" sz="1800" b="1" i="0" u="none" strike="noStrike">
              <a:solidFill>
                <a:srgbClr val="000000"/>
              </a:solidFill>
              <a:latin typeface="Calibri"/>
              <a:cs typeface="Calibri"/>
            </a:rPr>
            <a:pPr algn="ctr"/>
            <a:t>% UTILIDAD PROYECTADA</a:t>
          </a:fld>
          <a:endParaRPr lang="es-CO" sz="1800" b="1"/>
        </a:p>
      </xdr:txBody>
    </xdr:sp>
    <xdr:clientData/>
  </xdr:twoCellAnchor>
  <xdr:twoCellAnchor>
    <xdr:from>
      <xdr:col>4</xdr:col>
      <xdr:colOff>379647</xdr:colOff>
      <xdr:row>35</xdr:row>
      <xdr:rowOff>140493</xdr:rowOff>
    </xdr:from>
    <xdr:to>
      <xdr:col>6</xdr:col>
      <xdr:colOff>406780</xdr:colOff>
      <xdr:row>38</xdr:row>
      <xdr:rowOff>108134</xdr:rowOff>
    </xdr:to>
    <xdr:sp macro="" textlink="$B$13">
      <xdr:nvSpPr>
        <xdr:cNvPr id="18" name="Rectángulo: biselado 17">
          <a:extLst>
            <a:ext uri="{FF2B5EF4-FFF2-40B4-BE49-F238E27FC236}">
              <a16:creationId xmlns:a16="http://schemas.microsoft.com/office/drawing/2014/main" id="{00000000-0008-0000-0100-000012000000}"/>
            </a:ext>
          </a:extLst>
        </xdr:cNvPr>
        <xdr:cNvSpPr/>
      </xdr:nvSpPr>
      <xdr:spPr>
        <a:xfrm>
          <a:off x="5504097" y="3759993"/>
          <a:ext cx="2827483" cy="539141"/>
        </a:xfrm>
        <a:prstGeom prst="bevel">
          <a:avLst/>
        </a:prstGeom>
        <a:solidFill>
          <a:schemeClr val="accent4">
            <a:lumMod val="40000"/>
            <a:lumOff val="60000"/>
          </a:schemeClr>
        </a:solidFill>
        <a:ln>
          <a:noFill/>
        </a:ln>
        <a:effectLst>
          <a:glow rad="63500">
            <a:schemeClr val="accent4">
              <a:satMod val="175000"/>
              <a:alpha val="40000"/>
            </a:schemeClr>
          </a:glow>
          <a:reflection blurRad="6350" stA="52000" endA="300" endPos="35000" dir="5400000" sy="-100000" algn="bl" rotWithShape="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F2F865DB-F983-459D-8584-0E0767908E78}" type="TxLink">
            <a:rPr lang="en-US" sz="1800" b="1" i="0" u="none" strike="noStrike">
              <a:solidFill>
                <a:srgbClr val="000000"/>
              </a:solidFill>
              <a:latin typeface="Calibri"/>
              <a:cs typeface="Calibri"/>
            </a:rPr>
            <a:pPr algn="ctr"/>
            <a:t>UTILIDAD PROYECTADA</a:t>
          </a:fld>
          <a:endParaRPr lang="es-CO" sz="1800" b="1"/>
        </a:p>
      </xdr:txBody>
    </xdr:sp>
    <xdr:clientData/>
  </xdr:twoCellAnchor>
  <xdr:twoCellAnchor>
    <xdr:from>
      <xdr:col>1</xdr:col>
      <xdr:colOff>441166</xdr:colOff>
      <xdr:row>25</xdr:row>
      <xdr:rowOff>36036</xdr:rowOff>
    </xdr:from>
    <xdr:to>
      <xdr:col>4</xdr:col>
      <xdr:colOff>410549</xdr:colOff>
      <xdr:row>49</xdr:row>
      <xdr:rowOff>113</xdr:rowOff>
    </xdr:to>
    <mc:AlternateContent xmlns:mc="http://schemas.openxmlformats.org/markup-compatibility/2006">
      <mc:Choice xmlns:cx4="http://schemas.microsoft.com/office/drawing/2016/5/10/chartex" Requires="cx4">
        <xdr:graphicFrame macro="">
          <xdr:nvGraphicFramePr>
            <xdr:cNvPr id="19" name="Gráfico 18">
              <a:extLst>
                <a:ext uri="{FF2B5EF4-FFF2-40B4-BE49-F238E27FC236}">
                  <a16:creationId xmlns:a16="http://schemas.microsoft.com/office/drawing/2014/main" id="{00000000-0008-0000-0100-000013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279366" y="2245836"/>
              <a:ext cx="4750933" cy="4993277"/>
            </a:xfrm>
            <a:prstGeom prst="rect">
              <a:avLst/>
            </a:prstGeom>
            <a:solidFill>
              <a:prstClr val="white"/>
            </a:solidFill>
            <a:ln w="1">
              <a:solidFill>
                <a:prstClr val="green"/>
              </a:solidFill>
            </a:ln>
          </xdr:spPr>
          <xdr:txBody>
            <a:bodyPr vertOverflow="clip" horzOverflow="clip"/>
            <a:lstStyle/>
            <a:p>
              <a:r>
                <a:rPr lang="ko-KR" altLang="en-US" sz="1100"/>
                <a:t>Excel 버전에서는 이 차트를 사용할 수 없습니다.
이 도형 편집하거나 이 통합 문서를 다른 파일 형식으로 저장하면 차트가 영구적으로 손상됩니다.</a:t>
              </a:r>
            </a:p>
          </xdr:txBody>
        </xdr:sp>
      </mc:Fallback>
    </mc:AlternateContent>
    <xdr:clientData/>
  </xdr:twoCellAnchor>
  <xdr:twoCellAnchor>
    <xdr:from>
      <xdr:col>1</xdr:col>
      <xdr:colOff>489986</xdr:colOff>
      <xdr:row>26</xdr:row>
      <xdr:rowOff>169213</xdr:rowOff>
    </xdr:from>
    <xdr:to>
      <xdr:col>2</xdr:col>
      <xdr:colOff>184958</xdr:colOff>
      <xdr:row>36</xdr:row>
      <xdr:rowOff>79663</xdr:rowOff>
    </xdr:to>
    <mc:AlternateContent xmlns:mc="http://schemas.openxmlformats.org/markup-compatibility/2006">
      <mc:Choice xmlns:cx4="http://schemas.microsoft.com/office/drawing/2016/5/10/chartex" Requires="cx4">
        <xdr:graphicFrame macro="">
          <xdr:nvGraphicFramePr>
            <xdr:cNvPr id="20" name="Gráfico 19">
              <a:extLst>
                <a:ext uri="{FF2B5EF4-FFF2-40B4-BE49-F238E27FC236}">
                  <a16:creationId xmlns:a16="http://schemas.microsoft.com/office/drawing/2014/main" id="{00000000-0008-0000-0100-00001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328186" y="2588563"/>
              <a:ext cx="1676172" cy="2005950"/>
            </a:xfrm>
            <a:prstGeom prst="rect">
              <a:avLst/>
            </a:prstGeom>
            <a:solidFill>
              <a:prstClr val="white"/>
            </a:solidFill>
            <a:ln w="1">
              <a:solidFill>
                <a:prstClr val="green"/>
              </a:solidFill>
            </a:ln>
          </xdr:spPr>
          <xdr:txBody>
            <a:bodyPr vertOverflow="clip" horzOverflow="clip"/>
            <a:lstStyle/>
            <a:p>
              <a:r>
                <a:rPr lang="ko-KR" altLang="en-US" sz="1100"/>
                <a:t>Excel 버전에서는 이 차트를 사용할 수 없습니다.
이 도형 편집하거나 이 통합 문서를 다른 파일 형식으로 저장하면 차트가 영구적으로 손상됩니다.</a:t>
              </a:r>
            </a:p>
          </xdr:txBody>
        </xdr:sp>
      </mc:Fallback>
    </mc:AlternateContent>
    <xdr:clientData/>
  </xdr:twoCellAnchor>
  <xdr:twoCellAnchor>
    <xdr:from>
      <xdr:col>1</xdr:col>
      <xdr:colOff>571500</xdr:colOff>
      <xdr:row>55</xdr:row>
      <xdr:rowOff>179070</xdr:rowOff>
    </xdr:from>
    <xdr:to>
      <xdr:col>16</xdr:col>
      <xdr:colOff>0</xdr:colOff>
      <xdr:row>84</xdr:row>
      <xdr:rowOff>152399</xdr:rowOff>
    </xdr:to>
    <xdr:graphicFrame macro="">
      <xdr:nvGraphicFramePr>
        <xdr:cNvPr id="21" name="Gráfico 20">
          <a:extLst>
            <a:ext uri="{FF2B5EF4-FFF2-40B4-BE49-F238E27FC236}">
              <a16:creationId xmlns:a16="http://schemas.microsoft.com/office/drawing/2014/main" id="{00000000-0008-0000-01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659541</xdr:colOff>
      <xdr:row>33</xdr:row>
      <xdr:rowOff>91439</xdr:rowOff>
    </xdr:from>
    <xdr:to>
      <xdr:col>16</xdr:col>
      <xdr:colOff>0</xdr:colOff>
      <xdr:row>38</xdr:row>
      <xdr:rowOff>35478</xdr:rowOff>
    </xdr:to>
    <xdr:sp macro="" textlink="">
      <xdr:nvSpPr>
        <xdr:cNvPr id="22" name="Flecha: pentágono 21">
          <a:hlinkClick xmlns:r="http://schemas.openxmlformats.org/officeDocument/2006/relationships" r:id="rId4"/>
          <a:extLst>
            <a:ext uri="{FF2B5EF4-FFF2-40B4-BE49-F238E27FC236}">
              <a16:creationId xmlns:a16="http://schemas.microsoft.com/office/drawing/2014/main" id="{00000000-0008-0000-0100-000016000000}"/>
            </a:ext>
          </a:extLst>
        </xdr:cNvPr>
        <xdr:cNvSpPr/>
      </xdr:nvSpPr>
      <xdr:spPr>
        <a:xfrm>
          <a:off x="16844421" y="3200399"/>
          <a:ext cx="10496139" cy="858439"/>
        </a:xfrm>
        <a:prstGeom prst="homePlate">
          <a:avLst/>
        </a:prstGeom>
        <a:solidFill>
          <a:schemeClr val="accent2">
            <a:lumMod val="75000"/>
          </a:schemeClr>
        </a:solidFill>
        <a:ln>
          <a:noFill/>
        </a:ln>
        <a:effectLst/>
        <a:scene3d>
          <a:camera prst="orthographicFront"/>
          <a:lightRig rig="threePt" dir="t"/>
        </a:scene3d>
        <a:sp3d>
          <a:bevelT w="139700" prst="cross"/>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3500" b="0" cap="none" spc="0">
              <a:ln w="0"/>
              <a:solidFill>
                <a:schemeClr val="tx1"/>
              </a:solidFill>
              <a:effectLst>
                <a:outerShdw blurRad="38100" dist="19050" dir="2700000" algn="tl" rotWithShape="0">
                  <a:schemeClr val="dk1">
                    <a:alpha val="40000"/>
                  </a:schemeClr>
                </a:outerShdw>
              </a:effectLst>
            </a:rPr>
            <a:t>MAQUINARIA</a:t>
          </a:r>
        </a:p>
      </xdr:txBody>
    </xdr:sp>
    <xdr:clientData/>
  </xdr:twoCellAnchor>
  <xdr:twoCellAnchor>
    <xdr:from>
      <xdr:col>10</xdr:col>
      <xdr:colOff>709427</xdr:colOff>
      <xdr:row>38</xdr:row>
      <xdr:rowOff>172466</xdr:rowOff>
    </xdr:from>
    <xdr:to>
      <xdr:col>16</xdr:col>
      <xdr:colOff>0</xdr:colOff>
      <xdr:row>43</xdr:row>
      <xdr:rowOff>119936</xdr:rowOff>
    </xdr:to>
    <xdr:sp macro="" textlink="">
      <xdr:nvSpPr>
        <xdr:cNvPr id="23" name="Flecha: pentágono 22">
          <a:hlinkClick xmlns:r="http://schemas.openxmlformats.org/officeDocument/2006/relationships" r:id="rId5"/>
          <a:extLst>
            <a:ext uri="{FF2B5EF4-FFF2-40B4-BE49-F238E27FC236}">
              <a16:creationId xmlns:a16="http://schemas.microsoft.com/office/drawing/2014/main" id="{00000000-0008-0000-0100-000017000000}"/>
            </a:ext>
          </a:extLst>
        </xdr:cNvPr>
        <xdr:cNvSpPr/>
      </xdr:nvSpPr>
      <xdr:spPr>
        <a:xfrm>
          <a:off x="16894307" y="4195826"/>
          <a:ext cx="10407277" cy="861870"/>
        </a:xfrm>
        <a:prstGeom prst="homePlate">
          <a:avLst/>
        </a:prstGeom>
        <a:solidFill>
          <a:schemeClr val="accent6">
            <a:lumMod val="75000"/>
          </a:schemeClr>
        </a:solidFill>
        <a:ln>
          <a:noFill/>
        </a:ln>
        <a:effectLst/>
        <a:scene3d>
          <a:camera prst="orthographicFront"/>
          <a:lightRig rig="threePt" dir="t"/>
        </a:scene3d>
        <a:sp3d>
          <a:bevelT w="139700" prst="cross"/>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3500" b="0" cap="none" spc="0">
              <a:ln w="0"/>
              <a:solidFill>
                <a:schemeClr val="tx1"/>
              </a:solidFill>
              <a:effectLst>
                <a:outerShdw blurRad="38100" dist="19050" dir="2700000" algn="tl" rotWithShape="0">
                  <a:schemeClr val="dk1">
                    <a:alpha val="40000"/>
                  </a:schemeClr>
                </a:outerShdw>
              </a:effectLst>
            </a:rPr>
            <a:t>MANO DE OBRA</a:t>
          </a:r>
        </a:p>
      </xdr:txBody>
    </xdr:sp>
    <xdr:clientData/>
  </xdr:twoCellAnchor>
  <xdr:twoCellAnchor>
    <xdr:from>
      <xdr:col>10</xdr:col>
      <xdr:colOff>671577</xdr:colOff>
      <xdr:row>28</xdr:row>
      <xdr:rowOff>125909</xdr:rowOff>
    </xdr:from>
    <xdr:to>
      <xdr:col>16</xdr:col>
      <xdr:colOff>0</xdr:colOff>
      <xdr:row>32</xdr:row>
      <xdr:rowOff>136798</xdr:rowOff>
    </xdr:to>
    <xdr:sp macro="" textlink="">
      <xdr:nvSpPr>
        <xdr:cNvPr id="24" name="Flecha: pentágono 23">
          <a:hlinkClick xmlns:r="http://schemas.openxmlformats.org/officeDocument/2006/relationships" r:id="rId6"/>
          <a:extLst>
            <a:ext uri="{FF2B5EF4-FFF2-40B4-BE49-F238E27FC236}">
              <a16:creationId xmlns:a16="http://schemas.microsoft.com/office/drawing/2014/main" id="{00000000-0008-0000-0100-000018000000}"/>
            </a:ext>
          </a:extLst>
        </xdr:cNvPr>
        <xdr:cNvSpPr/>
      </xdr:nvSpPr>
      <xdr:spPr>
        <a:xfrm>
          <a:off x="16856457" y="2320469"/>
          <a:ext cx="10472868" cy="742409"/>
        </a:xfrm>
        <a:prstGeom prst="homePlate">
          <a:avLst/>
        </a:prstGeom>
        <a:solidFill>
          <a:srgbClr val="FFFF00"/>
        </a:solidFill>
        <a:ln>
          <a:noFill/>
        </a:ln>
        <a:effectLst/>
        <a:scene3d>
          <a:camera prst="orthographicFront"/>
          <a:lightRig rig="threePt" dir="t"/>
        </a:scene3d>
        <a:sp3d>
          <a:bevelT w="139700" prst="cross"/>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3500" b="0" cap="none" spc="0">
              <a:ln w="0"/>
              <a:solidFill>
                <a:schemeClr val="tx1"/>
              </a:solidFill>
              <a:effectLst>
                <a:outerShdw blurRad="38100" dist="19050" dir="2700000" algn="tl" rotWithShape="0">
                  <a:schemeClr val="dk1">
                    <a:alpha val="40000"/>
                  </a:schemeClr>
                </a:outerShdw>
              </a:effectLst>
            </a:rPr>
            <a:t>MATERIAL</a:t>
          </a:r>
        </a:p>
      </xdr:txBody>
    </xdr:sp>
    <xdr:clientData/>
  </xdr:twoCellAnchor>
  <xdr:twoCellAnchor>
    <xdr:from>
      <xdr:col>10</xdr:col>
      <xdr:colOff>668852</xdr:colOff>
      <xdr:row>23</xdr:row>
      <xdr:rowOff>134790</xdr:rowOff>
    </xdr:from>
    <xdr:to>
      <xdr:col>16</xdr:col>
      <xdr:colOff>0</xdr:colOff>
      <xdr:row>27</xdr:row>
      <xdr:rowOff>135484</xdr:rowOff>
    </xdr:to>
    <xdr:sp macro="" textlink="">
      <xdr:nvSpPr>
        <xdr:cNvPr id="25" name="Flecha: pentágono 24">
          <a:hlinkClick xmlns:r="http://schemas.openxmlformats.org/officeDocument/2006/relationships" r:id="rId7"/>
          <a:extLst>
            <a:ext uri="{FF2B5EF4-FFF2-40B4-BE49-F238E27FC236}">
              <a16:creationId xmlns:a16="http://schemas.microsoft.com/office/drawing/2014/main" id="{00000000-0008-0000-0100-000019000000}"/>
            </a:ext>
          </a:extLst>
        </xdr:cNvPr>
        <xdr:cNvSpPr/>
      </xdr:nvSpPr>
      <xdr:spPr>
        <a:xfrm>
          <a:off x="16853732" y="1414950"/>
          <a:ext cx="10506148" cy="732214"/>
        </a:xfrm>
        <a:prstGeom prst="homePlate">
          <a:avLst/>
        </a:prstGeom>
        <a:solidFill>
          <a:srgbClr val="0070C0"/>
        </a:solidFill>
        <a:ln>
          <a:noFill/>
        </a:ln>
        <a:effectLst/>
        <a:scene3d>
          <a:camera prst="orthographicFront"/>
          <a:lightRig rig="threePt" dir="t"/>
        </a:scene3d>
        <a:sp3d>
          <a:bevelT w="139700" prst="cross"/>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3500" b="0" cap="none" spc="0">
              <a:ln w="0"/>
              <a:solidFill>
                <a:schemeClr val="tx1"/>
              </a:solidFill>
              <a:effectLst>
                <a:outerShdw blurRad="38100" dist="19050" dir="2700000" algn="tl" rotWithShape="0">
                  <a:schemeClr val="dk1">
                    <a:alpha val="40000"/>
                  </a:schemeClr>
                </a:outerShdw>
              </a:effectLst>
            </a:rPr>
            <a:t>OFERTA</a:t>
          </a:r>
        </a:p>
      </xdr:txBody>
    </xdr:sp>
    <xdr:clientData/>
  </xdr:twoCellAnchor>
  <xdr:twoCellAnchor>
    <xdr:from>
      <xdr:col>10</xdr:col>
      <xdr:colOff>685008</xdr:colOff>
      <xdr:row>44</xdr:row>
      <xdr:rowOff>45364</xdr:rowOff>
    </xdr:from>
    <xdr:to>
      <xdr:col>16</xdr:col>
      <xdr:colOff>0</xdr:colOff>
      <xdr:row>48</xdr:row>
      <xdr:rowOff>167639</xdr:rowOff>
    </xdr:to>
    <xdr:sp macro="" textlink="">
      <xdr:nvSpPr>
        <xdr:cNvPr id="26" name="Flecha: pentágono 25">
          <a:hlinkClick xmlns:r="http://schemas.openxmlformats.org/officeDocument/2006/relationships" r:id="rId8"/>
          <a:extLst>
            <a:ext uri="{FF2B5EF4-FFF2-40B4-BE49-F238E27FC236}">
              <a16:creationId xmlns:a16="http://schemas.microsoft.com/office/drawing/2014/main" id="{00000000-0008-0000-0100-00001A000000}"/>
            </a:ext>
          </a:extLst>
        </xdr:cNvPr>
        <xdr:cNvSpPr/>
      </xdr:nvSpPr>
      <xdr:spPr>
        <a:xfrm>
          <a:off x="16869888" y="5166004"/>
          <a:ext cx="10475258" cy="853795"/>
        </a:xfrm>
        <a:prstGeom prst="homePlate">
          <a:avLst/>
        </a:prstGeom>
        <a:solidFill>
          <a:srgbClr val="FF8F8F"/>
        </a:solidFill>
        <a:ln>
          <a:noFill/>
        </a:ln>
        <a:effectLst/>
        <a:scene3d>
          <a:camera prst="orthographicFront"/>
          <a:lightRig rig="threePt" dir="t"/>
        </a:scene3d>
        <a:sp3d>
          <a:bevelT w="139700" prst="cross"/>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3500" b="0" cap="none" spc="0">
              <a:ln w="0"/>
              <a:solidFill>
                <a:schemeClr val="tx1"/>
              </a:solidFill>
              <a:effectLst>
                <a:outerShdw blurRad="38100" dist="19050" dir="2700000" algn="tl" rotWithShape="0">
                  <a:schemeClr val="dk1">
                    <a:alpha val="40000"/>
                  </a:schemeClr>
                </a:outerShdw>
              </a:effectLst>
            </a:rPr>
            <a:t>ADMINISTRACION</a:t>
          </a:r>
        </a:p>
      </xdr:txBody>
    </xdr:sp>
    <xdr:clientData/>
  </xdr:twoCellAnchor>
  <xdr:twoCellAnchor>
    <xdr:from>
      <xdr:col>4</xdr:col>
      <xdr:colOff>473542</xdr:colOff>
      <xdr:row>44</xdr:row>
      <xdr:rowOff>51594</xdr:rowOff>
    </xdr:from>
    <xdr:to>
      <xdr:col>6</xdr:col>
      <xdr:colOff>477616</xdr:colOff>
      <xdr:row>48</xdr:row>
      <xdr:rowOff>133350</xdr:rowOff>
    </xdr:to>
    <xdr:sp macro="" textlink="$B$9">
      <xdr:nvSpPr>
        <xdr:cNvPr id="28" name="Rectángulo: biselado 27">
          <a:extLst>
            <a:ext uri="{FF2B5EF4-FFF2-40B4-BE49-F238E27FC236}">
              <a16:creationId xmlns:a16="http://schemas.microsoft.com/office/drawing/2014/main" id="{00000000-0008-0000-0100-00001C000000}"/>
            </a:ext>
          </a:extLst>
        </xdr:cNvPr>
        <xdr:cNvSpPr/>
      </xdr:nvSpPr>
      <xdr:spPr>
        <a:xfrm>
          <a:off x="5597992" y="5385594"/>
          <a:ext cx="2804424" cy="843756"/>
        </a:xfrm>
        <a:prstGeom prst="bevel">
          <a:avLst/>
        </a:prstGeom>
        <a:solidFill>
          <a:schemeClr val="bg2">
            <a:lumMod val="90000"/>
          </a:schemeClr>
        </a:solidFill>
        <a:ln>
          <a:noFill/>
        </a:ln>
        <a:effectLst>
          <a:glow rad="63500">
            <a:schemeClr val="accent3">
              <a:satMod val="175000"/>
              <a:alpha val="40000"/>
            </a:schemeClr>
          </a:glow>
          <a:reflection blurRad="6350" stA="52000" endA="300" endPos="35000" dir="5400000" sy="-100000" algn="bl" rotWithShape="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6BF0B94-80AC-4CE0-8F61-A29EA23D9E7A}" type="TxLink">
            <a:rPr lang="en-US" sz="1800" b="1" i="0" u="none" strike="noStrike">
              <a:solidFill>
                <a:srgbClr val="000000"/>
              </a:solidFill>
              <a:latin typeface="Calibri"/>
              <a:cs typeface="Calibri"/>
            </a:rPr>
            <a:pPr algn="ctr"/>
            <a:t>% DE ADMINISTRACION PROYECTADA</a:t>
          </a:fld>
          <a:endParaRPr lang="es-CO" sz="1800" b="1"/>
        </a:p>
      </xdr:txBody>
    </xdr:sp>
    <xdr:clientData/>
  </xdr:twoCellAnchor>
  <xdr:twoCellAnchor>
    <xdr:from>
      <xdr:col>4</xdr:col>
      <xdr:colOff>372917</xdr:colOff>
      <xdr:row>29</xdr:row>
      <xdr:rowOff>171791</xdr:rowOff>
    </xdr:from>
    <xdr:to>
      <xdr:col>6</xdr:col>
      <xdr:colOff>400050</xdr:colOff>
      <xdr:row>34</xdr:row>
      <xdr:rowOff>183197</xdr:rowOff>
    </xdr:to>
    <xdr:sp macro="" textlink="$B$12">
      <xdr:nvSpPr>
        <xdr:cNvPr id="29" name="Rectángulo: biselado 28">
          <a:extLst>
            <a:ext uri="{FF2B5EF4-FFF2-40B4-BE49-F238E27FC236}">
              <a16:creationId xmlns:a16="http://schemas.microsoft.com/office/drawing/2014/main" id="{00000000-0008-0000-0100-00001D000000}"/>
            </a:ext>
          </a:extLst>
        </xdr:cNvPr>
        <xdr:cNvSpPr/>
      </xdr:nvSpPr>
      <xdr:spPr>
        <a:xfrm>
          <a:off x="5497367" y="2648291"/>
          <a:ext cx="2827483" cy="963906"/>
        </a:xfrm>
        <a:prstGeom prst="bevel">
          <a:avLst/>
        </a:prstGeom>
        <a:solidFill>
          <a:schemeClr val="accent1">
            <a:lumMod val="20000"/>
            <a:lumOff val="80000"/>
          </a:schemeClr>
        </a:solidFill>
        <a:ln>
          <a:noFill/>
        </a:ln>
        <a:effectLst>
          <a:glow rad="63500">
            <a:schemeClr val="accent1">
              <a:satMod val="175000"/>
              <a:alpha val="40000"/>
            </a:schemeClr>
          </a:glow>
          <a:reflection blurRad="6350" stA="52000" endA="300" endPos="35000" dir="5400000" sy="-100000" algn="bl" rotWithShape="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D56F75AA-BD2A-4EAC-B5FC-5ABBA26D9E9F}" type="TxLink">
            <a:rPr lang="en-US" sz="1800" b="1" i="0" u="none" strike="noStrike">
              <a:solidFill>
                <a:srgbClr val="000000"/>
              </a:solidFill>
              <a:latin typeface="Calibri"/>
              <a:cs typeface="Calibri"/>
            </a:rPr>
            <a:pPr algn="ctr"/>
            <a:t>COSTO PROYECTADO OFERTA (AI+CDO)</a:t>
          </a:fld>
          <a:endParaRPr lang="es-CO" sz="1800" b="1"/>
        </a:p>
      </xdr:txBody>
    </xdr:sp>
    <xdr:clientData/>
  </xdr:twoCellAnchor>
  <xdr:twoCellAnchor>
    <xdr:from>
      <xdr:col>6</xdr:col>
      <xdr:colOff>775832</xdr:colOff>
      <xdr:row>26</xdr:row>
      <xdr:rowOff>125525</xdr:rowOff>
    </xdr:from>
    <xdr:to>
      <xdr:col>10</xdr:col>
      <xdr:colOff>258535</xdr:colOff>
      <xdr:row>29</xdr:row>
      <xdr:rowOff>40821</xdr:rowOff>
    </xdr:to>
    <xdr:sp macro="" textlink="COSTO_OFERTA">
      <xdr:nvSpPr>
        <xdr:cNvPr id="34" name="Rectángulo: biselado 33">
          <a:extLst>
            <a:ext uri="{FF2B5EF4-FFF2-40B4-BE49-F238E27FC236}">
              <a16:creationId xmlns:a16="http://schemas.microsoft.com/office/drawing/2014/main" id="{00000000-0008-0000-0100-000022000000}"/>
            </a:ext>
          </a:extLst>
        </xdr:cNvPr>
        <xdr:cNvSpPr/>
      </xdr:nvSpPr>
      <xdr:spPr>
        <a:xfrm>
          <a:off x="8137296" y="7486989"/>
          <a:ext cx="2830060" cy="486796"/>
        </a:xfrm>
        <a:prstGeom prst="bevel">
          <a:avLst/>
        </a:prstGeom>
        <a:solidFill>
          <a:schemeClr val="accent6">
            <a:lumMod val="20000"/>
            <a:lumOff val="80000"/>
          </a:schemeClr>
        </a:solidFill>
        <a:ln>
          <a:noFill/>
        </a:ln>
        <a:effectLst>
          <a:glow rad="63500">
            <a:schemeClr val="accent6">
              <a:satMod val="175000"/>
              <a:alpha val="40000"/>
            </a:schemeClr>
          </a:glow>
          <a:reflection blurRad="6350" stA="52000" endA="300" endPos="35000" dir="5400000" sy="-100000" algn="bl" rotWithShape="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AA5E6B5-ADA3-4996-A0FA-27FA574B010F}" type="TxLink">
            <a:rPr lang="en-US" sz="2800" b="0" i="0" u="none" strike="noStrike">
              <a:solidFill>
                <a:schemeClr val="tx1"/>
              </a:solidFill>
              <a:latin typeface="Calibri"/>
              <a:cs typeface="Calibri"/>
            </a:rPr>
            <a:pPr algn="ctr"/>
            <a:t>$ 0.00</a:t>
          </a:fld>
          <a:endParaRPr lang="es-CO" sz="2800" b="0">
            <a:solidFill>
              <a:schemeClr val="tx1"/>
            </a:solidFill>
          </a:endParaRPr>
        </a:p>
      </xdr:txBody>
    </xdr:sp>
    <xdr:clientData/>
  </xdr:twoCellAnchor>
  <xdr:twoCellAnchor>
    <xdr:from>
      <xdr:col>6</xdr:col>
      <xdr:colOff>836984</xdr:colOff>
      <xdr:row>30</xdr:row>
      <xdr:rowOff>149218</xdr:rowOff>
    </xdr:from>
    <xdr:to>
      <xdr:col>10</xdr:col>
      <xdr:colOff>319687</xdr:colOff>
      <xdr:row>33</xdr:row>
      <xdr:rowOff>75720</xdr:rowOff>
    </xdr:to>
    <xdr:sp macro="" textlink="$C$12">
      <xdr:nvSpPr>
        <xdr:cNvPr id="35" name="Rectángulo: biselado 34">
          <a:extLst>
            <a:ext uri="{FF2B5EF4-FFF2-40B4-BE49-F238E27FC236}">
              <a16:creationId xmlns:a16="http://schemas.microsoft.com/office/drawing/2014/main" id="{00000000-0008-0000-0100-000023000000}"/>
            </a:ext>
          </a:extLst>
        </xdr:cNvPr>
        <xdr:cNvSpPr/>
      </xdr:nvSpPr>
      <xdr:spPr>
        <a:xfrm>
          <a:off x="8743855" y="3206183"/>
          <a:ext cx="4951173" cy="464384"/>
        </a:xfrm>
        <a:prstGeom prst="bevel">
          <a:avLst/>
        </a:prstGeom>
        <a:solidFill>
          <a:schemeClr val="accent1">
            <a:lumMod val="20000"/>
            <a:lumOff val="80000"/>
          </a:schemeClr>
        </a:solidFill>
        <a:ln>
          <a:noFill/>
        </a:ln>
        <a:effectLst>
          <a:glow rad="63500">
            <a:schemeClr val="accent1">
              <a:satMod val="175000"/>
              <a:alpha val="40000"/>
            </a:schemeClr>
          </a:glow>
          <a:reflection blurRad="6350" stA="52000" endA="300" endPos="35000" dir="5400000" sy="-100000" algn="bl" rotWithShape="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2C5FEA5-5C1F-4297-877C-75AA78C88572}" type="TxLink">
            <a:rPr lang="en-US" sz="2800" b="0" i="0" u="none" strike="noStrike">
              <a:solidFill>
                <a:schemeClr val="tx1"/>
              </a:solidFill>
              <a:latin typeface="Calibri"/>
              <a:cs typeface="Calibri"/>
            </a:rPr>
            <a:pPr algn="ctr"/>
            <a:t>$ 24,169,794,507.45</a:t>
          </a:fld>
          <a:endParaRPr lang="es-CO" sz="2800" b="0">
            <a:solidFill>
              <a:schemeClr val="tx1"/>
            </a:solidFill>
          </a:endParaRPr>
        </a:p>
      </xdr:txBody>
    </xdr:sp>
    <xdr:clientData/>
  </xdr:twoCellAnchor>
  <xdr:twoCellAnchor>
    <xdr:from>
      <xdr:col>6</xdr:col>
      <xdr:colOff>822096</xdr:colOff>
      <xdr:row>35</xdr:row>
      <xdr:rowOff>90146</xdr:rowOff>
    </xdr:from>
    <xdr:to>
      <xdr:col>10</xdr:col>
      <xdr:colOff>304799</xdr:colOff>
      <xdr:row>38</xdr:row>
      <xdr:rowOff>5442</xdr:rowOff>
    </xdr:to>
    <xdr:sp macro="" textlink="RESULTADO_PROYECTADO">
      <xdr:nvSpPr>
        <xdr:cNvPr id="36" name="Rectángulo: biselado 35">
          <a:extLst>
            <a:ext uri="{FF2B5EF4-FFF2-40B4-BE49-F238E27FC236}">
              <a16:creationId xmlns:a16="http://schemas.microsoft.com/office/drawing/2014/main" id="{00000000-0008-0000-0100-000024000000}"/>
            </a:ext>
          </a:extLst>
        </xdr:cNvPr>
        <xdr:cNvSpPr/>
      </xdr:nvSpPr>
      <xdr:spPr>
        <a:xfrm>
          <a:off x="8183560" y="9166110"/>
          <a:ext cx="2830060" cy="486796"/>
        </a:xfrm>
        <a:prstGeom prst="bevel">
          <a:avLst/>
        </a:prstGeom>
        <a:solidFill>
          <a:schemeClr val="accent4">
            <a:lumMod val="40000"/>
            <a:lumOff val="60000"/>
          </a:schemeClr>
        </a:solidFill>
        <a:ln>
          <a:noFill/>
        </a:ln>
        <a:effectLst>
          <a:glow rad="63500">
            <a:schemeClr val="accent4">
              <a:satMod val="175000"/>
              <a:alpha val="40000"/>
            </a:schemeClr>
          </a:glow>
          <a:reflection blurRad="6350" stA="52000" endA="300" endPos="35000" dir="5400000" sy="-100000" algn="bl" rotWithShape="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FDE58AAB-F32A-4521-9A1A-029D5173227B}" type="TxLink">
            <a:rPr lang="en-US" sz="2800" b="0" i="0" u="none" strike="noStrike">
              <a:solidFill>
                <a:schemeClr val="tx1"/>
              </a:solidFill>
              <a:latin typeface="Calibri"/>
              <a:cs typeface="Calibri"/>
            </a:rPr>
            <a:pPr algn="ctr"/>
            <a:t>-$ 24,169,794,507.45</a:t>
          </a:fld>
          <a:endParaRPr lang="es-CO" sz="2800" b="0">
            <a:solidFill>
              <a:schemeClr val="tx1"/>
            </a:solidFill>
          </a:endParaRPr>
        </a:p>
      </xdr:txBody>
    </xdr:sp>
    <xdr:clientData/>
  </xdr:twoCellAnchor>
  <xdr:twoCellAnchor>
    <xdr:from>
      <xdr:col>6</xdr:col>
      <xdr:colOff>851392</xdr:colOff>
      <xdr:row>39</xdr:row>
      <xdr:rowOff>138651</xdr:rowOff>
    </xdr:from>
    <xdr:to>
      <xdr:col>10</xdr:col>
      <xdr:colOff>334095</xdr:colOff>
      <xdr:row>42</xdr:row>
      <xdr:rowOff>53947</xdr:rowOff>
    </xdr:to>
    <xdr:sp macro="" textlink="PORCENTAJE_UTILIDAD_PROYECTADA">
      <xdr:nvSpPr>
        <xdr:cNvPr id="37" name="Rectángulo: biselado 36">
          <a:extLst>
            <a:ext uri="{FF2B5EF4-FFF2-40B4-BE49-F238E27FC236}">
              <a16:creationId xmlns:a16="http://schemas.microsoft.com/office/drawing/2014/main" id="{00000000-0008-0000-0100-000025000000}"/>
            </a:ext>
          </a:extLst>
        </xdr:cNvPr>
        <xdr:cNvSpPr/>
      </xdr:nvSpPr>
      <xdr:spPr>
        <a:xfrm>
          <a:off x="8758263" y="4809263"/>
          <a:ext cx="4951173" cy="453178"/>
        </a:xfrm>
        <a:prstGeom prst="bevel">
          <a:avLst/>
        </a:prstGeom>
        <a:solidFill>
          <a:schemeClr val="accent2">
            <a:lumMod val="40000"/>
            <a:lumOff val="60000"/>
          </a:schemeClr>
        </a:solidFill>
        <a:ln>
          <a:noFill/>
        </a:ln>
        <a:effectLst>
          <a:glow rad="63500">
            <a:schemeClr val="accent2">
              <a:satMod val="175000"/>
              <a:alpha val="40000"/>
            </a:schemeClr>
          </a:glow>
          <a:reflection blurRad="6350" stA="52000" endA="300" endPos="35000" dir="5400000" sy="-100000" algn="bl" rotWithShape="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78E795C-70ED-4148-BF82-120124D91085}" type="TxLink">
            <a:rPr lang="en-US" sz="2800" b="0" i="0" u="none" strike="noStrike">
              <a:solidFill>
                <a:schemeClr val="tx1"/>
              </a:solidFill>
              <a:latin typeface="Calibri"/>
              <a:cs typeface="Calibri"/>
            </a:rPr>
            <a:pPr algn="ctr"/>
            <a:t>#DIV/0!</a:t>
          </a:fld>
          <a:endParaRPr lang="es-CO" sz="2800" b="0">
            <a:solidFill>
              <a:schemeClr val="tx1"/>
            </a:solidFill>
          </a:endParaRPr>
        </a:p>
      </xdr:txBody>
    </xdr:sp>
    <xdr:clientData/>
  </xdr:twoCellAnchor>
  <xdr:twoCellAnchor>
    <xdr:from>
      <xdr:col>6</xdr:col>
      <xdr:colOff>863078</xdr:colOff>
      <xdr:row>44</xdr:row>
      <xdr:rowOff>90626</xdr:rowOff>
    </xdr:from>
    <xdr:to>
      <xdr:col>10</xdr:col>
      <xdr:colOff>364378</xdr:colOff>
      <xdr:row>48</xdr:row>
      <xdr:rowOff>31190</xdr:rowOff>
    </xdr:to>
    <xdr:sp macro="" textlink="$C$9">
      <xdr:nvSpPr>
        <xdr:cNvPr id="38" name="Rectángulo: biselado 37">
          <a:extLst>
            <a:ext uri="{FF2B5EF4-FFF2-40B4-BE49-F238E27FC236}">
              <a16:creationId xmlns:a16="http://schemas.microsoft.com/office/drawing/2014/main" id="{00000000-0008-0000-0100-000026000000}"/>
            </a:ext>
          </a:extLst>
        </xdr:cNvPr>
        <xdr:cNvSpPr/>
      </xdr:nvSpPr>
      <xdr:spPr>
        <a:xfrm>
          <a:off x="8769949" y="5657708"/>
          <a:ext cx="4969770" cy="657741"/>
        </a:xfrm>
        <a:prstGeom prst="bevel">
          <a:avLst/>
        </a:prstGeom>
        <a:solidFill>
          <a:schemeClr val="bg2">
            <a:lumMod val="90000"/>
          </a:schemeClr>
        </a:solidFill>
        <a:ln>
          <a:noFill/>
        </a:ln>
        <a:effectLst>
          <a:glow rad="63500">
            <a:schemeClr val="accent3">
              <a:satMod val="175000"/>
              <a:alpha val="40000"/>
            </a:schemeClr>
          </a:glow>
          <a:reflection blurRad="6350" stA="52000" endA="300" endPos="35000" dir="5400000" sy="-100000" algn="bl" rotWithShape="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689CB1A-8A53-4570-B24C-1DAD698CF943}" type="TxLink">
            <a:rPr lang="en-US" sz="2800" b="0" i="0" u="none" strike="noStrike">
              <a:solidFill>
                <a:schemeClr val="tx1"/>
              </a:solidFill>
              <a:latin typeface="Calibri"/>
              <a:cs typeface="Calibri"/>
            </a:rPr>
            <a:pPr algn="ctr"/>
            <a:t>2.32%</a:t>
          </a:fld>
          <a:endParaRPr lang="es-CO" sz="2800" b="0">
            <a:solidFill>
              <a:schemeClr val="tx1"/>
            </a:solidFill>
          </a:endParaRPr>
        </a:p>
      </xdr:txBody>
    </xdr:sp>
    <xdr:clientData/>
  </xdr:twoCellAnchor>
  <xdr:twoCellAnchor>
    <xdr:from>
      <xdr:col>1</xdr:col>
      <xdr:colOff>304800</xdr:colOff>
      <xdr:row>115</xdr:row>
      <xdr:rowOff>76200</xdr:rowOff>
    </xdr:from>
    <xdr:to>
      <xdr:col>8</xdr:col>
      <xdr:colOff>285750</xdr:colOff>
      <xdr:row>149</xdr:row>
      <xdr:rowOff>114300</xdr:rowOff>
    </xdr:to>
    <xdr:graphicFrame macro="">
      <xdr:nvGraphicFramePr>
        <xdr:cNvPr id="39" name="Gráfico 38">
          <a:extLst>
            <a:ext uri="{FF2B5EF4-FFF2-40B4-BE49-F238E27FC236}">
              <a16:creationId xmlns:a16="http://schemas.microsoft.com/office/drawing/2014/main" id="{00000000-0008-0000-0100-00002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723900</xdr:colOff>
      <xdr:row>115</xdr:row>
      <xdr:rowOff>114300</xdr:rowOff>
    </xdr:from>
    <xdr:to>
      <xdr:col>16</xdr:col>
      <xdr:colOff>0</xdr:colOff>
      <xdr:row>148</xdr:row>
      <xdr:rowOff>171450</xdr:rowOff>
    </xdr:to>
    <xdr:graphicFrame macro="">
      <xdr:nvGraphicFramePr>
        <xdr:cNvPr id="41" name="Gráfico 40">
          <a:extLst>
            <a:ext uri="{FF2B5EF4-FFF2-40B4-BE49-F238E27FC236}">
              <a16:creationId xmlns:a16="http://schemas.microsoft.com/office/drawing/2014/main" id="{00000000-0008-0000-01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xdr:col>
      <xdr:colOff>304800</xdr:colOff>
      <xdr:row>150</xdr:row>
      <xdr:rowOff>21999</xdr:rowOff>
    </xdr:from>
    <xdr:to>
      <xdr:col>9</xdr:col>
      <xdr:colOff>2792186</xdr:colOff>
      <xdr:row>159</xdr:row>
      <xdr:rowOff>133351</xdr:rowOff>
    </xdr:to>
    <mc:AlternateContent xmlns:mc="http://schemas.openxmlformats.org/markup-compatibility/2006" xmlns:a14="http://schemas.microsoft.com/office/drawing/2010/main">
      <mc:Choice Requires="a14">
        <xdr:graphicFrame macro="">
          <xdr:nvGraphicFramePr>
            <xdr:cNvPr id="42" name="ITEM 3">
              <a:extLst>
                <a:ext uri="{FF2B5EF4-FFF2-40B4-BE49-F238E27FC236}">
                  <a16:creationId xmlns:a16="http://schemas.microsoft.com/office/drawing/2014/main" id="{00000000-0008-0000-0100-00002A000000}"/>
                </a:ext>
              </a:extLst>
            </xdr:cNvPr>
            <xdr:cNvGraphicFramePr/>
          </xdr:nvGraphicFramePr>
          <xdr:xfrm>
            <a:off x="0" y="0"/>
            <a:ext cx="0" cy="0"/>
          </xdr:xfrm>
          <a:graphic>
            <a:graphicData uri="http://schemas.microsoft.com/office/drawing/2010/slicer">
              <sle:slicer xmlns:sle="http://schemas.microsoft.com/office/drawing/2010/slicer" name="ITEM 3"/>
            </a:graphicData>
          </a:graphic>
        </xdr:graphicFrame>
      </mc:Choice>
      <mc:Fallback xmlns="">
        <xdr:sp macro="" textlink="">
          <xdr:nvSpPr>
            <xdr:cNvPr id="0" name=""/>
            <xdr:cNvSpPr>
              <a:spLocks noTextEdit="1"/>
            </xdr:cNvSpPr>
          </xdr:nvSpPr>
          <xdr:spPr>
            <a:xfrm>
              <a:off x="1097280" y="29953359"/>
              <a:ext cx="16268700" cy="1757271"/>
            </a:xfrm>
            <a:prstGeom prst="rect">
              <a:avLst/>
            </a:prstGeom>
            <a:solidFill>
              <a:prstClr val="white"/>
            </a:solidFill>
            <a:ln w="1">
              <a:solidFill>
                <a:prstClr val="green"/>
              </a:solidFill>
            </a:ln>
          </xdr:spPr>
          <xdr:txBody>
            <a:bodyPr vertOverflow="clip" horzOverflow="clip"/>
            <a:lstStyle/>
            <a:p>
              <a:r>
                <a:rPr lang="es-CO"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17</xdr:col>
      <xdr:colOff>387531</xdr:colOff>
      <xdr:row>21</xdr:row>
      <xdr:rowOff>56063</xdr:rowOff>
    </xdr:from>
    <xdr:to>
      <xdr:col>20</xdr:col>
      <xdr:colOff>76201</xdr:colOff>
      <xdr:row>36</xdr:row>
      <xdr:rowOff>152400</xdr:rowOff>
    </xdr:to>
    <xdr:grpSp>
      <xdr:nvGrpSpPr>
        <xdr:cNvPr id="30" name="Grupo 29">
          <a:extLst>
            <a:ext uri="{FF2B5EF4-FFF2-40B4-BE49-F238E27FC236}">
              <a16:creationId xmlns:a16="http://schemas.microsoft.com/office/drawing/2014/main" id="{00000000-0008-0000-0100-00001E000000}"/>
            </a:ext>
          </a:extLst>
        </xdr:cNvPr>
        <xdr:cNvGrpSpPr/>
      </xdr:nvGrpSpPr>
      <xdr:grpSpPr>
        <a:xfrm>
          <a:off x="31849797" y="1306219"/>
          <a:ext cx="4093982" cy="3340790"/>
          <a:chOff x="21763567" y="5012267"/>
          <a:chExt cx="1485900" cy="1519766"/>
        </a:xfrm>
      </xdr:grpSpPr>
      <xdr:sp macro="[0]!ACTUALIZAR_T_DINAMICAS_DASH" textlink="">
        <xdr:nvSpPr>
          <xdr:cNvPr id="31" name="Flecha: curvada hacia arriba 30">
            <a:extLst>
              <a:ext uri="{FF2B5EF4-FFF2-40B4-BE49-F238E27FC236}">
                <a16:creationId xmlns:a16="http://schemas.microsoft.com/office/drawing/2014/main" id="{00000000-0008-0000-0100-00001F000000}"/>
              </a:ext>
            </a:extLst>
          </xdr:cNvPr>
          <xdr:cNvSpPr/>
        </xdr:nvSpPr>
        <xdr:spPr>
          <a:xfrm>
            <a:off x="21924433" y="5871633"/>
            <a:ext cx="1325034" cy="66040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900">
              <a:solidFill>
                <a:schemeClr val="tx1"/>
              </a:solidFill>
            </a:endParaRPr>
          </a:p>
        </xdr:txBody>
      </xdr:sp>
      <xdr:sp macro="[0]!ACTUALIZAR_T_DINAMICAS_DASH" textlink="">
        <xdr:nvSpPr>
          <xdr:cNvPr id="32" name="Flecha: curvada hacia abajo 31">
            <a:extLst>
              <a:ext uri="{FF2B5EF4-FFF2-40B4-BE49-F238E27FC236}">
                <a16:creationId xmlns:a16="http://schemas.microsoft.com/office/drawing/2014/main" id="{00000000-0008-0000-0100-000020000000}"/>
              </a:ext>
            </a:extLst>
          </xdr:cNvPr>
          <xdr:cNvSpPr/>
        </xdr:nvSpPr>
        <xdr:spPr>
          <a:xfrm flipH="1">
            <a:off x="21763567" y="5012267"/>
            <a:ext cx="1401234" cy="728134"/>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900">
              <a:solidFill>
                <a:schemeClr val="tx1"/>
              </a:solidFill>
            </a:endParaRPr>
          </a:p>
        </xdr:txBody>
      </xdr:sp>
      <xdr:sp macro="[0]!ACTUALIZAR_T_DINAMICAS_DASH" textlink="">
        <xdr:nvSpPr>
          <xdr:cNvPr id="33" name="CuadroTexto 32">
            <a:extLst>
              <a:ext uri="{FF2B5EF4-FFF2-40B4-BE49-F238E27FC236}">
                <a16:creationId xmlns:a16="http://schemas.microsoft.com/office/drawing/2014/main" id="{00000000-0008-0000-0100-000021000000}"/>
              </a:ext>
            </a:extLst>
          </xdr:cNvPr>
          <xdr:cNvSpPr txBox="1"/>
        </xdr:nvSpPr>
        <xdr:spPr>
          <a:xfrm>
            <a:off x="22066016" y="5337282"/>
            <a:ext cx="931333" cy="991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500" b="1">
                <a:solidFill>
                  <a:schemeClr val="bg1"/>
                </a:solidFill>
              </a:rPr>
              <a:t>ACTUALIZAR</a:t>
            </a:r>
            <a:r>
              <a:rPr lang="en-US" sz="2500" b="1" baseline="0">
                <a:solidFill>
                  <a:schemeClr val="bg1"/>
                </a:solidFill>
              </a:rPr>
              <a:t> TABLAS DINAMICAS</a:t>
            </a:r>
            <a:endParaRPr lang="en-US" sz="2500" b="1">
              <a:solidFill>
                <a:schemeClr val="bg1"/>
              </a:solidFill>
            </a:endParaRPr>
          </a:p>
        </xdr:txBody>
      </xdr:sp>
    </xdr:grpSp>
    <xdr:clientData/>
  </xdr:twoCellAnchor>
  <xdr:twoCellAnchor>
    <xdr:from>
      <xdr:col>1</xdr:col>
      <xdr:colOff>848592</xdr:colOff>
      <xdr:row>51</xdr:row>
      <xdr:rowOff>84859</xdr:rowOff>
    </xdr:from>
    <xdr:to>
      <xdr:col>16</xdr:col>
      <xdr:colOff>0</xdr:colOff>
      <xdr:row>55</xdr:row>
      <xdr:rowOff>60960</xdr:rowOff>
    </xdr:to>
    <xdr:sp macro="" textlink="">
      <xdr:nvSpPr>
        <xdr:cNvPr id="45" name="Rectángulo: esquinas redondeadas 44">
          <a:extLst>
            <a:ext uri="{FF2B5EF4-FFF2-40B4-BE49-F238E27FC236}">
              <a16:creationId xmlns:a16="http://schemas.microsoft.com/office/drawing/2014/main" id="{00000000-0008-0000-0100-00002D000000}"/>
            </a:ext>
          </a:extLst>
        </xdr:cNvPr>
        <xdr:cNvSpPr/>
      </xdr:nvSpPr>
      <xdr:spPr>
        <a:xfrm>
          <a:off x="1641072" y="6485659"/>
          <a:ext cx="24663168" cy="829541"/>
        </a:xfrm>
        <a:prstGeom prst="round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3000" b="0" cap="none" spc="0">
              <a:ln w="0"/>
              <a:solidFill>
                <a:schemeClr val="bg1"/>
              </a:solidFill>
              <a:effectLst>
                <a:outerShdw blurRad="38100" dist="19050" dir="2700000" algn="tl" rotWithShape="0">
                  <a:schemeClr val="dk1">
                    <a:alpha val="40000"/>
                  </a:schemeClr>
                </a:outerShdw>
              </a:effectLst>
            </a:rPr>
            <a:t>INCIDENCIA DE LOS RECURSOS EN EL COSTO DIRECTO</a:t>
          </a:r>
          <a:r>
            <a:rPr lang="es-CO" sz="3000" b="0" cap="none" spc="0" baseline="0">
              <a:ln w="0"/>
              <a:solidFill>
                <a:schemeClr val="bg1"/>
              </a:solidFill>
              <a:effectLst>
                <a:outerShdw blurRad="38100" dist="19050" dir="2700000" algn="tl" rotWithShape="0">
                  <a:schemeClr val="dk1">
                    <a:alpha val="40000"/>
                  </a:schemeClr>
                </a:outerShdw>
              </a:effectLst>
            </a:rPr>
            <a:t> DEL </a:t>
          </a:r>
          <a:r>
            <a:rPr lang="es-CO" sz="3000" b="0" cap="none" spc="0">
              <a:ln w="0"/>
              <a:solidFill>
                <a:schemeClr val="bg1"/>
              </a:solidFill>
              <a:effectLst>
                <a:outerShdw blurRad="38100" dist="19050" dir="2700000" algn="tl" rotWithShape="0">
                  <a:schemeClr val="dk1">
                    <a:alpha val="40000"/>
                  </a:schemeClr>
                </a:outerShdw>
              </a:effectLst>
            </a:rPr>
            <a:t>PROYECTO</a:t>
          </a:r>
        </a:p>
      </xdr:txBody>
    </xdr:sp>
    <xdr:clientData/>
  </xdr:twoCellAnchor>
  <xdr:twoCellAnchor>
    <xdr:from>
      <xdr:col>1</xdr:col>
      <xdr:colOff>365760</xdr:colOff>
      <xdr:row>98</xdr:row>
      <xdr:rowOff>140970</xdr:rowOff>
    </xdr:from>
    <xdr:to>
      <xdr:col>8</xdr:col>
      <xdr:colOff>95250</xdr:colOff>
      <xdr:row>104</xdr:row>
      <xdr:rowOff>87630</xdr:rowOff>
    </xdr:to>
    <xdr:sp macro="" textlink="">
      <xdr:nvSpPr>
        <xdr:cNvPr id="47" name="Rectángulo: esquinas redondeadas 46">
          <a:extLst>
            <a:ext uri="{FF2B5EF4-FFF2-40B4-BE49-F238E27FC236}">
              <a16:creationId xmlns:a16="http://schemas.microsoft.com/office/drawing/2014/main" id="{00000000-0008-0000-0100-00002F000000}"/>
            </a:ext>
          </a:extLst>
        </xdr:cNvPr>
        <xdr:cNvSpPr/>
      </xdr:nvSpPr>
      <xdr:spPr>
        <a:xfrm>
          <a:off x="1165860" y="15876270"/>
          <a:ext cx="11940540" cy="1089660"/>
        </a:xfrm>
        <a:prstGeom prst="round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3000" b="0" cap="none" spc="0">
              <a:ln w="0"/>
              <a:solidFill>
                <a:schemeClr val="bg1"/>
              </a:solidFill>
              <a:effectLst>
                <a:outerShdw blurRad="38100" dist="19050" dir="2700000" algn="tl" rotWithShape="0">
                  <a:schemeClr val="dk1">
                    <a:alpha val="40000"/>
                  </a:schemeClr>
                </a:outerShdw>
              </a:effectLst>
            </a:rPr>
            <a:t>% DE RECURSOS</a:t>
          </a:r>
          <a:r>
            <a:rPr lang="es-CO" sz="3000" b="0" cap="none" spc="0" baseline="0">
              <a:ln w="0"/>
              <a:solidFill>
                <a:schemeClr val="bg1"/>
              </a:solidFill>
              <a:effectLst>
                <a:outerShdw blurRad="38100" dist="19050" dir="2700000" algn="tl" rotWithShape="0">
                  <a:schemeClr val="dk1">
                    <a:alpha val="40000"/>
                  </a:schemeClr>
                </a:outerShdw>
              </a:effectLst>
            </a:rPr>
            <a:t> POR ITEM COSTO DIRECTO</a:t>
          </a:r>
          <a:endParaRPr lang="es-CO" sz="3000" b="0" cap="none" spc="0">
            <a:ln w="0"/>
            <a:solidFill>
              <a:schemeClr val="bg1"/>
            </a:solidFill>
            <a:effectLst>
              <a:outerShdw blurRad="38100" dist="19050" dir="2700000" algn="tl" rotWithShape="0">
                <a:schemeClr val="dk1">
                  <a:alpha val="40000"/>
                </a:schemeClr>
              </a:outerShdw>
            </a:effectLst>
          </a:endParaRPr>
        </a:p>
      </xdr:txBody>
    </xdr:sp>
    <xdr:clientData/>
  </xdr:twoCellAnchor>
  <xdr:twoCellAnchor>
    <xdr:from>
      <xdr:col>1</xdr:col>
      <xdr:colOff>750570</xdr:colOff>
      <xdr:row>87</xdr:row>
      <xdr:rowOff>118110</xdr:rowOff>
    </xdr:from>
    <xdr:to>
      <xdr:col>7</xdr:col>
      <xdr:colOff>1371600</xdr:colOff>
      <xdr:row>96</xdr:row>
      <xdr:rowOff>0</xdr:rowOff>
    </xdr:to>
    <xdr:sp macro="" textlink="">
      <xdr:nvSpPr>
        <xdr:cNvPr id="48" name="Rectángulo: esquinas redondeadas 47">
          <a:extLst>
            <a:ext uri="{FF2B5EF4-FFF2-40B4-BE49-F238E27FC236}">
              <a16:creationId xmlns:a16="http://schemas.microsoft.com/office/drawing/2014/main" id="{00000000-0008-0000-0100-000030000000}"/>
            </a:ext>
          </a:extLst>
        </xdr:cNvPr>
        <xdr:cNvSpPr/>
      </xdr:nvSpPr>
      <xdr:spPr>
        <a:xfrm>
          <a:off x="1550670" y="13757910"/>
          <a:ext cx="11250930" cy="1596390"/>
        </a:xfrm>
        <a:prstGeom prst="roundRect">
          <a:avLst/>
        </a:prstGeom>
        <a:gradFill flip="none" rotWithShape="1">
          <a:gsLst>
            <a:gs pos="0">
              <a:srgbClr val="227447">
                <a:shade val="30000"/>
                <a:satMod val="115000"/>
              </a:srgbClr>
            </a:gs>
            <a:gs pos="50000">
              <a:srgbClr val="227447">
                <a:shade val="67500"/>
                <a:satMod val="115000"/>
              </a:srgbClr>
            </a:gs>
            <a:gs pos="100000">
              <a:srgbClr val="227447">
                <a:shade val="100000"/>
                <a:satMod val="115000"/>
              </a:srgbClr>
            </a:gs>
          </a:gsLst>
          <a:path path="circle">
            <a:fillToRect l="50000" t="50000" r="50000" b="50000"/>
          </a:path>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3000" b="0" cap="none" spc="0">
              <a:ln w="0"/>
              <a:solidFill>
                <a:schemeClr val="bg1"/>
              </a:solidFill>
              <a:effectLst>
                <a:outerShdw blurRad="38100" dist="19050" dir="2700000" algn="tl" rotWithShape="0">
                  <a:schemeClr val="dk1">
                    <a:alpha val="40000"/>
                  </a:schemeClr>
                </a:outerShdw>
              </a:effectLst>
            </a:rPr>
            <a:t> % INCIDENCIA</a:t>
          </a:r>
          <a:r>
            <a:rPr lang="es-CO" sz="3000" b="0" cap="none" spc="0" baseline="0">
              <a:ln w="0"/>
              <a:solidFill>
                <a:schemeClr val="bg1"/>
              </a:solidFill>
              <a:effectLst>
                <a:outerShdw blurRad="38100" dist="19050" dir="2700000" algn="tl" rotWithShape="0">
                  <a:schemeClr val="dk1">
                    <a:alpha val="40000"/>
                  </a:schemeClr>
                </a:outerShdw>
              </a:effectLst>
            </a:rPr>
            <a:t> DEL ITEM EN EL COSTO DIRECTO TOTAL DEL PROYECTO</a:t>
          </a:r>
        </a:p>
        <a:p>
          <a:pPr algn="ctr"/>
          <a:endParaRPr lang="es-CO" sz="30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endParaRPr>
        </a:p>
      </xdr:txBody>
    </xdr:sp>
    <xdr:clientData/>
  </xdr:twoCellAnchor>
  <xdr:twoCellAnchor>
    <xdr:from>
      <xdr:col>8</xdr:col>
      <xdr:colOff>563880</xdr:colOff>
      <xdr:row>98</xdr:row>
      <xdr:rowOff>182880</xdr:rowOff>
    </xdr:from>
    <xdr:to>
      <xdr:col>16</xdr:col>
      <xdr:colOff>76200</xdr:colOff>
      <xdr:row>104</xdr:row>
      <xdr:rowOff>106680</xdr:rowOff>
    </xdr:to>
    <xdr:sp macro="" textlink="">
      <xdr:nvSpPr>
        <xdr:cNvPr id="49" name="Rectángulo: esquinas redondeadas 48">
          <a:extLst>
            <a:ext uri="{FF2B5EF4-FFF2-40B4-BE49-F238E27FC236}">
              <a16:creationId xmlns:a16="http://schemas.microsoft.com/office/drawing/2014/main" id="{00000000-0008-0000-0100-000031000000}"/>
            </a:ext>
          </a:extLst>
        </xdr:cNvPr>
        <xdr:cNvSpPr/>
      </xdr:nvSpPr>
      <xdr:spPr>
        <a:xfrm>
          <a:off x="13575030" y="15918180"/>
          <a:ext cx="12161520" cy="1066800"/>
        </a:xfrm>
        <a:prstGeom prst="round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3000" b="0" cap="none" spc="0">
              <a:ln w="0"/>
              <a:solidFill>
                <a:schemeClr val="bg1"/>
              </a:solidFill>
              <a:effectLst>
                <a:outerShdw blurRad="38100" dist="19050" dir="2700000" algn="tl" rotWithShape="0">
                  <a:schemeClr val="dk1">
                    <a:alpha val="40000"/>
                  </a:schemeClr>
                </a:outerShdw>
              </a:effectLst>
            </a:rPr>
            <a:t>INCIDENCIA  DE LOS RECURSOS</a:t>
          </a:r>
          <a:r>
            <a:rPr lang="es-CO" sz="3000" b="0" cap="none" spc="0" baseline="0">
              <a:ln w="0"/>
              <a:solidFill>
                <a:schemeClr val="bg1"/>
              </a:solidFill>
              <a:effectLst>
                <a:outerShdw blurRad="38100" dist="19050" dir="2700000" algn="tl" rotWithShape="0">
                  <a:schemeClr val="dk1">
                    <a:alpha val="40000"/>
                  </a:schemeClr>
                </a:outerShdw>
              </a:effectLst>
            </a:rPr>
            <a:t> DEL ITEM EN EL COSTO DIRECTO DEL PROYECTO</a:t>
          </a:r>
          <a:endParaRPr lang="es-CO" sz="3000" b="0" cap="none" spc="0">
            <a:ln w="0"/>
            <a:solidFill>
              <a:schemeClr val="bg1"/>
            </a:solidFill>
            <a:effectLst>
              <a:outerShdw blurRad="38100" dist="19050" dir="2700000" algn="tl" rotWithShape="0">
                <a:schemeClr val="dk1">
                  <a:alpha val="40000"/>
                </a:schemeClr>
              </a:outerShdw>
            </a:effectLst>
          </a:endParaRPr>
        </a:p>
      </xdr:txBody>
    </xdr:sp>
    <xdr:clientData/>
  </xdr:twoCellAnchor>
  <xdr:twoCellAnchor>
    <xdr:from>
      <xdr:col>1</xdr:col>
      <xdr:colOff>274320</xdr:colOff>
      <xdr:row>105</xdr:row>
      <xdr:rowOff>83820</xdr:rowOff>
    </xdr:from>
    <xdr:to>
      <xdr:col>8</xdr:col>
      <xdr:colOff>266700</xdr:colOff>
      <xdr:row>114</xdr:row>
      <xdr:rowOff>175260</xdr:rowOff>
    </xdr:to>
    <xdr:sp macro="" textlink="DESCRIPCION_DE_TABLA22">
      <xdr:nvSpPr>
        <xdr:cNvPr id="50" name="Rectángulo: esquinas redondeadas 49">
          <a:extLst>
            <a:ext uri="{FF2B5EF4-FFF2-40B4-BE49-F238E27FC236}">
              <a16:creationId xmlns:a16="http://schemas.microsoft.com/office/drawing/2014/main" id="{00000000-0008-0000-0100-000032000000}"/>
            </a:ext>
          </a:extLst>
        </xdr:cNvPr>
        <xdr:cNvSpPr/>
      </xdr:nvSpPr>
      <xdr:spPr>
        <a:xfrm>
          <a:off x="1074420" y="17152620"/>
          <a:ext cx="12203430" cy="1805940"/>
        </a:xfrm>
        <a:prstGeom prst="round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4D3C4056-775D-46F1-B903-BA4C4C665A7C}" type="TxLink">
            <a:rPr lang="en-US" sz="2500" b="0" i="0" u="none" strike="noStrike" cap="none" spc="0">
              <a:ln w="0"/>
              <a:solidFill>
                <a:schemeClr val="tx1"/>
              </a:solidFill>
              <a:effectLst>
                <a:outerShdw blurRad="38100" dist="19050" dir="2700000" algn="tl" rotWithShape="0">
                  <a:schemeClr val="dk1">
                    <a:alpha val="40000"/>
                  </a:schemeClr>
                </a:outerShdw>
              </a:effectLst>
              <a:latin typeface="Calibri"/>
              <a:cs typeface="Calibri"/>
            </a:rPr>
            <a:pPr algn="ctr"/>
            <a:t>#N/A</a:t>
          </a:fld>
          <a:endParaRPr lang="en-US" sz="2500" b="0" i="0" u="none" strike="noStrike" cap="none" spc="0">
            <a:ln w="0"/>
            <a:solidFill>
              <a:schemeClr val="tx1"/>
            </a:solidFill>
            <a:effectLst>
              <a:outerShdw blurRad="38100" dist="19050" dir="2700000" algn="tl" rotWithShape="0">
                <a:schemeClr val="dk1">
                  <a:alpha val="40000"/>
                </a:schemeClr>
              </a:outerShdw>
            </a:effectLst>
            <a:latin typeface="Calibri"/>
            <a:cs typeface="Calibri"/>
          </a:endParaRPr>
        </a:p>
      </xdr:txBody>
    </xdr:sp>
    <xdr:clientData/>
  </xdr:twoCellAnchor>
  <xdr:twoCellAnchor>
    <xdr:from>
      <xdr:col>8</xdr:col>
      <xdr:colOff>598170</xdr:colOff>
      <xdr:row>105</xdr:row>
      <xdr:rowOff>64770</xdr:rowOff>
    </xdr:from>
    <xdr:to>
      <xdr:col>16</xdr:col>
      <xdr:colOff>171450</xdr:colOff>
      <xdr:row>114</xdr:row>
      <xdr:rowOff>156210</xdr:rowOff>
    </xdr:to>
    <xdr:sp macro="" textlink="DESCRIPCION_DE_TABLA1">
      <xdr:nvSpPr>
        <xdr:cNvPr id="51" name="Rectángulo: esquinas redondeadas 50">
          <a:extLst>
            <a:ext uri="{FF2B5EF4-FFF2-40B4-BE49-F238E27FC236}">
              <a16:creationId xmlns:a16="http://schemas.microsoft.com/office/drawing/2014/main" id="{00000000-0008-0000-0100-000033000000}"/>
            </a:ext>
          </a:extLst>
        </xdr:cNvPr>
        <xdr:cNvSpPr/>
      </xdr:nvSpPr>
      <xdr:spPr>
        <a:xfrm>
          <a:off x="13609320" y="17133570"/>
          <a:ext cx="12222480" cy="1805940"/>
        </a:xfrm>
        <a:prstGeom prst="round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27B97AF-361F-4F7A-90FC-6782AE491513}" type="TxLink">
            <a:rPr lang="en-US" sz="2500" b="0" i="0" u="none" strike="noStrike" cap="none" spc="0">
              <a:ln w="0"/>
              <a:solidFill>
                <a:schemeClr val="tx1"/>
              </a:solidFill>
              <a:effectLst>
                <a:outerShdw blurRad="38100" dist="19050" dir="2700000" algn="tl" rotWithShape="0">
                  <a:schemeClr val="dk1">
                    <a:alpha val="40000"/>
                  </a:schemeClr>
                </a:outerShdw>
              </a:effectLst>
              <a:latin typeface="Calibri"/>
              <a:cs typeface="Calibri"/>
            </a:rPr>
            <a:pPr algn="ctr"/>
            <a:t>#N/A</a:t>
          </a:fld>
          <a:endParaRPr lang="en-US" sz="2500" b="0" i="0" u="none" strike="noStrike" cap="none" spc="0">
            <a:ln w="0"/>
            <a:solidFill>
              <a:schemeClr val="tx1"/>
            </a:solidFill>
            <a:effectLst>
              <a:outerShdw blurRad="38100" dist="19050" dir="2700000" algn="tl" rotWithShape="0">
                <a:schemeClr val="dk1">
                  <a:alpha val="40000"/>
                </a:schemeClr>
              </a:outerShdw>
            </a:effectLst>
            <a:latin typeface="Calibri"/>
            <a:cs typeface="Calibri"/>
          </a:endParaRPr>
        </a:p>
      </xdr:txBody>
    </xdr:sp>
    <xdr:clientData/>
  </xdr:twoCellAnchor>
  <xdr:twoCellAnchor>
    <xdr:from>
      <xdr:col>8</xdr:col>
      <xdr:colOff>60960</xdr:colOff>
      <xdr:row>87</xdr:row>
      <xdr:rowOff>60960</xdr:rowOff>
    </xdr:from>
    <xdr:to>
      <xdr:col>9</xdr:col>
      <xdr:colOff>396240</xdr:colOff>
      <xdr:row>97</xdr:row>
      <xdr:rowOff>0</xdr:rowOff>
    </xdr:to>
    <xdr:sp macro="" textlink="PORCENTAJE_INCIDENCIA">
      <xdr:nvSpPr>
        <xdr:cNvPr id="52" name="Rectángulo: esquinas redondeadas 51">
          <a:extLst>
            <a:ext uri="{FF2B5EF4-FFF2-40B4-BE49-F238E27FC236}">
              <a16:creationId xmlns:a16="http://schemas.microsoft.com/office/drawing/2014/main" id="{00000000-0008-0000-0100-000034000000}"/>
            </a:ext>
          </a:extLst>
        </xdr:cNvPr>
        <xdr:cNvSpPr/>
      </xdr:nvSpPr>
      <xdr:spPr>
        <a:xfrm>
          <a:off x="13072110" y="13700760"/>
          <a:ext cx="1916430" cy="1844040"/>
        </a:xfrm>
        <a:prstGeom prst="round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fld id="{E1320321-CFD9-41E0-9305-E0116B28F538}" type="TxLink">
            <a:rPr lang="en-US" sz="4000" b="0" i="0" u="none" strike="noStrike" cap="none" spc="0">
              <a:ln w="0"/>
              <a:solidFill>
                <a:srgbClr val="000000"/>
              </a:solidFill>
              <a:effectLst>
                <a:outerShdw blurRad="38100" dist="19050" dir="2700000" algn="tl" rotWithShape="0">
                  <a:schemeClr val="dk1">
                    <a:alpha val="40000"/>
                  </a:schemeClr>
                </a:outerShdw>
              </a:effectLst>
              <a:latin typeface="Calibri"/>
              <a:cs typeface="Calibri"/>
            </a:rPr>
            <a:pPr algn="ctr"/>
            <a:t>100%</a:t>
          </a:fld>
          <a:endParaRPr lang="es-CO" sz="40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editAs="oneCell">
    <xdr:from>
      <xdr:col>9</xdr:col>
      <xdr:colOff>547946</xdr:colOff>
      <xdr:row>87</xdr:row>
      <xdr:rowOff>86244</xdr:rowOff>
    </xdr:from>
    <xdr:to>
      <xdr:col>13</xdr:col>
      <xdr:colOff>1009177</xdr:colOff>
      <xdr:row>97</xdr:row>
      <xdr:rowOff>152401</xdr:rowOff>
    </xdr:to>
    <mc:AlternateContent xmlns:mc="http://schemas.openxmlformats.org/markup-compatibility/2006" xmlns:a14="http://schemas.microsoft.com/office/drawing/2010/main">
      <mc:Choice Requires="a14">
        <xdr:graphicFrame macro="">
          <xdr:nvGraphicFramePr>
            <xdr:cNvPr id="53" name="ITEM 4">
              <a:extLst>
                <a:ext uri="{FF2B5EF4-FFF2-40B4-BE49-F238E27FC236}">
                  <a16:creationId xmlns:a16="http://schemas.microsoft.com/office/drawing/2014/main" id="{00000000-0008-0000-0100-000035000000}"/>
                </a:ext>
              </a:extLst>
            </xdr:cNvPr>
            <xdr:cNvGraphicFramePr/>
          </xdr:nvGraphicFramePr>
          <xdr:xfrm>
            <a:off x="0" y="0"/>
            <a:ext cx="0" cy="0"/>
          </xdr:xfrm>
          <a:graphic>
            <a:graphicData uri="http://schemas.microsoft.com/office/drawing/2010/slicer">
              <sle:slicer xmlns:sle="http://schemas.microsoft.com/office/drawing/2010/slicer" name="ITEM 4"/>
            </a:graphicData>
          </a:graphic>
        </xdr:graphicFrame>
      </mc:Choice>
      <mc:Fallback xmlns="">
        <xdr:sp macro="" textlink="">
          <xdr:nvSpPr>
            <xdr:cNvPr id="0" name=""/>
            <xdr:cNvSpPr>
              <a:spLocks noTextEdit="1"/>
            </xdr:cNvSpPr>
          </xdr:nvSpPr>
          <xdr:spPr>
            <a:xfrm>
              <a:off x="15147866" y="18374244"/>
              <a:ext cx="7662604" cy="1894956"/>
            </a:xfrm>
            <a:prstGeom prst="rect">
              <a:avLst/>
            </a:prstGeom>
            <a:solidFill>
              <a:prstClr val="white"/>
            </a:solidFill>
            <a:ln w="1">
              <a:solidFill>
                <a:prstClr val="green"/>
              </a:solidFill>
            </a:ln>
          </xdr:spPr>
          <xdr:txBody>
            <a:bodyPr vertOverflow="clip" horzOverflow="clip"/>
            <a:lstStyle/>
            <a:p>
              <a:r>
                <a:rPr lang="es-CO"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14</xdr:col>
      <xdr:colOff>533400</xdr:colOff>
      <xdr:row>87</xdr:row>
      <xdr:rowOff>19050</xdr:rowOff>
    </xdr:from>
    <xdr:to>
      <xdr:col>16</xdr:col>
      <xdr:colOff>1371599</xdr:colOff>
      <xdr:row>98</xdr:row>
      <xdr:rowOff>-1</xdr:rowOff>
    </xdr:to>
    <mc:AlternateContent xmlns:mc="http://schemas.openxmlformats.org/markup-compatibility/2006" xmlns:a14="http://schemas.microsoft.com/office/drawing/2010/main">
      <mc:Choice Requires="a14">
        <xdr:graphicFrame macro="">
          <xdr:nvGraphicFramePr>
            <xdr:cNvPr id="54" name="CAPITULO ">
              <a:extLst>
                <a:ext uri="{FF2B5EF4-FFF2-40B4-BE49-F238E27FC236}">
                  <a16:creationId xmlns:a16="http://schemas.microsoft.com/office/drawing/2014/main" id="{00000000-0008-0000-0100-000036000000}"/>
                </a:ext>
              </a:extLst>
            </xdr:cNvPr>
            <xdr:cNvGraphicFramePr/>
          </xdr:nvGraphicFramePr>
          <xdr:xfrm>
            <a:off x="0" y="0"/>
            <a:ext cx="0" cy="0"/>
          </xdr:xfrm>
          <a:graphic>
            <a:graphicData uri="http://schemas.microsoft.com/office/drawing/2010/slicer">
              <sle:slicer xmlns:sle="http://schemas.microsoft.com/office/drawing/2010/slicer" name="CAPITULO "/>
            </a:graphicData>
          </a:graphic>
        </xdr:graphicFrame>
      </mc:Choice>
      <mc:Fallback xmlns="">
        <xdr:sp macro="" textlink="">
          <xdr:nvSpPr>
            <xdr:cNvPr id="0" name=""/>
            <xdr:cNvSpPr>
              <a:spLocks noTextEdit="1"/>
            </xdr:cNvSpPr>
          </xdr:nvSpPr>
          <xdr:spPr>
            <a:xfrm>
              <a:off x="23058120" y="18307050"/>
              <a:ext cx="4008120" cy="1992630"/>
            </a:xfrm>
            <a:prstGeom prst="rect">
              <a:avLst/>
            </a:prstGeom>
            <a:solidFill>
              <a:prstClr val="white"/>
            </a:solidFill>
            <a:ln w="1">
              <a:solidFill>
                <a:prstClr val="green"/>
              </a:solidFill>
            </a:ln>
          </xdr:spPr>
          <xdr:txBody>
            <a:bodyPr vertOverflow="clip" horzOverflow="clip"/>
            <a:lstStyle/>
            <a:p>
              <a:r>
                <a:rPr lang="es-CO"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11</xdr:col>
      <xdr:colOff>19050</xdr:colOff>
      <xdr:row>149</xdr:row>
      <xdr:rowOff>133351</xdr:rowOff>
    </xdr:from>
    <xdr:to>
      <xdr:col>15</xdr:col>
      <xdr:colOff>1238251</xdr:colOff>
      <xdr:row>159</xdr:row>
      <xdr:rowOff>19051</xdr:rowOff>
    </xdr:to>
    <mc:AlternateContent xmlns:mc="http://schemas.openxmlformats.org/markup-compatibility/2006" xmlns:a14="http://schemas.microsoft.com/office/drawing/2010/main">
      <mc:Choice Requires="a14">
        <xdr:graphicFrame macro="">
          <xdr:nvGraphicFramePr>
            <xdr:cNvPr id="55" name="CAPITULO  1">
              <a:extLst>
                <a:ext uri="{FF2B5EF4-FFF2-40B4-BE49-F238E27FC236}">
                  <a16:creationId xmlns:a16="http://schemas.microsoft.com/office/drawing/2014/main" id="{00000000-0008-0000-0100-000037000000}"/>
                </a:ext>
              </a:extLst>
            </xdr:cNvPr>
            <xdr:cNvGraphicFramePr/>
          </xdr:nvGraphicFramePr>
          <xdr:xfrm>
            <a:off x="0" y="0"/>
            <a:ext cx="0" cy="0"/>
          </xdr:xfrm>
          <a:graphic>
            <a:graphicData uri="http://schemas.microsoft.com/office/drawing/2010/slicer">
              <sle:slicer xmlns:sle="http://schemas.microsoft.com/office/drawing/2010/slicer" name="CAPITULO  1"/>
            </a:graphicData>
          </a:graphic>
        </xdr:graphicFrame>
      </mc:Choice>
      <mc:Fallback xmlns="">
        <xdr:sp macro="" textlink="">
          <xdr:nvSpPr>
            <xdr:cNvPr id="0" name=""/>
            <xdr:cNvSpPr>
              <a:spLocks noTextEdit="1"/>
            </xdr:cNvSpPr>
          </xdr:nvSpPr>
          <xdr:spPr>
            <a:xfrm>
              <a:off x="17788890" y="29881831"/>
              <a:ext cx="7559040" cy="1714501"/>
            </a:xfrm>
            <a:prstGeom prst="rect">
              <a:avLst/>
            </a:prstGeom>
            <a:solidFill>
              <a:prstClr val="white"/>
            </a:solidFill>
            <a:ln w="1">
              <a:solidFill>
                <a:prstClr val="green"/>
              </a:solidFill>
            </a:ln>
          </xdr:spPr>
          <xdr:txBody>
            <a:bodyPr vertOverflow="clip" horzOverflow="clip"/>
            <a:lstStyle/>
            <a:p>
              <a:r>
                <a:rPr lang="es-CO"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10</xdr:col>
          <xdr:colOff>19050</xdr:colOff>
          <xdr:row>3</xdr:row>
          <xdr:rowOff>352425</xdr:rowOff>
        </xdr:from>
        <xdr:to>
          <xdr:col>11</xdr:col>
          <xdr:colOff>733425</xdr:colOff>
          <xdr:row>16</xdr:row>
          <xdr:rowOff>161925</xdr:rowOff>
        </xdr:to>
        <xdr:sp macro="" textlink="">
          <xdr:nvSpPr>
            <xdr:cNvPr id="2052" name="Check Box 4" hidden="1">
              <a:extLst>
                <a:ext uri="{63B3BB69-23CF-44E3-9099-C40C66FF867C}">
                  <a14:compatExt spid="_x0000_s2052"/>
                </a:ext>
                <a:ext uri="{FF2B5EF4-FFF2-40B4-BE49-F238E27FC236}">
                  <a16:creationId xmlns:a16="http://schemas.microsoft.com/office/drawing/2014/main" id="{00000000-0008-0000-0100-000004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19050</xdr:colOff>
          <xdr:row>4</xdr:row>
          <xdr:rowOff>352425</xdr:rowOff>
        </xdr:from>
        <xdr:to>
          <xdr:col>11</xdr:col>
          <xdr:colOff>733425</xdr:colOff>
          <xdr:row>16</xdr:row>
          <xdr:rowOff>161925</xdr:rowOff>
        </xdr:to>
        <xdr:sp macro="" textlink="">
          <xdr:nvSpPr>
            <xdr:cNvPr id="2053" name="Check Box 5" hidden="1">
              <a:extLst>
                <a:ext uri="{63B3BB69-23CF-44E3-9099-C40C66FF867C}">
                  <a14:compatExt spid="_x0000_s2053"/>
                </a:ext>
                <a:ext uri="{FF2B5EF4-FFF2-40B4-BE49-F238E27FC236}">
                  <a16:creationId xmlns:a16="http://schemas.microsoft.com/office/drawing/2014/main" id="{00000000-0008-0000-0100-000005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19050</xdr:colOff>
          <xdr:row>5</xdr:row>
          <xdr:rowOff>352425</xdr:rowOff>
        </xdr:from>
        <xdr:to>
          <xdr:col>11</xdr:col>
          <xdr:colOff>733425</xdr:colOff>
          <xdr:row>16</xdr:row>
          <xdr:rowOff>161925</xdr:rowOff>
        </xdr:to>
        <xdr:sp macro="" textlink="">
          <xdr:nvSpPr>
            <xdr:cNvPr id="2054" name="Check Box 6" hidden="1">
              <a:extLst>
                <a:ext uri="{63B3BB69-23CF-44E3-9099-C40C66FF867C}">
                  <a14:compatExt spid="_x0000_s2054"/>
                </a:ext>
                <a:ext uri="{FF2B5EF4-FFF2-40B4-BE49-F238E27FC236}">
                  <a16:creationId xmlns:a16="http://schemas.microsoft.com/office/drawing/2014/main" id="{00000000-0008-0000-0100-000006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19050</xdr:colOff>
          <xdr:row>5</xdr:row>
          <xdr:rowOff>352425</xdr:rowOff>
        </xdr:from>
        <xdr:to>
          <xdr:col>11</xdr:col>
          <xdr:colOff>733425</xdr:colOff>
          <xdr:row>16</xdr:row>
          <xdr:rowOff>171450</xdr:rowOff>
        </xdr:to>
        <xdr:sp macro="" textlink="">
          <xdr:nvSpPr>
            <xdr:cNvPr id="2056" name="Check Box 8" hidden="1">
              <a:extLst>
                <a:ext uri="{63B3BB69-23CF-44E3-9099-C40C66FF867C}">
                  <a14:compatExt spid="_x0000_s2056"/>
                </a:ext>
                <a:ext uri="{FF2B5EF4-FFF2-40B4-BE49-F238E27FC236}">
                  <a16:creationId xmlns:a16="http://schemas.microsoft.com/office/drawing/2014/main" id="{00000000-0008-0000-0100-000008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19050</xdr:colOff>
          <xdr:row>5</xdr:row>
          <xdr:rowOff>352425</xdr:rowOff>
        </xdr:from>
        <xdr:to>
          <xdr:col>11</xdr:col>
          <xdr:colOff>733425</xdr:colOff>
          <xdr:row>16</xdr:row>
          <xdr:rowOff>171450</xdr:rowOff>
        </xdr:to>
        <xdr:sp macro="" textlink="">
          <xdr:nvSpPr>
            <xdr:cNvPr id="2057" name="Check Box 9" hidden="1">
              <a:extLst>
                <a:ext uri="{63B3BB69-23CF-44E3-9099-C40C66FF867C}">
                  <a14:compatExt spid="_x0000_s2057"/>
                </a:ext>
                <a:ext uri="{FF2B5EF4-FFF2-40B4-BE49-F238E27FC236}">
                  <a16:creationId xmlns:a16="http://schemas.microsoft.com/office/drawing/2014/main" id="{00000000-0008-0000-0100-000009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0</xdr:col>
      <xdr:colOff>45720</xdr:colOff>
      <xdr:row>8</xdr:row>
      <xdr:rowOff>99060</xdr:rowOff>
    </xdr:from>
    <xdr:to>
      <xdr:col>5</xdr:col>
      <xdr:colOff>967740</xdr:colOff>
      <xdr:row>33</xdr:row>
      <xdr:rowOff>99060</xdr:rowOff>
    </xdr:to>
    <mc:AlternateContent xmlns:mc="http://schemas.openxmlformats.org/markup-compatibility/2006">
      <mc:Choice xmlns:cx4="http://schemas.microsoft.com/office/drawing/2016/5/10/chartex" Requires="cx4">
        <xdr:graphicFrame macro="">
          <xdr:nvGraphicFramePr>
            <xdr:cNvPr id="2" name="Gráfico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720" y="1870710"/>
              <a:ext cx="6589395" cy="5238750"/>
            </a:xfrm>
            <a:prstGeom prst="rect">
              <a:avLst/>
            </a:prstGeom>
            <a:solidFill>
              <a:prstClr val="white"/>
            </a:solidFill>
            <a:ln w="1">
              <a:solidFill>
                <a:prstClr val="green"/>
              </a:solidFill>
            </a:ln>
          </xdr:spPr>
          <xdr:txBody>
            <a:bodyPr vertOverflow="clip" horzOverflow="clip"/>
            <a:lstStyle/>
            <a:p>
              <a:r>
                <a:rPr lang="ko-KR" altLang="en-US" sz="1100"/>
                <a:t>Excel 버전에서는 이 차트를 사용할 수 없습니다.
이 도형 편집하거나 이 통합 문서를 다른 파일 형식으로 저장하면 차트가 영구적으로 손상됩니다.</a:t>
              </a:r>
            </a:p>
          </xdr:txBody>
        </xdr:sp>
      </mc:Fallback>
    </mc:AlternateContent>
    <xdr:clientData/>
  </xdr:twoCellAnchor>
  <xdr:twoCellAnchor>
    <xdr:from>
      <xdr:col>0</xdr:col>
      <xdr:colOff>155499</xdr:colOff>
      <xdr:row>10</xdr:row>
      <xdr:rowOff>117937</xdr:rowOff>
    </xdr:from>
    <xdr:to>
      <xdr:col>1</xdr:col>
      <xdr:colOff>577660</xdr:colOff>
      <xdr:row>20</xdr:row>
      <xdr:rowOff>112879</xdr:rowOff>
    </xdr:to>
    <mc:AlternateContent xmlns:mc="http://schemas.openxmlformats.org/markup-compatibility/2006">
      <mc:Choice xmlns:cx4="http://schemas.microsoft.com/office/drawing/2016/5/10/chartex" Requires="cx4">
        <xdr:graphicFrame macro="">
          <xdr:nvGraphicFramePr>
            <xdr:cNvPr id="3" name="Gráfico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55499" y="2308687"/>
              <a:ext cx="2279536" cy="2090442"/>
            </a:xfrm>
            <a:prstGeom prst="rect">
              <a:avLst/>
            </a:prstGeom>
            <a:solidFill>
              <a:prstClr val="white"/>
            </a:solidFill>
            <a:ln w="1">
              <a:solidFill>
                <a:prstClr val="green"/>
              </a:solidFill>
            </a:ln>
          </xdr:spPr>
          <xdr:txBody>
            <a:bodyPr vertOverflow="clip" horzOverflow="clip"/>
            <a:lstStyle/>
            <a:p>
              <a:r>
                <a:rPr lang="ko-KR" altLang="en-US" sz="1100"/>
                <a:t>Excel 버전에서는 이 차트를 사용할 수 없습니다.
이 도형 편집하거나 이 통합 문서를 다른 파일 형식으로 저장하면 차트가 영구적으로 손상됩니다.</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12</xdr:col>
      <xdr:colOff>19050</xdr:colOff>
      <xdr:row>0</xdr:row>
      <xdr:rowOff>428851</xdr:rowOff>
    </xdr:from>
    <xdr:to>
      <xdr:col>12</xdr:col>
      <xdr:colOff>19050</xdr:colOff>
      <xdr:row>1</xdr:row>
      <xdr:rowOff>33563</xdr:rowOff>
    </xdr:to>
    <xdr:sp macro="" textlink="">
      <xdr:nvSpPr>
        <xdr:cNvPr id="4" name="Flecha: pentágono 3">
          <a:hlinkClick xmlns:r="http://schemas.openxmlformats.org/officeDocument/2006/relationships" r:id="rId1"/>
          <a:extLst>
            <a:ext uri="{FF2B5EF4-FFF2-40B4-BE49-F238E27FC236}">
              <a16:creationId xmlns:a16="http://schemas.microsoft.com/office/drawing/2014/main" id="{00000000-0008-0000-0300-000004000000}"/>
            </a:ext>
          </a:extLst>
        </xdr:cNvPr>
        <xdr:cNvSpPr/>
      </xdr:nvSpPr>
      <xdr:spPr>
        <a:xfrm>
          <a:off x="13430250" y="428851"/>
          <a:ext cx="0" cy="233362"/>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t>MAQUINARIA</a:t>
          </a:r>
        </a:p>
      </xdr:txBody>
    </xdr:sp>
    <xdr:clientData/>
  </xdr:twoCellAnchor>
  <xdr:twoCellAnchor>
    <xdr:from>
      <xdr:col>12</xdr:col>
      <xdr:colOff>19050</xdr:colOff>
      <xdr:row>1</xdr:row>
      <xdr:rowOff>184374</xdr:rowOff>
    </xdr:from>
    <xdr:to>
      <xdr:col>12</xdr:col>
      <xdr:colOff>19050</xdr:colOff>
      <xdr:row>2</xdr:row>
      <xdr:rowOff>33563</xdr:rowOff>
    </xdr:to>
    <xdr:sp macro="" textlink="">
      <xdr:nvSpPr>
        <xdr:cNvPr id="5" name="Flecha: pentágono 4">
          <a:hlinkClick xmlns:r="http://schemas.openxmlformats.org/officeDocument/2006/relationships" r:id="rId2"/>
          <a:extLst>
            <a:ext uri="{FF2B5EF4-FFF2-40B4-BE49-F238E27FC236}">
              <a16:creationId xmlns:a16="http://schemas.microsoft.com/office/drawing/2014/main" id="{00000000-0008-0000-0300-000005000000}"/>
            </a:ext>
          </a:extLst>
        </xdr:cNvPr>
        <xdr:cNvSpPr/>
      </xdr:nvSpPr>
      <xdr:spPr>
        <a:xfrm>
          <a:off x="13430250" y="813024"/>
          <a:ext cx="0" cy="230189"/>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t>MANO DE OBRA</a:t>
          </a:r>
        </a:p>
      </xdr:txBody>
    </xdr:sp>
    <xdr:clientData/>
  </xdr:twoCellAnchor>
  <xdr:twoCellAnchor>
    <xdr:from>
      <xdr:col>12</xdr:col>
      <xdr:colOff>19050</xdr:colOff>
      <xdr:row>2</xdr:row>
      <xdr:rowOff>144688</xdr:rowOff>
    </xdr:from>
    <xdr:to>
      <xdr:col>12</xdr:col>
      <xdr:colOff>19050</xdr:colOff>
      <xdr:row>2</xdr:row>
      <xdr:rowOff>386199</xdr:rowOff>
    </xdr:to>
    <xdr:sp macro="" textlink="">
      <xdr:nvSpPr>
        <xdr:cNvPr id="7" name="Flecha: pentágono 6">
          <a:hlinkClick xmlns:r="http://schemas.openxmlformats.org/officeDocument/2006/relationships" r:id="rId3"/>
          <a:extLst>
            <a:ext uri="{FF2B5EF4-FFF2-40B4-BE49-F238E27FC236}">
              <a16:creationId xmlns:a16="http://schemas.microsoft.com/office/drawing/2014/main" id="{00000000-0008-0000-0300-000007000000}"/>
            </a:ext>
          </a:extLst>
        </xdr:cNvPr>
        <xdr:cNvSpPr/>
      </xdr:nvSpPr>
      <xdr:spPr>
        <a:xfrm>
          <a:off x="13430250" y="1154338"/>
          <a:ext cx="0" cy="241511"/>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12</xdr:col>
      <xdr:colOff>19050</xdr:colOff>
      <xdr:row>3</xdr:row>
      <xdr:rowOff>81188</xdr:rowOff>
    </xdr:from>
    <xdr:to>
      <xdr:col>12</xdr:col>
      <xdr:colOff>19050</xdr:colOff>
      <xdr:row>3</xdr:row>
      <xdr:rowOff>300016</xdr:rowOff>
    </xdr:to>
    <xdr:sp macro="" textlink="">
      <xdr:nvSpPr>
        <xdr:cNvPr id="8" name="Flecha: pentágono 7">
          <a:hlinkClick xmlns:r="http://schemas.openxmlformats.org/officeDocument/2006/relationships" r:id="rId4"/>
          <a:extLst>
            <a:ext uri="{FF2B5EF4-FFF2-40B4-BE49-F238E27FC236}">
              <a16:creationId xmlns:a16="http://schemas.microsoft.com/office/drawing/2014/main" id="{00000000-0008-0000-0300-000008000000}"/>
            </a:ext>
          </a:extLst>
        </xdr:cNvPr>
        <xdr:cNvSpPr/>
      </xdr:nvSpPr>
      <xdr:spPr>
        <a:xfrm>
          <a:off x="13430250" y="1519463"/>
          <a:ext cx="0" cy="21882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twoCellAnchor>
    <xdr:from>
      <xdr:col>12</xdr:col>
      <xdr:colOff>19050</xdr:colOff>
      <xdr:row>0</xdr:row>
      <xdr:rowOff>27212</xdr:rowOff>
    </xdr:from>
    <xdr:to>
      <xdr:col>12</xdr:col>
      <xdr:colOff>19050</xdr:colOff>
      <xdr:row>0</xdr:row>
      <xdr:rowOff>265338</xdr:rowOff>
    </xdr:to>
    <xdr:sp macro="" textlink="">
      <xdr:nvSpPr>
        <xdr:cNvPr id="9" name="Flecha: pentágono 8">
          <a:hlinkClick xmlns:r="http://schemas.openxmlformats.org/officeDocument/2006/relationships" r:id="rId5"/>
          <a:extLst>
            <a:ext uri="{FF2B5EF4-FFF2-40B4-BE49-F238E27FC236}">
              <a16:creationId xmlns:a16="http://schemas.microsoft.com/office/drawing/2014/main" id="{00000000-0008-0000-0300-000009000000}"/>
            </a:ext>
          </a:extLst>
        </xdr:cNvPr>
        <xdr:cNvSpPr/>
      </xdr:nvSpPr>
      <xdr:spPr>
        <a:xfrm>
          <a:off x="13430250" y="27212"/>
          <a:ext cx="0" cy="238126"/>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t>MATERIAL</a:t>
          </a:r>
        </a:p>
      </xdr:txBody>
    </xdr:sp>
    <xdr:clientData/>
  </xdr:twoCellAnchor>
  <xdr:twoCellAnchor>
    <xdr:from>
      <xdr:col>39</xdr:col>
      <xdr:colOff>217118</xdr:colOff>
      <xdr:row>1</xdr:row>
      <xdr:rowOff>125913</xdr:rowOff>
    </xdr:from>
    <xdr:to>
      <xdr:col>40</xdr:col>
      <xdr:colOff>638171</xdr:colOff>
      <xdr:row>1</xdr:row>
      <xdr:rowOff>333379</xdr:rowOff>
    </xdr:to>
    <xdr:sp macro="" textlink="">
      <xdr:nvSpPr>
        <xdr:cNvPr id="10" name="Flecha: pentágono 9">
          <a:hlinkClick xmlns:r="http://schemas.openxmlformats.org/officeDocument/2006/relationships" r:id="rId1"/>
          <a:extLst>
            <a:ext uri="{FF2B5EF4-FFF2-40B4-BE49-F238E27FC236}">
              <a16:creationId xmlns:a16="http://schemas.microsoft.com/office/drawing/2014/main" id="{00000000-0008-0000-0300-00000A000000}"/>
            </a:ext>
          </a:extLst>
        </xdr:cNvPr>
        <xdr:cNvSpPr/>
      </xdr:nvSpPr>
      <xdr:spPr>
        <a:xfrm>
          <a:off x="15563798" y="750753"/>
          <a:ext cx="1221153" cy="207466"/>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39</xdr:col>
      <xdr:colOff>218840</xdr:colOff>
      <xdr:row>2</xdr:row>
      <xdr:rowOff>52579</xdr:rowOff>
    </xdr:from>
    <xdr:to>
      <xdr:col>41</xdr:col>
      <xdr:colOff>78826</xdr:colOff>
      <xdr:row>2</xdr:row>
      <xdr:rowOff>299814</xdr:rowOff>
    </xdr:to>
    <xdr:sp macro="" textlink="">
      <xdr:nvSpPr>
        <xdr:cNvPr id="11" name="Flecha: pentágono 10">
          <a:hlinkClick xmlns:r="http://schemas.openxmlformats.org/officeDocument/2006/relationships" r:id="rId2"/>
          <a:extLst>
            <a:ext uri="{FF2B5EF4-FFF2-40B4-BE49-F238E27FC236}">
              <a16:creationId xmlns:a16="http://schemas.microsoft.com/office/drawing/2014/main" id="{00000000-0008-0000-0300-00000B000000}"/>
            </a:ext>
          </a:extLst>
        </xdr:cNvPr>
        <xdr:cNvSpPr/>
      </xdr:nvSpPr>
      <xdr:spPr>
        <a:xfrm>
          <a:off x="15565520" y="1058419"/>
          <a:ext cx="1452566" cy="24723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39</xdr:col>
      <xdr:colOff>209315</xdr:colOff>
      <xdr:row>0</xdr:row>
      <xdr:rowOff>355943</xdr:rowOff>
    </xdr:from>
    <xdr:to>
      <xdr:col>40</xdr:col>
      <xdr:colOff>565224</xdr:colOff>
      <xdr:row>0</xdr:row>
      <xdr:rowOff>605129</xdr:rowOff>
    </xdr:to>
    <xdr:sp macro="" textlink="">
      <xdr:nvSpPr>
        <xdr:cNvPr id="12" name="Flecha: pentágono 11">
          <a:hlinkClick xmlns:r="http://schemas.openxmlformats.org/officeDocument/2006/relationships" r:id="rId5"/>
          <a:extLst>
            <a:ext uri="{FF2B5EF4-FFF2-40B4-BE49-F238E27FC236}">
              <a16:creationId xmlns:a16="http://schemas.microsoft.com/office/drawing/2014/main" id="{00000000-0008-0000-0300-00000C000000}"/>
            </a:ext>
          </a:extLst>
        </xdr:cNvPr>
        <xdr:cNvSpPr/>
      </xdr:nvSpPr>
      <xdr:spPr>
        <a:xfrm>
          <a:off x="15555995" y="355943"/>
          <a:ext cx="1156009" cy="249186"/>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39</xdr:col>
      <xdr:colOff>233358</xdr:colOff>
      <xdr:row>3</xdr:row>
      <xdr:rowOff>266704</xdr:rowOff>
    </xdr:from>
    <xdr:to>
      <xdr:col>40</xdr:col>
      <xdr:colOff>501646</xdr:colOff>
      <xdr:row>4</xdr:row>
      <xdr:rowOff>0</xdr:rowOff>
    </xdr:to>
    <xdr:sp macro="" textlink="">
      <xdr:nvSpPr>
        <xdr:cNvPr id="13" name="Flecha: pentágono 12">
          <a:hlinkClick xmlns:r="http://schemas.openxmlformats.org/officeDocument/2006/relationships" r:id="rId4"/>
          <a:extLst>
            <a:ext uri="{FF2B5EF4-FFF2-40B4-BE49-F238E27FC236}">
              <a16:creationId xmlns:a16="http://schemas.microsoft.com/office/drawing/2014/main" id="{00000000-0008-0000-0300-00000D000000}"/>
            </a:ext>
          </a:extLst>
        </xdr:cNvPr>
        <xdr:cNvSpPr/>
      </xdr:nvSpPr>
      <xdr:spPr>
        <a:xfrm>
          <a:off x="15580038" y="1699264"/>
          <a:ext cx="1068388" cy="292100"/>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twoCellAnchor>
    <xdr:from>
      <xdr:col>39</xdr:col>
      <xdr:colOff>227007</xdr:colOff>
      <xdr:row>2</xdr:row>
      <xdr:rowOff>381003</xdr:rowOff>
    </xdr:from>
    <xdr:to>
      <xdr:col>41</xdr:col>
      <xdr:colOff>33015</xdr:colOff>
      <xdr:row>3</xdr:row>
      <xdr:rowOff>177803</xdr:rowOff>
    </xdr:to>
    <xdr:sp macro="" textlink="">
      <xdr:nvSpPr>
        <xdr:cNvPr id="15" name="Flecha: pentágono 14">
          <a:hlinkClick xmlns:r="http://schemas.openxmlformats.org/officeDocument/2006/relationships" r:id="rId3"/>
          <a:extLst>
            <a:ext uri="{FF2B5EF4-FFF2-40B4-BE49-F238E27FC236}">
              <a16:creationId xmlns:a16="http://schemas.microsoft.com/office/drawing/2014/main" id="{00000000-0008-0000-0300-00000F000000}"/>
            </a:ext>
          </a:extLst>
        </xdr:cNvPr>
        <xdr:cNvSpPr/>
      </xdr:nvSpPr>
      <xdr:spPr>
        <a:xfrm>
          <a:off x="15573687" y="1386843"/>
          <a:ext cx="1398588" cy="223520"/>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41</xdr:col>
      <xdr:colOff>437823</xdr:colOff>
      <xdr:row>0</xdr:row>
      <xdr:rowOff>444505</xdr:rowOff>
    </xdr:from>
    <xdr:to>
      <xdr:col>43</xdr:col>
      <xdr:colOff>629597</xdr:colOff>
      <xdr:row>2</xdr:row>
      <xdr:rowOff>82555</xdr:rowOff>
    </xdr:to>
    <xdr:sp macro="[0]!INFORME_OFERTA" textlink="">
      <xdr:nvSpPr>
        <xdr:cNvPr id="14" name="Rectángulo: biselado 13">
          <a:extLst>
            <a:ext uri="{FF2B5EF4-FFF2-40B4-BE49-F238E27FC236}">
              <a16:creationId xmlns:a16="http://schemas.microsoft.com/office/drawing/2014/main" id="{00000000-0008-0000-0300-00000E000000}"/>
            </a:ext>
          </a:extLst>
        </xdr:cNvPr>
        <xdr:cNvSpPr/>
      </xdr:nvSpPr>
      <xdr:spPr>
        <a:xfrm>
          <a:off x="17377083" y="444505"/>
          <a:ext cx="1761494" cy="643890"/>
        </a:xfrm>
        <a:prstGeom prst="bevel">
          <a:avLst/>
        </a:prstGeom>
        <a:solidFill>
          <a:schemeClr val="bg1">
            <a:lumMod val="65000"/>
          </a:schemeClr>
        </a:solidFill>
        <a:effectLst>
          <a:glow rad="101600">
            <a:schemeClr val="accent1">
              <a:satMod val="175000"/>
              <a:alpha val="40000"/>
            </a:schemeClr>
          </a:glow>
          <a:innerShdw blurRad="63500" dist="50800" dir="54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baseline="0"/>
            <a:t>INFORME DE OFERTA</a:t>
          </a:r>
        </a:p>
        <a:p>
          <a:pPr algn="ctr"/>
          <a:endParaRPr lang="en-US" sz="1200" b="1"/>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15</xdr:col>
      <xdr:colOff>189589</xdr:colOff>
      <xdr:row>0</xdr:row>
      <xdr:rowOff>638227</xdr:rowOff>
    </xdr:from>
    <xdr:to>
      <xdr:col>17</xdr:col>
      <xdr:colOff>358403</xdr:colOff>
      <xdr:row>1</xdr:row>
      <xdr:rowOff>204107</xdr:rowOff>
    </xdr:to>
    <xdr:sp macro="" textlink="">
      <xdr:nvSpPr>
        <xdr:cNvPr id="4" name="Flecha: pentágono 3">
          <a:hlinkClick xmlns:r="http://schemas.openxmlformats.org/officeDocument/2006/relationships" r:id="rId1"/>
          <a:extLst>
            <a:ext uri="{FF2B5EF4-FFF2-40B4-BE49-F238E27FC236}">
              <a16:creationId xmlns:a16="http://schemas.microsoft.com/office/drawing/2014/main" id="{00000000-0008-0000-0400-000004000000}"/>
            </a:ext>
          </a:extLst>
        </xdr:cNvPr>
        <xdr:cNvSpPr/>
      </xdr:nvSpPr>
      <xdr:spPr>
        <a:xfrm>
          <a:off x="16692332" y="638227"/>
          <a:ext cx="1758128" cy="262566"/>
        </a:xfrm>
        <a:prstGeom prst="homePlate">
          <a:avLst/>
        </a:prstGeom>
        <a:solidFill>
          <a:schemeClr val="accent6">
            <a:lumMod val="75000"/>
          </a:schemeClr>
        </a:solidFill>
        <a:ln>
          <a:solidFill>
            <a:schemeClr val="bg1"/>
          </a:solidFill>
        </a:ln>
        <a:effectLst/>
        <a:scene3d>
          <a:camera prst="orthographicFront"/>
          <a:lightRig rig="threePt" dir="t"/>
        </a:scene3d>
        <a:sp3d>
          <a:bevelT w="114300" prst="artDeco"/>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200">
              <a:solidFill>
                <a:schemeClr val="tx1"/>
              </a:solidFill>
            </a:rPr>
            <a:t>MANO DE OBRA</a:t>
          </a:r>
        </a:p>
      </xdr:txBody>
    </xdr:sp>
    <xdr:clientData/>
  </xdr:twoCellAnchor>
  <xdr:twoCellAnchor>
    <xdr:from>
      <xdr:col>15</xdr:col>
      <xdr:colOff>175530</xdr:colOff>
      <xdr:row>0</xdr:row>
      <xdr:rowOff>300183</xdr:rowOff>
    </xdr:from>
    <xdr:to>
      <xdr:col>17</xdr:col>
      <xdr:colOff>92970</xdr:colOff>
      <xdr:row>0</xdr:row>
      <xdr:rowOff>560918</xdr:rowOff>
    </xdr:to>
    <xdr:sp macro="" textlink="">
      <xdr:nvSpPr>
        <xdr:cNvPr id="5" name="Flecha: pentágono 4">
          <a:hlinkClick xmlns:r="http://schemas.openxmlformats.org/officeDocument/2006/relationships" r:id="rId2"/>
          <a:extLst>
            <a:ext uri="{FF2B5EF4-FFF2-40B4-BE49-F238E27FC236}">
              <a16:creationId xmlns:a16="http://schemas.microsoft.com/office/drawing/2014/main" id="{00000000-0008-0000-0400-000005000000}"/>
            </a:ext>
          </a:extLst>
        </xdr:cNvPr>
        <xdr:cNvSpPr/>
      </xdr:nvSpPr>
      <xdr:spPr>
        <a:xfrm>
          <a:off x="16678273" y="300183"/>
          <a:ext cx="1506754" cy="260735"/>
        </a:xfrm>
        <a:prstGeom prst="homePlate">
          <a:avLst/>
        </a:prstGeom>
        <a:solidFill>
          <a:srgbClr val="FFFF00"/>
        </a:solidFill>
        <a:ln>
          <a:solidFill>
            <a:schemeClr val="bg1"/>
          </a:solidFill>
        </a:ln>
        <a:effectLst/>
        <a:scene3d>
          <a:camera prst="orthographicFront"/>
          <a:lightRig rig="threePt" dir="t"/>
        </a:scene3d>
        <a:sp3d>
          <a:bevelT w="114300" prst="artDeco"/>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200">
              <a:solidFill>
                <a:schemeClr val="tx1"/>
              </a:solidFill>
            </a:rPr>
            <a:t>MATERIAL</a:t>
          </a:r>
        </a:p>
      </xdr:txBody>
    </xdr:sp>
    <xdr:clientData/>
  </xdr:twoCellAnchor>
  <xdr:twoCellAnchor>
    <xdr:from>
      <xdr:col>15</xdr:col>
      <xdr:colOff>164645</xdr:colOff>
      <xdr:row>0</xdr:row>
      <xdr:rowOff>0</xdr:rowOff>
    </xdr:from>
    <xdr:to>
      <xdr:col>17</xdr:col>
      <xdr:colOff>82085</xdr:colOff>
      <xdr:row>0</xdr:row>
      <xdr:rowOff>237030</xdr:rowOff>
    </xdr:to>
    <xdr:sp macro="" textlink="">
      <xdr:nvSpPr>
        <xdr:cNvPr id="7" name="Flecha: pentágono 6">
          <a:hlinkClick xmlns:r="http://schemas.openxmlformats.org/officeDocument/2006/relationships" r:id="rId3"/>
          <a:extLst>
            <a:ext uri="{FF2B5EF4-FFF2-40B4-BE49-F238E27FC236}">
              <a16:creationId xmlns:a16="http://schemas.microsoft.com/office/drawing/2014/main" id="{00000000-0008-0000-0400-000007000000}"/>
            </a:ext>
          </a:extLst>
        </xdr:cNvPr>
        <xdr:cNvSpPr/>
      </xdr:nvSpPr>
      <xdr:spPr>
        <a:xfrm>
          <a:off x="16667388" y="0"/>
          <a:ext cx="1506754" cy="237030"/>
        </a:xfrm>
        <a:prstGeom prst="homePlate">
          <a:avLst/>
        </a:prstGeom>
        <a:solidFill>
          <a:srgbClr val="0070C0"/>
        </a:solidFill>
        <a:ln>
          <a:solidFill>
            <a:schemeClr val="bg1"/>
          </a:solidFill>
        </a:ln>
        <a:effectLst/>
        <a:scene3d>
          <a:camera prst="orthographicFront"/>
          <a:lightRig rig="threePt" dir="t"/>
        </a:scene3d>
        <a:sp3d>
          <a:bevelT w="114300" prst="artDeco"/>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200">
              <a:solidFill>
                <a:schemeClr val="tx1"/>
              </a:solidFill>
            </a:rPr>
            <a:t>OFERTA</a:t>
          </a:r>
        </a:p>
      </xdr:txBody>
    </xdr:sp>
    <xdr:clientData/>
  </xdr:twoCellAnchor>
  <xdr:twoCellAnchor>
    <xdr:from>
      <xdr:col>15</xdr:col>
      <xdr:colOff>178704</xdr:colOff>
      <xdr:row>2</xdr:row>
      <xdr:rowOff>408537</xdr:rowOff>
    </xdr:from>
    <xdr:to>
      <xdr:col>17</xdr:col>
      <xdr:colOff>347518</xdr:colOff>
      <xdr:row>3</xdr:row>
      <xdr:rowOff>138791</xdr:rowOff>
    </xdr:to>
    <xdr:sp macro="" textlink="">
      <xdr:nvSpPr>
        <xdr:cNvPr id="10" name="Flecha: pentágono 9">
          <a:hlinkClick xmlns:r="http://schemas.openxmlformats.org/officeDocument/2006/relationships" r:id="rId4"/>
          <a:extLst>
            <a:ext uri="{FF2B5EF4-FFF2-40B4-BE49-F238E27FC236}">
              <a16:creationId xmlns:a16="http://schemas.microsoft.com/office/drawing/2014/main" id="{00000000-0008-0000-0400-00000A000000}"/>
            </a:ext>
          </a:extLst>
        </xdr:cNvPr>
        <xdr:cNvSpPr/>
      </xdr:nvSpPr>
      <xdr:spPr>
        <a:xfrm>
          <a:off x="16681447" y="1399137"/>
          <a:ext cx="1758128" cy="274540"/>
        </a:xfrm>
        <a:prstGeom prst="homePlate">
          <a:avLst/>
        </a:prstGeom>
        <a:solidFill>
          <a:srgbClr val="00B0F0"/>
        </a:solidFill>
        <a:ln>
          <a:solidFill>
            <a:schemeClr val="bg1"/>
          </a:solidFill>
        </a:ln>
        <a:effectLst/>
        <a:scene3d>
          <a:camera prst="orthographicFront"/>
          <a:lightRig rig="threePt" dir="t"/>
        </a:scene3d>
        <a:sp3d>
          <a:bevelT w="114300" prst="artDeco"/>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200">
              <a:solidFill>
                <a:schemeClr val="tx1"/>
              </a:solidFill>
            </a:rPr>
            <a:t>DASH</a:t>
          </a:r>
        </a:p>
      </xdr:txBody>
    </xdr:sp>
    <xdr:clientData/>
  </xdr:twoCellAnchor>
  <xdr:twoCellAnchor>
    <xdr:from>
      <xdr:col>15</xdr:col>
      <xdr:colOff>176894</xdr:colOff>
      <xdr:row>2</xdr:row>
      <xdr:rowOff>32657</xdr:rowOff>
    </xdr:from>
    <xdr:to>
      <xdr:col>17</xdr:col>
      <xdr:colOff>478972</xdr:colOff>
      <xdr:row>2</xdr:row>
      <xdr:rowOff>272144</xdr:rowOff>
    </xdr:to>
    <xdr:sp macro="" textlink="">
      <xdr:nvSpPr>
        <xdr:cNvPr id="11" name="Flecha: pentágono 10">
          <a:hlinkClick xmlns:r="http://schemas.openxmlformats.org/officeDocument/2006/relationships" r:id="rId5"/>
          <a:extLst>
            <a:ext uri="{FF2B5EF4-FFF2-40B4-BE49-F238E27FC236}">
              <a16:creationId xmlns:a16="http://schemas.microsoft.com/office/drawing/2014/main" id="{00000000-0008-0000-0400-00000B000000}"/>
            </a:ext>
          </a:extLst>
        </xdr:cNvPr>
        <xdr:cNvSpPr/>
      </xdr:nvSpPr>
      <xdr:spPr>
        <a:xfrm>
          <a:off x="16679637" y="1023257"/>
          <a:ext cx="1891392" cy="239487"/>
        </a:xfrm>
        <a:prstGeom prst="homePlate">
          <a:avLst/>
        </a:prstGeom>
        <a:solidFill>
          <a:srgbClr val="FF8F8F"/>
        </a:solidFill>
        <a:ln>
          <a:solidFill>
            <a:schemeClr val="bg1"/>
          </a:solidFill>
        </a:ln>
        <a:effectLst/>
        <a:scene3d>
          <a:camera prst="orthographicFront"/>
          <a:lightRig rig="threePt" dir="t"/>
        </a:scene3d>
        <a:sp3d>
          <a:bevelT w="114300" prst="artDeco"/>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200">
              <a:solidFill>
                <a:schemeClr val="tx1"/>
              </a:solidFill>
            </a:rPr>
            <a:t>ADMINISTRACION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164433</xdr:colOff>
      <xdr:row>1</xdr:row>
      <xdr:rowOff>301625</xdr:rowOff>
    </xdr:from>
    <xdr:to>
      <xdr:col>15</xdr:col>
      <xdr:colOff>492125</xdr:colOff>
      <xdr:row>2</xdr:row>
      <xdr:rowOff>174625</xdr:rowOff>
    </xdr:to>
    <xdr:sp macro="" textlink="">
      <xdr:nvSpPr>
        <xdr:cNvPr id="3" name="Flecha: pentágono 2">
          <a:hlinkClick xmlns:r="http://schemas.openxmlformats.org/officeDocument/2006/relationships" r:id="rId1"/>
          <a:extLst>
            <a:ext uri="{FF2B5EF4-FFF2-40B4-BE49-F238E27FC236}">
              <a16:creationId xmlns:a16="http://schemas.microsoft.com/office/drawing/2014/main" id="{00000000-0008-0000-0500-000003000000}"/>
            </a:ext>
          </a:extLst>
        </xdr:cNvPr>
        <xdr:cNvSpPr/>
      </xdr:nvSpPr>
      <xdr:spPr>
        <a:xfrm>
          <a:off x="17611058" y="809625"/>
          <a:ext cx="1089692" cy="222250"/>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14</xdr:col>
      <xdr:colOff>144988</xdr:colOff>
      <xdr:row>2</xdr:row>
      <xdr:rowOff>285750</xdr:rowOff>
    </xdr:from>
    <xdr:to>
      <xdr:col>15</xdr:col>
      <xdr:colOff>746125</xdr:colOff>
      <xdr:row>3</xdr:row>
      <xdr:rowOff>142875</xdr:rowOff>
    </xdr:to>
    <xdr:sp macro="" textlink="">
      <xdr:nvSpPr>
        <xdr:cNvPr id="4" name="Flecha: pentágono 3">
          <a:hlinkClick xmlns:r="http://schemas.openxmlformats.org/officeDocument/2006/relationships" r:id="rId2"/>
          <a:extLst>
            <a:ext uri="{FF2B5EF4-FFF2-40B4-BE49-F238E27FC236}">
              <a16:creationId xmlns:a16="http://schemas.microsoft.com/office/drawing/2014/main" id="{00000000-0008-0000-0500-000004000000}"/>
            </a:ext>
          </a:extLst>
        </xdr:cNvPr>
        <xdr:cNvSpPr/>
      </xdr:nvSpPr>
      <xdr:spPr>
        <a:xfrm>
          <a:off x="17591613" y="1143000"/>
          <a:ext cx="1363137"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14</xdr:col>
      <xdr:colOff>167215</xdr:colOff>
      <xdr:row>0</xdr:row>
      <xdr:rowOff>472808</xdr:rowOff>
    </xdr:from>
    <xdr:to>
      <xdr:col>15</xdr:col>
      <xdr:colOff>412750</xdr:colOff>
      <xdr:row>1</xdr:row>
      <xdr:rowOff>158750</xdr:rowOff>
    </xdr:to>
    <xdr:sp macro="" textlink="">
      <xdr:nvSpPr>
        <xdr:cNvPr id="5" name="Flecha: pentágono 4">
          <a:hlinkClick xmlns:r="http://schemas.openxmlformats.org/officeDocument/2006/relationships" r:id="rId3"/>
          <a:extLst>
            <a:ext uri="{FF2B5EF4-FFF2-40B4-BE49-F238E27FC236}">
              <a16:creationId xmlns:a16="http://schemas.microsoft.com/office/drawing/2014/main" id="{00000000-0008-0000-0500-000005000000}"/>
            </a:ext>
          </a:extLst>
        </xdr:cNvPr>
        <xdr:cNvSpPr/>
      </xdr:nvSpPr>
      <xdr:spPr>
        <a:xfrm>
          <a:off x="17613840" y="472808"/>
          <a:ext cx="1007535" cy="193942"/>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14</xdr:col>
      <xdr:colOff>158750</xdr:colOff>
      <xdr:row>0</xdr:row>
      <xdr:rowOff>79375</xdr:rowOff>
    </xdr:from>
    <xdr:to>
      <xdr:col>15</xdr:col>
      <xdr:colOff>430744</xdr:colOff>
      <xdr:row>0</xdr:row>
      <xdr:rowOff>316405</xdr:rowOff>
    </xdr:to>
    <xdr:sp macro="" textlink="">
      <xdr:nvSpPr>
        <xdr:cNvPr id="7" name="Flecha: pentágono 6">
          <a:hlinkClick xmlns:r="http://schemas.openxmlformats.org/officeDocument/2006/relationships" r:id="rId4"/>
          <a:extLst>
            <a:ext uri="{FF2B5EF4-FFF2-40B4-BE49-F238E27FC236}">
              <a16:creationId xmlns:a16="http://schemas.microsoft.com/office/drawing/2014/main" id="{00000000-0008-0000-0500-000007000000}"/>
            </a:ext>
          </a:extLst>
        </xdr:cNvPr>
        <xdr:cNvSpPr/>
      </xdr:nvSpPr>
      <xdr:spPr>
        <a:xfrm>
          <a:off x="17605375" y="79375"/>
          <a:ext cx="1033994"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14</xdr:col>
      <xdr:colOff>158750</xdr:colOff>
      <xdr:row>3</xdr:row>
      <xdr:rowOff>238125</xdr:rowOff>
    </xdr:from>
    <xdr:to>
      <xdr:col>16</xdr:col>
      <xdr:colOff>63500</xdr:colOff>
      <xdr:row>3</xdr:row>
      <xdr:rowOff>476250</xdr:rowOff>
    </xdr:to>
    <xdr:sp macro="" textlink="">
      <xdr:nvSpPr>
        <xdr:cNvPr id="8" name="Flecha: pentágono 7">
          <a:hlinkClick xmlns:r="http://schemas.openxmlformats.org/officeDocument/2006/relationships" r:id="rId5"/>
          <a:extLst>
            <a:ext uri="{FF2B5EF4-FFF2-40B4-BE49-F238E27FC236}">
              <a16:creationId xmlns:a16="http://schemas.microsoft.com/office/drawing/2014/main" id="{00000000-0008-0000-0500-000008000000}"/>
            </a:ext>
          </a:extLst>
        </xdr:cNvPr>
        <xdr:cNvSpPr/>
      </xdr:nvSpPr>
      <xdr:spPr>
        <a:xfrm>
          <a:off x="17605375" y="1476375"/>
          <a:ext cx="1428750"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14</xdr:col>
      <xdr:colOff>158750</xdr:colOff>
      <xdr:row>4</xdr:row>
      <xdr:rowOff>31750</xdr:rowOff>
    </xdr:from>
    <xdr:to>
      <xdr:col>15</xdr:col>
      <xdr:colOff>608695</xdr:colOff>
      <xdr:row>4</xdr:row>
      <xdr:rowOff>258198</xdr:rowOff>
    </xdr:to>
    <xdr:sp macro="" textlink="">
      <xdr:nvSpPr>
        <xdr:cNvPr id="9" name="Flecha: pentágono 8">
          <a:hlinkClick xmlns:r="http://schemas.openxmlformats.org/officeDocument/2006/relationships" r:id="rId6"/>
          <a:extLst>
            <a:ext uri="{FF2B5EF4-FFF2-40B4-BE49-F238E27FC236}">
              <a16:creationId xmlns:a16="http://schemas.microsoft.com/office/drawing/2014/main" id="{00000000-0008-0000-0500-000009000000}"/>
            </a:ext>
          </a:extLst>
        </xdr:cNvPr>
        <xdr:cNvSpPr/>
      </xdr:nvSpPr>
      <xdr:spPr>
        <a:xfrm>
          <a:off x="17605375" y="1809750"/>
          <a:ext cx="1211945"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11</xdr:col>
      <xdr:colOff>210549</xdr:colOff>
      <xdr:row>1</xdr:row>
      <xdr:rowOff>87627</xdr:rowOff>
    </xdr:from>
    <xdr:to>
      <xdr:col>12</xdr:col>
      <xdr:colOff>653145</xdr:colOff>
      <xdr:row>1</xdr:row>
      <xdr:rowOff>295690</xdr:rowOff>
    </xdr:to>
    <xdr:sp macro="" textlink="">
      <xdr:nvSpPr>
        <xdr:cNvPr id="3" name="Flecha: pentágono 2">
          <a:hlinkClick xmlns:r="http://schemas.openxmlformats.org/officeDocument/2006/relationships" r:id="rId1"/>
          <a:extLst>
            <a:ext uri="{FF2B5EF4-FFF2-40B4-BE49-F238E27FC236}">
              <a16:creationId xmlns:a16="http://schemas.microsoft.com/office/drawing/2014/main" id="{00000000-0008-0000-0600-000003000000}"/>
            </a:ext>
          </a:extLst>
        </xdr:cNvPr>
        <xdr:cNvSpPr/>
      </xdr:nvSpPr>
      <xdr:spPr>
        <a:xfrm>
          <a:off x="16403049" y="686341"/>
          <a:ext cx="1204596" cy="208063"/>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11</xdr:col>
      <xdr:colOff>213329</xdr:colOff>
      <xdr:row>0</xdr:row>
      <xdr:rowOff>380583</xdr:rowOff>
    </xdr:from>
    <xdr:to>
      <xdr:col>12</xdr:col>
      <xdr:colOff>517072</xdr:colOff>
      <xdr:row>1</xdr:row>
      <xdr:rowOff>13608</xdr:rowOff>
    </xdr:to>
    <xdr:sp macro="" textlink="">
      <xdr:nvSpPr>
        <xdr:cNvPr id="5" name="Flecha: pentágono 4">
          <a:hlinkClick xmlns:r="http://schemas.openxmlformats.org/officeDocument/2006/relationships" r:id="rId2"/>
          <a:extLst>
            <a:ext uri="{FF2B5EF4-FFF2-40B4-BE49-F238E27FC236}">
              <a16:creationId xmlns:a16="http://schemas.microsoft.com/office/drawing/2014/main" id="{00000000-0008-0000-0600-000005000000}"/>
            </a:ext>
          </a:extLst>
        </xdr:cNvPr>
        <xdr:cNvSpPr/>
      </xdr:nvSpPr>
      <xdr:spPr>
        <a:xfrm>
          <a:off x="16405829" y="380583"/>
          <a:ext cx="1065743" cy="231739"/>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11</xdr:col>
      <xdr:colOff>217715</xdr:colOff>
      <xdr:row>0</xdr:row>
      <xdr:rowOff>54429</xdr:rowOff>
    </xdr:from>
    <xdr:to>
      <xdr:col>12</xdr:col>
      <xdr:colOff>489709</xdr:colOff>
      <xdr:row>0</xdr:row>
      <xdr:rowOff>291459</xdr:rowOff>
    </xdr:to>
    <xdr:sp macro="" textlink="">
      <xdr:nvSpPr>
        <xdr:cNvPr id="7" name="Flecha: pentágono 6">
          <a:hlinkClick xmlns:r="http://schemas.openxmlformats.org/officeDocument/2006/relationships" r:id="rId3"/>
          <a:extLst>
            <a:ext uri="{FF2B5EF4-FFF2-40B4-BE49-F238E27FC236}">
              <a16:creationId xmlns:a16="http://schemas.microsoft.com/office/drawing/2014/main" id="{00000000-0008-0000-0600-000007000000}"/>
            </a:ext>
          </a:extLst>
        </xdr:cNvPr>
        <xdr:cNvSpPr/>
      </xdr:nvSpPr>
      <xdr:spPr>
        <a:xfrm>
          <a:off x="16410215" y="54429"/>
          <a:ext cx="1033994"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11</xdr:col>
      <xdr:colOff>217715</xdr:colOff>
      <xdr:row>2</xdr:row>
      <xdr:rowOff>27215</xdr:rowOff>
    </xdr:from>
    <xdr:to>
      <xdr:col>12</xdr:col>
      <xdr:colOff>696686</xdr:colOff>
      <xdr:row>2</xdr:row>
      <xdr:rowOff>272143</xdr:rowOff>
    </xdr:to>
    <xdr:sp macro="" textlink="">
      <xdr:nvSpPr>
        <xdr:cNvPr id="8" name="Flecha: pentágono 7">
          <a:hlinkClick xmlns:r="http://schemas.openxmlformats.org/officeDocument/2006/relationships" r:id="rId4"/>
          <a:extLst>
            <a:ext uri="{FF2B5EF4-FFF2-40B4-BE49-F238E27FC236}">
              <a16:creationId xmlns:a16="http://schemas.microsoft.com/office/drawing/2014/main" id="{00000000-0008-0000-0600-000008000000}"/>
            </a:ext>
          </a:extLst>
        </xdr:cNvPr>
        <xdr:cNvSpPr/>
      </xdr:nvSpPr>
      <xdr:spPr>
        <a:xfrm>
          <a:off x="17155886" y="974272"/>
          <a:ext cx="2166257" cy="244928"/>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11</xdr:col>
      <xdr:colOff>217714</xdr:colOff>
      <xdr:row>2</xdr:row>
      <xdr:rowOff>353785</xdr:rowOff>
    </xdr:from>
    <xdr:to>
      <xdr:col>12</xdr:col>
      <xdr:colOff>667659</xdr:colOff>
      <xdr:row>2</xdr:row>
      <xdr:rowOff>580233</xdr:rowOff>
    </xdr:to>
    <xdr:sp macro="" textlink="">
      <xdr:nvSpPr>
        <xdr:cNvPr id="9" name="Flecha: pentágono 8">
          <a:hlinkClick xmlns:r="http://schemas.openxmlformats.org/officeDocument/2006/relationships" r:id="rId5"/>
          <a:extLst>
            <a:ext uri="{FF2B5EF4-FFF2-40B4-BE49-F238E27FC236}">
              <a16:creationId xmlns:a16="http://schemas.microsoft.com/office/drawing/2014/main" id="{00000000-0008-0000-0600-000009000000}"/>
            </a:ext>
          </a:extLst>
        </xdr:cNvPr>
        <xdr:cNvSpPr/>
      </xdr:nvSpPr>
      <xdr:spPr>
        <a:xfrm>
          <a:off x="16410214" y="1292678"/>
          <a:ext cx="1211945"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205313</xdr:colOff>
      <xdr:row>1</xdr:row>
      <xdr:rowOff>52916</xdr:rowOff>
    </xdr:from>
    <xdr:to>
      <xdr:col>11</xdr:col>
      <xdr:colOff>592667</xdr:colOff>
      <xdr:row>1</xdr:row>
      <xdr:rowOff>211667</xdr:rowOff>
    </xdr:to>
    <xdr:sp macro="" textlink="">
      <xdr:nvSpPr>
        <xdr:cNvPr id="4" name="Flecha: pentágono 3">
          <a:hlinkClick xmlns:r="http://schemas.openxmlformats.org/officeDocument/2006/relationships" r:id="rId1"/>
          <a:extLst>
            <a:ext uri="{FF2B5EF4-FFF2-40B4-BE49-F238E27FC236}">
              <a16:creationId xmlns:a16="http://schemas.microsoft.com/office/drawing/2014/main" id="{00000000-0008-0000-0700-000004000000}"/>
            </a:ext>
          </a:extLst>
        </xdr:cNvPr>
        <xdr:cNvSpPr/>
      </xdr:nvSpPr>
      <xdr:spPr>
        <a:xfrm>
          <a:off x="9910230" y="560916"/>
          <a:ext cx="1149354" cy="158751"/>
        </a:xfrm>
        <a:prstGeom prst="homePlate">
          <a:avLst/>
        </a:prstGeom>
        <a:solidFill>
          <a:schemeClr val="accent6">
            <a:lumMod val="75000"/>
          </a:schemeClr>
        </a:solidFill>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bg1"/>
              </a:solidFill>
            </a:rPr>
            <a:t>MANO DE OBRA</a:t>
          </a:r>
        </a:p>
      </xdr:txBody>
    </xdr:sp>
    <xdr:clientData/>
  </xdr:twoCellAnchor>
  <xdr:twoCellAnchor>
    <xdr:from>
      <xdr:col>10</xdr:col>
      <xdr:colOff>201085</xdr:colOff>
      <xdr:row>2</xdr:row>
      <xdr:rowOff>63500</xdr:rowOff>
    </xdr:from>
    <xdr:to>
      <xdr:col>11</xdr:col>
      <xdr:colOff>749126</xdr:colOff>
      <xdr:row>2</xdr:row>
      <xdr:rowOff>232027</xdr:rowOff>
    </xdr:to>
    <xdr:sp macro="" textlink="">
      <xdr:nvSpPr>
        <xdr:cNvPr id="7" name="Flecha: pentágono 6">
          <a:hlinkClick xmlns:r="http://schemas.openxmlformats.org/officeDocument/2006/relationships" r:id="rId2"/>
          <a:extLst>
            <a:ext uri="{FF2B5EF4-FFF2-40B4-BE49-F238E27FC236}">
              <a16:creationId xmlns:a16="http://schemas.microsoft.com/office/drawing/2014/main" id="{00000000-0008-0000-0700-000007000000}"/>
            </a:ext>
          </a:extLst>
        </xdr:cNvPr>
        <xdr:cNvSpPr/>
      </xdr:nvSpPr>
      <xdr:spPr>
        <a:xfrm>
          <a:off x="9906002" y="814917"/>
          <a:ext cx="1310041" cy="168527"/>
        </a:xfrm>
        <a:prstGeom prst="homePlate">
          <a:avLst/>
        </a:prstGeom>
        <a:solidFill>
          <a:srgbClr val="FF8F8F"/>
        </a:solidFill>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bg1"/>
              </a:solidFill>
            </a:rPr>
            <a:t>ADMINISTRACION</a:t>
          </a:r>
        </a:p>
      </xdr:txBody>
    </xdr:sp>
    <xdr:clientData/>
  </xdr:twoCellAnchor>
  <xdr:twoCellAnchor>
    <xdr:from>
      <xdr:col>10</xdr:col>
      <xdr:colOff>201085</xdr:colOff>
      <xdr:row>2</xdr:row>
      <xdr:rowOff>358320</xdr:rowOff>
    </xdr:from>
    <xdr:to>
      <xdr:col>11</xdr:col>
      <xdr:colOff>550334</xdr:colOff>
      <xdr:row>3</xdr:row>
      <xdr:rowOff>31750</xdr:rowOff>
    </xdr:to>
    <xdr:sp macro="" textlink="">
      <xdr:nvSpPr>
        <xdr:cNvPr id="8" name="Flecha: pentágono 7">
          <a:hlinkClick xmlns:r="http://schemas.openxmlformats.org/officeDocument/2006/relationships" r:id="rId3"/>
          <a:extLst>
            <a:ext uri="{FF2B5EF4-FFF2-40B4-BE49-F238E27FC236}">
              <a16:creationId xmlns:a16="http://schemas.microsoft.com/office/drawing/2014/main" id="{00000000-0008-0000-0700-000008000000}"/>
            </a:ext>
          </a:extLst>
        </xdr:cNvPr>
        <xdr:cNvSpPr/>
      </xdr:nvSpPr>
      <xdr:spPr>
        <a:xfrm>
          <a:off x="9906002" y="1109737"/>
          <a:ext cx="1111249" cy="160263"/>
        </a:xfrm>
        <a:prstGeom prst="homePlate">
          <a:avLst/>
        </a:prstGeom>
        <a:solidFill>
          <a:srgbClr val="00B0F0"/>
        </a:solidFill>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bg1"/>
              </a:solidFill>
            </a:rPr>
            <a:t>DASH</a:t>
          </a:r>
        </a:p>
      </xdr:txBody>
    </xdr:sp>
    <xdr:clientData/>
  </xdr:twoCellAnchor>
  <xdr:twoCellAnchor>
    <xdr:from>
      <xdr:col>10</xdr:col>
      <xdr:colOff>222250</xdr:colOff>
      <xdr:row>0</xdr:row>
      <xdr:rowOff>317502</xdr:rowOff>
    </xdr:from>
    <xdr:to>
      <xdr:col>11</xdr:col>
      <xdr:colOff>497416</xdr:colOff>
      <xdr:row>0</xdr:row>
      <xdr:rowOff>465668</xdr:rowOff>
    </xdr:to>
    <xdr:sp macro="" textlink="">
      <xdr:nvSpPr>
        <xdr:cNvPr id="11" name="Flecha: pentágono 10">
          <a:hlinkClick xmlns:r="http://schemas.openxmlformats.org/officeDocument/2006/relationships" r:id="rId4"/>
          <a:extLst>
            <a:ext uri="{FF2B5EF4-FFF2-40B4-BE49-F238E27FC236}">
              <a16:creationId xmlns:a16="http://schemas.microsoft.com/office/drawing/2014/main" id="{00000000-0008-0000-0700-00000B000000}"/>
            </a:ext>
          </a:extLst>
        </xdr:cNvPr>
        <xdr:cNvSpPr/>
      </xdr:nvSpPr>
      <xdr:spPr>
        <a:xfrm>
          <a:off x="9927167" y="317502"/>
          <a:ext cx="1037166" cy="148166"/>
        </a:xfrm>
        <a:prstGeom prst="homePlate">
          <a:avLst/>
        </a:prstGeom>
        <a:solidFill>
          <a:schemeClr val="accent2">
            <a:lumMod val="75000"/>
          </a:schemeClr>
        </a:solidFill>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bg1"/>
              </a:solidFill>
            </a:rPr>
            <a:t>MAQUINARIA</a:t>
          </a:r>
        </a:p>
      </xdr:txBody>
    </xdr:sp>
    <xdr:clientData/>
  </xdr:twoCellAnchor>
  <xdr:twoCellAnchor>
    <xdr:from>
      <xdr:col>10</xdr:col>
      <xdr:colOff>211666</xdr:colOff>
      <xdr:row>0</xdr:row>
      <xdr:rowOff>63499</xdr:rowOff>
    </xdr:from>
    <xdr:to>
      <xdr:col>11</xdr:col>
      <xdr:colOff>423333</xdr:colOff>
      <xdr:row>0</xdr:row>
      <xdr:rowOff>232833</xdr:rowOff>
    </xdr:to>
    <xdr:sp macro="" textlink="">
      <xdr:nvSpPr>
        <xdr:cNvPr id="12" name="Flecha: pentágono 11">
          <a:hlinkClick xmlns:r="http://schemas.openxmlformats.org/officeDocument/2006/relationships" r:id="rId5"/>
          <a:extLst>
            <a:ext uri="{FF2B5EF4-FFF2-40B4-BE49-F238E27FC236}">
              <a16:creationId xmlns:a16="http://schemas.microsoft.com/office/drawing/2014/main" id="{00000000-0008-0000-0700-00000C000000}"/>
            </a:ext>
          </a:extLst>
        </xdr:cNvPr>
        <xdr:cNvSpPr/>
      </xdr:nvSpPr>
      <xdr:spPr>
        <a:xfrm>
          <a:off x="9916583" y="63499"/>
          <a:ext cx="973667" cy="169334"/>
        </a:xfrm>
        <a:prstGeom prst="homePlate">
          <a:avLst/>
        </a:prstGeom>
        <a:solidFill>
          <a:srgbClr val="0070C0"/>
        </a:solidFill>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bg1"/>
              </a:solidFill>
            </a:rPr>
            <a:t>OFERTA</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285386</xdr:colOff>
      <xdr:row>1</xdr:row>
      <xdr:rowOff>131624</xdr:rowOff>
    </xdr:from>
    <xdr:to>
      <xdr:col>10</xdr:col>
      <xdr:colOff>746126</xdr:colOff>
      <xdr:row>2</xdr:row>
      <xdr:rowOff>47625</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0800-000002000000}"/>
            </a:ext>
          </a:extLst>
        </xdr:cNvPr>
        <xdr:cNvSpPr/>
      </xdr:nvSpPr>
      <xdr:spPr>
        <a:xfrm>
          <a:off x="23023466" y="817424"/>
          <a:ext cx="1253220" cy="228421"/>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9</xdr:col>
      <xdr:colOff>287108</xdr:colOff>
      <xdr:row>2</xdr:row>
      <xdr:rowOff>147825</xdr:rowOff>
    </xdr:from>
    <xdr:to>
      <xdr:col>11</xdr:col>
      <xdr:colOff>163286</xdr:colOff>
      <xdr:row>3</xdr:row>
      <xdr:rowOff>14060</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0800-000003000000}"/>
            </a:ext>
          </a:extLst>
        </xdr:cNvPr>
        <xdr:cNvSpPr/>
      </xdr:nvSpPr>
      <xdr:spPr>
        <a:xfrm>
          <a:off x="23025188" y="1146045"/>
          <a:ext cx="2596518" cy="24723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9</xdr:col>
      <xdr:colOff>277583</xdr:colOff>
      <xdr:row>0</xdr:row>
      <xdr:rowOff>444839</xdr:rowOff>
    </xdr:from>
    <xdr:to>
      <xdr:col>10</xdr:col>
      <xdr:colOff>682704</xdr:colOff>
      <xdr:row>1</xdr:row>
      <xdr:rowOff>14575</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0800-000004000000}"/>
            </a:ext>
          </a:extLst>
        </xdr:cNvPr>
        <xdr:cNvSpPr/>
      </xdr:nvSpPr>
      <xdr:spPr>
        <a:xfrm>
          <a:off x="23015663" y="444839"/>
          <a:ext cx="1197601" cy="255536"/>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9</xdr:col>
      <xdr:colOff>301626</xdr:colOff>
      <xdr:row>3</xdr:row>
      <xdr:rowOff>95250</xdr:rowOff>
    </xdr:from>
    <xdr:to>
      <xdr:col>10</xdr:col>
      <xdr:colOff>619126</xdr:colOff>
      <xdr:row>3</xdr:row>
      <xdr:rowOff>365125</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0800-000005000000}"/>
            </a:ext>
          </a:extLst>
        </xdr:cNvPr>
        <xdr:cNvSpPr/>
      </xdr:nvSpPr>
      <xdr:spPr>
        <a:xfrm>
          <a:off x="23039706" y="1474470"/>
          <a:ext cx="1109980" cy="269875"/>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twoCellAnchor>
    <xdr:from>
      <xdr:col>9</xdr:col>
      <xdr:colOff>269875</xdr:colOff>
      <xdr:row>0</xdr:row>
      <xdr:rowOff>63499</xdr:rowOff>
    </xdr:from>
    <xdr:to>
      <xdr:col>10</xdr:col>
      <xdr:colOff>555625</xdr:colOff>
      <xdr:row>0</xdr:row>
      <xdr:rowOff>301624</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0800-000006000000}"/>
            </a:ext>
          </a:extLst>
        </xdr:cNvPr>
        <xdr:cNvSpPr/>
      </xdr:nvSpPr>
      <xdr:spPr>
        <a:xfrm>
          <a:off x="23007955" y="63499"/>
          <a:ext cx="1078230" cy="238125"/>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285386</xdr:colOff>
      <xdr:row>1</xdr:row>
      <xdr:rowOff>131624</xdr:rowOff>
    </xdr:from>
    <xdr:to>
      <xdr:col>10</xdr:col>
      <xdr:colOff>746126</xdr:colOff>
      <xdr:row>2</xdr:row>
      <xdr:rowOff>47625</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61B333C9-D24A-4FEF-BD88-F5A3F9FE4F2E}"/>
            </a:ext>
          </a:extLst>
        </xdr:cNvPr>
        <xdr:cNvSpPr/>
      </xdr:nvSpPr>
      <xdr:spPr>
        <a:xfrm>
          <a:off x="23023466" y="817424"/>
          <a:ext cx="1253220" cy="228421"/>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9</xdr:col>
      <xdr:colOff>287108</xdr:colOff>
      <xdr:row>2</xdr:row>
      <xdr:rowOff>147825</xdr:rowOff>
    </xdr:from>
    <xdr:to>
      <xdr:col>11</xdr:col>
      <xdr:colOff>163286</xdr:colOff>
      <xdr:row>3</xdr:row>
      <xdr:rowOff>14060</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452EBC0F-2A69-451F-86B8-AB4242662289}"/>
            </a:ext>
          </a:extLst>
        </xdr:cNvPr>
        <xdr:cNvSpPr/>
      </xdr:nvSpPr>
      <xdr:spPr>
        <a:xfrm>
          <a:off x="23025188" y="1146045"/>
          <a:ext cx="2596518" cy="24723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9</xdr:col>
      <xdr:colOff>277583</xdr:colOff>
      <xdr:row>0</xdr:row>
      <xdr:rowOff>444839</xdr:rowOff>
    </xdr:from>
    <xdr:to>
      <xdr:col>10</xdr:col>
      <xdr:colOff>682704</xdr:colOff>
      <xdr:row>1</xdr:row>
      <xdr:rowOff>14575</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C13816D6-574B-416A-A300-26DF1E2B874F}"/>
            </a:ext>
          </a:extLst>
        </xdr:cNvPr>
        <xdr:cNvSpPr/>
      </xdr:nvSpPr>
      <xdr:spPr>
        <a:xfrm>
          <a:off x="23015663" y="444839"/>
          <a:ext cx="1197601" cy="255536"/>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9</xdr:col>
      <xdr:colOff>301626</xdr:colOff>
      <xdr:row>3</xdr:row>
      <xdr:rowOff>95250</xdr:rowOff>
    </xdr:from>
    <xdr:to>
      <xdr:col>10</xdr:col>
      <xdr:colOff>619126</xdr:colOff>
      <xdr:row>3</xdr:row>
      <xdr:rowOff>365125</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A6F9A80B-B7BF-48F0-B0D5-C706E8EB84D3}"/>
            </a:ext>
          </a:extLst>
        </xdr:cNvPr>
        <xdr:cNvSpPr/>
      </xdr:nvSpPr>
      <xdr:spPr>
        <a:xfrm>
          <a:off x="23039706" y="1474470"/>
          <a:ext cx="1109980" cy="269875"/>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twoCellAnchor>
    <xdr:from>
      <xdr:col>9</xdr:col>
      <xdr:colOff>269875</xdr:colOff>
      <xdr:row>0</xdr:row>
      <xdr:rowOff>63499</xdr:rowOff>
    </xdr:from>
    <xdr:to>
      <xdr:col>10</xdr:col>
      <xdr:colOff>555625</xdr:colOff>
      <xdr:row>0</xdr:row>
      <xdr:rowOff>301624</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BAAEA1D2-B324-4CE6-9C9A-6D53E039983B}"/>
            </a:ext>
          </a:extLst>
        </xdr:cNvPr>
        <xdr:cNvSpPr/>
      </xdr:nvSpPr>
      <xdr:spPr>
        <a:xfrm>
          <a:off x="23007955" y="63499"/>
          <a:ext cx="1078230" cy="238125"/>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9</xdr:col>
      <xdr:colOff>285386</xdr:colOff>
      <xdr:row>1</xdr:row>
      <xdr:rowOff>131624</xdr:rowOff>
    </xdr:from>
    <xdr:to>
      <xdr:col>10</xdr:col>
      <xdr:colOff>746126</xdr:colOff>
      <xdr:row>2</xdr:row>
      <xdr:rowOff>47625</xdr:rowOff>
    </xdr:to>
    <xdr:sp macro="" textlink="">
      <xdr:nvSpPr>
        <xdr:cNvPr id="3" name="Flecha: pentágono 2">
          <a:hlinkClick xmlns:r="http://schemas.openxmlformats.org/officeDocument/2006/relationships" r:id="rId1"/>
          <a:extLst>
            <a:ext uri="{FF2B5EF4-FFF2-40B4-BE49-F238E27FC236}">
              <a16:creationId xmlns:a16="http://schemas.microsoft.com/office/drawing/2014/main" id="{00000000-0008-0000-0900-000003000000}"/>
            </a:ext>
          </a:extLst>
        </xdr:cNvPr>
        <xdr:cNvSpPr/>
      </xdr:nvSpPr>
      <xdr:spPr>
        <a:xfrm>
          <a:off x="17382761" y="814249"/>
          <a:ext cx="1222740" cy="233501"/>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9</xdr:col>
      <xdr:colOff>287108</xdr:colOff>
      <xdr:row>2</xdr:row>
      <xdr:rowOff>147825</xdr:rowOff>
    </xdr:from>
    <xdr:to>
      <xdr:col>11</xdr:col>
      <xdr:colOff>163286</xdr:colOff>
      <xdr:row>3</xdr:row>
      <xdr:rowOff>14060</xdr:rowOff>
    </xdr:to>
    <xdr:sp macro="" textlink="">
      <xdr:nvSpPr>
        <xdr:cNvPr id="4" name="Flecha: pentágono 3">
          <a:hlinkClick xmlns:r="http://schemas.openxmlformats.org/officeDocument/2006/relationships" r:id="rId2"/>
          <a:extLst>
            <a:ext uri="{FF2B5EF4-FFF2-40B4-BE49-F238E27FC236}">
              <a16:creationId xmlns:a16="http://schemas.microsoft.com/office/drawing/2014/main" id="{00000000-0008-0000-0900-000004000000}"/>
            </a:ext>
          </a:extLst>
        </xdr:cNvPr>
        <xdr:cNvSpPr/>
      </xdr:nvSpPr>
      <xdr:spPr>
        <a:xfrm>
          <a:off x="17384483" y="1147950"/>
          <a:ext cx="1400178" cy="24723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9</xdr:col>
      <xdr:colOff>277583</xdr:colOff>
      <xdr:row>0</xdr:row>
      <xdr:rowOff>444839</xdr:rowOff>
    </xdr:from>
    <xdr:to>
      <xdr:col>10</xdr:col>
      <xdr:colOff>682704</xdr:colOff>
      <xdr:row>1</xdr:row>
      <xdr:rowOff>14575</xdr:rowOff>
    </xdr:to>
    <xdr:sp macro="" textlink="">
      <xdr:nvSpPr>
        <xdr:cNvPr id="5" name="Flecha: pentágono 4">
          <a:hlinkClick xmlns:r="http://schemas.openxmlformats.org/officeDocument/2006/relationships" r:id="rId3"/>
          <a:extLst>
            <a:ext uri="{FF2B5EF4-FFF2-40B4-BE49-F238E27FC236}">
              <a16:creationId xmlns:a16="http://schemas.microsoft.com/office/drawing/2014/main" id="{00000000-0008-0000-0900-000005000000}"/>
            </a:ext>
          </a:extLst>
        </xdr:cNvPr>
        <xdr:cNvSpPr/>
      </xdr:nvSpPr>
      <xdr:spPr>
        <a:xfrm>
          <a:off x="17374958" y="444839"/>
          <a:ext cx="1167121" cy="2523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9</xdr:col>
      <xdr:colOff>301626</xdr:colOff>
      <xdr:row>3</xdr:row>
      <xdr:rowOff>95250</xdr:rowOff>
    </xdr:from>
    <xdr:to>
      <xdr:col>10</xdr:col>
      <xdr:colOff>619126</xdr:colOff>
      <xdr:row>3</xdr:row>
      <xdr:rowOff>365125</xdr:rowOff>
    </xdr:to>
    <xdr:sp macro="" textlink="">
      <xdr:nvSpPr>
        <xdr:cNvPr id="7" name="Flecha: pentágono 6">
          <a:hlinkClick xmlns:r="http://schemas.openxmlformats.org/officeDocument/2006/relationships" r:id="rId4"/>
          <a:extLst>
            <a:ext uri="{FF2B5EF4-FFF2-40B4-BE49-F238E27FC236}">
              <a16:creationId xmlns:a16="http://schemas.microsoft.com/office/drawing/2014/main" id="{00000000-0008-0000-0900-000007000000}"/>
            </a:ext>
          </a:extLst>
        </xdr:cNvPr>
        <xdr:cNvSpPr/>
      </xdr:nvSpPr>
      <xdr:spPr>
        <a:xfrm>
          <a:off x="17399001" y="1476375"/>
          <a:ext cx="1079500" cy="269875"/>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twoCellAnchor>
    <xdr:from>
      <xdr:col>9</xdr:col>
      <xdr:colOff>269875</xdr:colOff>
      <xdr:row>0</xdr:row>
      <xdr:rowOff>63499</xdr:rowOff>
    </xdr:from>
    <xdr:to>
      <xdr:col>10</xdr:col>
      <xdr:colOff>555625</xdr:colOff>
      <xdr:row>0</xdr:row>
      <xdr:rowOff>301624</xdr:rowOff>
    </xdr:to>
    <xdr:sp macro="" textlink="">
      <xdr:nvSpPr>
        <xdr:cNvPr id="8" name="Flecha: pentágono 7">
          <a:hlinkClick xmlns:r="http://schemas.openxmlformats.org/officeDocument/2006/relationships" r:id="rId5"/>
          <a:extLst>
            <a:ext uri="{FF2B5EF4-FFF2-40B4-BE49-F238E27FC236}">
              <a16:creationId xmlns:a16="http://schemas.microsoft.com/office/drawing/2014/main" id="{00000000-0008-0000-0900-000008000000}"/>
            </a:ext>
          </a:extLst>
        </xdr:cNvPr>
        <xdr:cNvSpPr/>
      </xdr:nvSpPr>
      <xdr:spPr>
        <a:xfrm>
          <a:off x="17367250" y="63499"/>
          <a:ext cx="1047750" cy="238125"/>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3</xdr:col>
      <xdr:colOff>855549</xdr:colOff>
      <xdr:row>59</xdr:row>
      <xdr:rowOff>176893</xdr:rowOff>
    </xdr:from>
    <xdr:to>
      <xdr:col>8</xdr:col>
      <xdr:colOff>884465</xdr:colOff>
      <xdr:row>78</xdr:row>
      <xdr:rowOff>149678</xdr:rowOff>
    </xdr:to>
    <xdr:graphicFrame macro="">
      <xdr:nvGraphicFramePr>
        <xdr:cNvPr id="13" name="Gráfico 12">
          <a:extLst>
            <a:ext uri="{FF2B5EF4-FFF2-40B4-BE49-F238E27FC236}">
              <a16:creationId xmlns:a16="http://schemas.microsoft.com/office/drawing/2014/main" id="{00000000-0008-0000-0A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863205</xdr:colOff>
      <xdr:row>2</xdr:row>
      <xdr:rowOff>75006</xdr:rowOff>
    </xdr:from>
    <xdr:to>
      <xdr:col>8</xdr:col>
      <xdr:colOff>698500</xdr:colOff>
      <xdr:row>23</xdr:row>
      <xdr:rowOff>107155</xdr:rowOff>
    </xdr:to>
    <xdr:graphicFrame macro="">
      <xdr:nvGraphicFramePr>
        <xdr:cNvPr id="14" name="Gráfico 13">
          <a:extLst>
            <a:ext uri="{FF2B5EF4-FFF2-40B4-BE49-F238E27FC236}">
              <a16:creationId xmlns:a16="http://schemas.microsoft.com/office/drawing/2014/main" id="{00000000-0008-0000-0A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9</xdr:col>
      <xdr:colOff>626041</xdr:colOff>
      <xdr:row>6</xdr:row>
      <xdr:rowOff>59191</xdr:rowOff>
    </xdr:from>
    <xdr:to>
      <xdr:col>12</xdr:col>
      <xdr:colOff>1406180</xdr:colOff>
      <xdr:row>20</xdr:row>
      <xdr:rowOff>61119</xdr:rowOff>
    </xdr:to>
    <mc:AlternateContent xmlns:mc="http://schemas.openxmlformats.org/markup-compatibility/2006" xmlns:a14="http://schemas.microsoft.com/office/drawing/2010/main">
      <mc:Choice Requires="a14">
        <xdr:graphicFrame macro="">
          <xdr:nvGraphicFramePr>
            <xdr:cNvPr id="2" name="ITEM">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microsoft.com/office/drawing/2010/slicer">
              <sle:slicer xmlns:sle="http://schemas.microsoft.com/office/drawing/2010/slicer" name="ITEM"/>
            </a:graphicData>
          </a:graphic>
        </xdr:graphicFrame>
      </mc:Choice>
      <mc:Fallback xmlns="">
        <xdr:sp macro="" textlink="">
          <xdr:nvSpPr>
            <xdr:cNvPr id="0" name=""/>
            <xdr:cNvSpPr>
              <a:spLocks noTextEdit="1"/>
            </xdr:cNvSpPr>
          </xdr:nvSpPr>
          <xdr:spPr>
            <a:xfrm>
              <a:off x="13516541" y="1503816"/>
              <a:ext cx="3780516" cy="2764178"/>
            </a:xfrm>
            <a:prstGeom prst="rect">
              <a:avLst/>
            </a:prstGeom>
            <a:solidFill>
              <a:prstClr val="white"/>
            </a:solidFill>
            <a:ln w="1">
              <a:solidFill>
                <a:prstClr val="green"/>
              </a:solidFill>
            </a:ln>
          </xdr:spPr>
          <xdr:txBody>
            <a:bodyPr vertOverflow="clip" horzOverflow="clip"/>
            <a:lstStyle/>
            <a:p>
              <a:r>
                <a:rPr lang="es-CO"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3</xdr:col>
      <xdr:colOff>838539</xdr:colOff>
      <xdr:row>26</xdr:row>
      <xdr:rowOff>178593</xdr:rowOff>
    </xdr:from>
    <xdr:to>
      <xdr:col>8</xdr:col>
      <xdr:colOff>750094</xdr:colOff>
      <xdr:row>48</xdr:row>
      <xdr:rowOff>87311</xdr:rowOff>
    </xdr:to>
    <xdr:graphicFrame macro="">
      <xdr:nvGraphicFramePr>
        <xdr:cNvPr id="8" name="Gráfico 7">
          <a:extLst>
            <a:ext uri="{FF2B5EF4-FFF2-40B4-BE49-F238E27FC236}">
              <a16:creationId xmlns:a16="http://schemas.microsoft.com/office/drawing/2014/main" id="{00000000-0008-0000-0A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9</xdr:col>
      <xdr:colOff>310357</xdr:colOff>
      <xdr:row>32</xdr:row>
      <xdr:rowOff>91281</xdr:rowOff>
    </xdr:from>
    <xdr:to>
      <xdr:col>12</xdr:col>
      <xdr:colOff>1440653</xdr:colOff>
      <xdr:row>47</xdr:row>
      <xdr:rowOff>2381</xdr:rowOff>
    </xdr:to>
    <mc:AlternateContent xmlns:mc="http://schemas.openxmlformats.org/markup-compatibility/2006" xmlns:a14="http://schemas.microsoft.com/office/drawing/2010/main">
      <mc:Choice Requires="a14">
        <xdr:graphicFrame macro="">
          <xdr:nvGraphicFramePr>
            <xdr:cNvPr id="9" name="ITEM 1">
              <a:extLst>
                <a:ext uri="{FF2B5EF4-FFF2-40B4-BE49-F238E27FC236}">
                  <a16:creationId xmlns:a16="http://schemas.microsoft.com/office/drawing/2014/main" id="{00000000-0008-0000-0A00-000009000000}"/>
                </a:ext>
              </a:extLst>
            </xdr:cNvPr>
            <xdr:cNvGraphicFramePr/>
          </xdr:nvGraphicFramePr>
          <xdr:xfrm>
            <a:off x="0" y="0"/>
            <a:ext cx="0" cy="0"/>
          </xdr:xfrm>
          <a:graphic>
            <a:graphicData uri="http://schemas.microsoft.com/office/drawing/2010/slicer">
              <sle:slicer xmlns:sle="http://schemas.microsoft.com/office/drawing/2010/slicer" name="ITEM 1"/>
            </a:graphicData>
          </a:graphic>
        </xdr:graphicFrame>
      </mc:Choice>
      <mc:Fallback xmlns="">
        <xdr:sp macro="" textlink="">
          <xdr:nvSpPr>
            <xdr:cNvPr id="0" name=""/>
            <xdr:cNvSpPr>
              <a:spLocks noTextEdit="1"/>
            </xdr:cNvSpPr>
          </xdr:nvSpPr>
          <xdr:spPr>
            <a:xfrm>
              <a:off x="13200857" y="6631781"/>
              <a:ext cx="4130673" cy="2800350"/>
            </a:xfrm>
            <a:prstGeom prst="rect">
              <a:avLst/>
            </a:prstGeom>
            <a:solidFill>
              <a:prstClr val="white"/>
            </a:solidFill>
            <a:ln w="1">
              <a:solidFill>
                <a:prstClr val="green"/>
              </a:solidFill>
            </a:ln>
          </xdr:spPr>
          <xdr:txBody>
            <a:bodyPr vertOverflow="clip" horzOverflow="clip"/>
            <a:lstStyle/>
            <a:p>
              <a:r>
                <a:rPr lang="es-CO"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5</xdr:col>
      <xdr:colOff>1088572</xdr:colOff>
      <xdr:row>85</xdr:row>
      <xdr:rowOff>166007</xdr:rowOff>
    </xdr:from>
    <xdr:to>
      <xdr:col>9</xdr:col>
      <xdr:colOff>176893</xdr:colOff>
      <xdr:row>109</xdr:row>
      <xdr:rowOff>122464</xdr:rowOff>
    </xdr:to>
    <mc:AlternateContent xmlns:mc="http://schemas.openxmlformats.org/markup-compatibility/2006">
      <mc:Choice xmlns:cx4="http://schemas.microsoft.com/office/drawing/2016/5/10/chartex" Requires="cx4">
        <xdr:graphicFrame macro="">
          <xdr:nvGraphicFramePr>
            <xdr:cNvPr id="10" name="Gráfico 9">
              <a:extLst>
                <a:ext uri="{FF2B5EF4-FFF2-40B4-BE49-F238E27FC236}">
                  <a16:creationId xmlns:a16="http://schemas.microsoft.com/office/drawing/2014/main" id="{00000000-0008-0000-0A00-00000A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1737522" y="18530207"/>
              <a:ext cx="4860471" cy="4985657"/>
            </a:xfrm>
            <a:prstGeom prst="rect">
              <a:avLst/>
            </a:prstGeom>
            <a:solidFill>
              <a:prstClr val="white"/>
            </a:solidFill>
            <a:ln w="1">
              <a:solidFill>
                <a:prstClr val="green"/>
              </a:solidFill>
            </a:ln>
          </xdr:spPr>
          <xdr:txBody>
            <a:bodyPr vertOverflow="clip" horzOverflow="clip"/>
            <a:lstStyle/>
            <a:p>
              <a:r>
                <a:rPr lang="ko-KR" altLang="en-US" sz="1100"/>
                <a:t>Excel 버전에서는 이 차트를 사용할 수 없습니다.
이 도형 편집하거나 이 통합 문서를 다른 파일 형식으로 저장하면 차트가 영구적으로 손상됩니다.</a:t>
              </a:r>
            </a:p>
          </xdr:txBody>
        </xdr:sp>
      </mc:Fallback>
    </mc:AlternateContent>
    <xdr:clientData/>
  </xdr:twoCellAnchor>
  <xdr:twoCellAnchor>
    <xdr:from>
      <xdr:col>5</xdr:col>
      <xdr:colOff>1464128</xdr:colOff>
      <xdr:row>89</xdr:row>
      <xdr:rowOff>166008</xdr:rowOff>
    </xdr:from>
    <xdr:to>
      <xdr:col>7</xdr:col>
      <xdr:colOff>223156</xdr:colOff>
      <xdr:row>98</xdr:row>
      <xdr:rowOff>70758</xdr:rowOff>
    </xdr:to>
    <mc:AlternateContent xmlns:mc="http://schemas.openxmlformats.org/markup-compatibility/2006">
      <mc:Choice xmlns:cx4="http://schemas.microsoft.com/office/drawing/2016/5/10/chartex" Requires="cx4">
        <xdr:graphicFrame macro="">
          <xdr:nvGraphicFramePr>
            <xdr:cNvPr id="11" name="Gráfico 10">
              <a:extLst>
                <a:ext uri="{FF2B5EF4-FFF2-40B4-BE49-F238E27FC236}">
                  <a16:creationId xmlns:a16="http://schemas.microsoft.com/office/drawing/2014/main" id="{00000000-0008-0000-0A00-00000B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2113078" y="19368408"/>
              <a:ext cx="1654628" cy="1790700"/>
            </a:xfrm>
            <a:prstGeom prst="rect">
              <a:avLst/>
            </a:prstGeom>
            <a:solidFill>
              <a:prstClr val="white"/>
            </a:solidFill>
            <a:ln w="1">
              <a:solidFill>
                <a:prstClr val="green"/>
              </a:solidFill>
            </a:ln>
          </xdr:spPr>
          <xdr:txBody>
            <a:bodyPr vertOverflow="clip" horzOverflow="clip"/>
            <a:lstStyle/>
            <a:p>
              <a:r>
                <a:rPr lang="ko-KR" altLang="en-US" sz="1100"/>
                <a:t>Excel 버전에서는 이 차트를 사용할 수 없습니다.
이 도형 편집하거나 이 통합 문서를 다른 파일 형식으로 저장하면 차트가 영구적으로 손상됩니다.</a:t>
              </a:r>
            </a:p>
          </xdr:txBody>
        </xdr:sp>
      </mc:Fallback>
    </mc:AlternateContent>
    <xdr:clientData/>
  </xdr:twoCellAnchor>
  <xdr:twoCellAnchor>
    <xdr:from>
      <xdr:col>13</xdr:col>
      <xdr:colOff>167608</xdr:colOff>
      <xdr:row>5</xdr:row>
      <xdr:rowOff>70304</xdr:rowOff>
    </xdr:from>
    <xdr:to>
      <xdr:col>14</xdr:col>
      <xdr:colOff>24719</xdr:colOff>
      <xdr:row>6</xdr:row>
      <xdr:rowOff>103755</xdr:rowOff>
    </xdr:to>
    <xdr:sp macro="" textlink="">
      <xdr:nvSpPr>
        <xdr:cNvPr id="12" name="Flecha: pentágono 11">
          <a:hlinkClick xmlns:r="http://schemas.openxmlformats.org/officeDocument/2006/relationships" r:id="rId6"/>
          <a:extLst>
            <a:ext uri="{FF2B5EF4-FFF2-40B4-BE49-F238E27FC236}">
              <a16:creationId xmlns:a16="http://schemas.microsoft.com/office/drawing/2014/main" id="{00000000-0008-0000-0A00-00000C000000}"/>
            </a:ext>
          </a:extLst>
        </xdr:cNvPr>
        <xdr:cNvSpPr/>
      </xdr:nvSpPr>
      <xdr:spPr>
        <a:xfrm>
          <a:off x="22995858" y="1324429"/>
          <a:ext cx="1476361" cy="223951"/>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13</xdr:col>
      <xdr:colOff>170388</xdr:colOff>
      <xdr:row>7</xdr:row>
      <xdr:rowOff>87881</xdr:rowOff>
    </xdr:from>
    <xdr:to>
      <xdr:col>14</xdr:col>
      <xdr:colOff>218013</xdr:colOff>
      <xdr:row>8</xdr:row>
      <xdr:rowOff>79375</xdr:rowOff>
    </xdr:to>
    <xdr:sp macro="" textlink="">
      <xdr:nvSpPr>
        <xdr:cNvPr id="15" name="Flecha: pentágono 14">
          <a:hlinkClick xmlns:r="http://schemas.openxmlformats.org/officeDocument/2006/relationships" r:id="rId7"/>
          <a:extLst>
            <a:ext uri="{FF2B5EF4-FFF2-40B4-BE49-F238E27FC236}">
              <a16:creationId xmlns:a16="http://schemas.microsoft.com/office/drawing/2014/main" id="{00000000-0008-0000-0A00-00000F000000}"/>
            </a:ext>
          </a:extLst>
        </xdr:cNvPr>
        <xdr:cNvSpPr/>
      </xdr:nvSpPr>
      <xdr:spPr>
        <a:xfrm>
          <a:off x="22998638" y="1723006"/>
          <a:ext cx="1666875" cy="197869"/>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13</xdr:col>
      <xdr:colOff>151340</xdr:colOff>
      <xdr:row>3</xdr:row>
      <xdr:rowOff>117434</xdr:rowOff>
    </xdr:from>
    <xdr:to>
      <xdr:col>13</xdr:col>
      <xdr:colOff>1573738</xdr:colOff>
      <xdr:row>4</xdr:row>
      <xdr:rowOff>142875</xdr:rowOff>
    </xdr:to>
    <xdr:sp macro="" textlink="">
      <xdr:nvSpPr>
        <xdr:cNvPr id="16" name="Flecha: pentágono 15">
          <a:hlinkClick xmlns:r="http://schemas.openxmlformats.org/officeDocument/2006/relationships" r:id="rId8"/>
          <a:extLst>
            <a:ext uri="{FF2B5EF4-FFF2-40B4-BE49-F238E27FC236}">
              <a16:creationId xmlns:a16="http://schemas.microsoft.com/office/drawing/2014/main" id="{00000000-0008-0000-0A00-000010000000}"/>
            </a:ext>
          </a:extLst>
        </xdr:cNvPr>
        <xdr:cNvSpPr/>
      </xdr:nvSpPr>
      <xdr:spPr>
        <a:xfrm>
          <a:off x="22979590" y="974684"/>
          <a:ext cx="1422398" cy="231816"/>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13</xdr:col>
      <xdr:colOff>142875</xdr:colOff>
      <xdr:row>1</xdr:row>
      <xdr:rowOff>142875</xdr:rowOff>
    </xdr:from>
    <xdr:to>
      <xdr:col>13</xdr:col>
      <xdr:colOff>1563538</xdr:colOff>
      <xdr:row>2</xdr:row>
      <xdr:rowOff>173530</xdr:rowOff>
    </xdr:to>
    <xdr:sp macro="" textlink="">
      <xdr:nvSpPr>
        <xdr:cNvPr id="17" name="Flecha: pentágono 16">
          <a:hlinkClick xmlns:r="http://schemas.openxmlformats.org/officeDocument/2006/relationships" r:id="rId9"/>
          <a:extLst>
            <a:ext uri="{FF2B5EF4-FFF2-40B4-BE49-F238E27FC236}">
              <a16:creationId xmlns:a16="http://schemas.microsoft.com/office/drawing/2014/main" id="{00000000-0008-0000-0A00-000011000000}"/>
            </a:ext>
          </a:extLst>
        </xdr:cNvPr>
        <xdr:cNvSpPr/>
      </xdr:nvSpPr>
      <xdr:spPr>
        <a:xfrm>
          <a:off x="22971125" y="587375"/>
          <a:ext cx="1420663"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13</xdr:col>
      <xdr:colOff>174625</xdr:colOff>
      <xdr:row>9</xdr:row>
      <xdr:rowOff>49780</xdr:rowOff>
    </xdr:from>
    <xdr:to>
      <xdr:col>14</xdr:col>
      <xdr:colOff>303738</xdr:colOff>
      <xdr:row>10</xdr:row>
      <xdr:rowOff>88900</xdr:rowOff>
    </xdr:to>
    <xdr:sp macro="" textlink="">
      <xdr:nvSpPr>
        <xdr:cNvPr id="18" name="Flecha: pentágono 17">
          <a:hlinkClick xmlns:r="http://schemas.openxmlformats.org/officeDocument/2006/relationships" r:id="rId10"/>
          <a:extLst>
            <a:ext uri="{FF2B5EF4-FFF2-40B4-BE49-F238E27FC236}">
              <a16:creationId xmlns:a16="http://schemas.microsoft.com/office/drawing/2014/main" id="{00000000-0008-0000-0A00-000012000000}"/>
            </a:ext>
          </a:extLst>
        </xdr:cNvPr>
        <xdr:cNvSpPr/>
      </xdr:nvSpPr>
      <xdr:spPr>
        <a:xfrm>
          <a:off x="23002875" y="2081780"/>
          <a:ext cx="1748363" cy="24549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13</xdr:col>
      <xdr:colOff>190500</xdr:colOff>
      <xdr:row>11</xdr:row>
      <xdr:rowOff>15875</xdr:rowOff>
    </xdr:from>
    <xdr:to>
      <xdr:col>13</xdr:col>
      <xdr:colOff>1402445</xdr:colOff>
      <xdr:row>12</xdr:row>
      <xdr:rowOff>35948</xdr:rowOff>
    </xdr:to>
    <xdr:sp macro="" textlink="">
      <xdr:nvSpPr>
        <xdr:cNvPr id="19" name="Flecha: pentágono 18">
          <a:hlinkClick xmlns:r="http://schemas.openxmlformats.org/officeDocument/2006/relationships" r:id="rId11"/>
          <a:extLst>
            <a:ext uri="{FF2B5EF4-FFF2-40B4-BE49-F238E27FC236}">
              <a16:creationId xmlns:a16="http://schemas.microsoft.com/office/drawing/2014/main" id="{00000000-0008-0000-0A00-000013000000}"/>
            </a:ext>
          </a:extLst>
        </xdr:cNvPr>
        <xdr:cNvSpPr/>
      </xdr:nvSpPr>
      <xdr:spPr>
        <a:xfrm>
          <a:off x="20351750" y="2460625"/>
          <a:ext cx="1211945"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twoCellAnchor>
    <xdr:from>
      <xdr:col>13</xdr:col>
      <xdr:colOff>403860</xdr:colOff>
      <xdr:row>16</xdr:row>
      <xdr:rowOff>44027</xdr:rowOff>
    </xdr:from>
    <xdr:to>
      <xdr:col>14</xdr:col>
      <xdr:colOff>196428</xdr:colOff>
      <xdr:row>23</xdr:row>
      <xdr:rowOff>151554</xdr:rowOff>
    </xdr:to>
    <xdr:grpSp>
      <xdr:nvGrpSpPr>
        <xdr:cNvPr id="21" name="Grupo 20">
          <a:extLst>
            <a:ext uri="{FF2B5EF4-FFF2-40B4-BE49-F238E27FC236}">
              <a16:creationId xmlns:a16="http://schemas.microsoft.com/office/drawing/2014/main" id="{00000000-0008-0000-0A00-000015000000}"/>
            </a:ext>
          </a:extLst>
        </xdr:cNvPr>
        <xdr:cNvGrpSpPr/>
      </xdr:nvGrpSpPr>
      <xdr:grpSpPr>
        <a:xfrm>
          <a:off x="22097048" y="3711152"/>
          <a:ext cx="1649943" cy="1607715"/>
          <a:chOff x="21763567" y="5012267"/>
          <a:chExt cx="1485900" cy="1519766"/>
        </a:xfrm>
      </xdr:grpSpPr>
      <xdr:sp macro="[0]!ACTUALIZAR_T_DINAMICAS" textlink="">
        <xdr:nvSpPr>
          <xdr:cNvPr id="5" name="Flecha: curvada hacia arriba 3">
            <a:extLst>
              <a:ext uri="{FF2B5EF4-FFF2-40B4-BE49-F238E27FC236}">
                <a16:creationId xmlns:a16="http://schemas.microsoft.com/office/drawing/2014/main" id="{00000000-0008-0000-0A00-000005000000}"/>
              </a:ext>
            </a:extLst>
          </xdr:cNvPr>
          <xdr:cNvSpPr/>
        </xdr:nvSpPr>
        <xdr:spPr>
          <a:xfrm>
            <a:off x="21924433" y="5871633"/>
            <a:ext cx="1325034" cy="66040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sp macro="[0]!ACTUALIZAR_T_DINAMICAS" textlink="">
        <xdr:nvSpPr>
          <xdr:cNvPr id="7" name="Flecha: curvada hacia abajo 6">
            <a:extLst>
              <a:ext uri="{FF2B5EF4-FFF2-40B4-BE49-F238E27FC236}">
                <a16:creationId xmlns:a16="http://schemas.microsoft.com/office/drawing/2014/main" id="{00000000-0008-0000-0A00-000007000000}"/>
              </a:ext>
            </a:extLst>
          </xdr:cNvPr>
          <xdr:cNvSpPr/>
        </xdr:nvSpPr>
        <xdr:spPr>
          <a:xfrm flipH="1">
            <a:off x="21763567" y="5012267"/>
            <a:ext cx="1401234" cy="728134"/>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sp macro="[0]!ACTUALIZAR_T_DINAMICAS_DASH" textlink="">
        <xdr:nvSpPr>
          <xdr:cNvPr id="20" name="CuadroTexto 19">
            <a:extLst>
              <a:ext uri="{FF2B5EF4-FFF2-40B4-BE49-F238E27FC236}">
                <a16:creationId xmlns:a16="http://schemas.microsoft.com/office/drawing/2014/main" id="{00000000-0008-0000-0A00-000014000000}"/>
              </a:ext>
            </a:extLst>
          </xdr:cNvPr>
          <xdr:cNvSpPr txBox="1"/>
        </xdr:nvSpPr>
        <xdr:spPr>
          <a:xfrm>
            <a:off x="22055667" y="5469469"/>
            <a:ext cx="931333" cy="6519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t>ACTUALIZAR</a:t>
            </a:r>
            <a:r>
              <a:rPr lang="en-US" sz="1100" b="1" baseline="0"/>
              <a:t> TABLAS DINAMICAS</a:t>
            </a:r>
            <a:endParaRPr lang="en-US" sz="1100" b="1"/>
          </a:p>
        </xdr:txBody>
      </xdr:sp>
    </xdr:grpSp>
    <xdr:clientData/>
  </xdr:twoCellAnchor>
</xdr:wsDr>
</file>

<file path=xl/drawings/drawing13.xml><?xml version="1.0" encoding="utf-8"?>
<xdr:wsDr xmlns:xdr="http://schemas.openxmlformats.org/drawingml/2006/spreadsheetDrawing" xmlns:a="http://schemas.openxmlformats.org/drawingml/2006/main">
  <xdr:twoCellAnchor>
    <xdr:from>
      <xdr:col>8</xdr:col>
      <xdr:colOff>219470</xdr:colOff>
      <xdr:row>3</xdr:row>
      <xdr:rowOff>212725</xdr:rowOff>
    </xdr:from>
    <xdr:to>
      <xdr:col>9</xdr:col>
      <xdr:colOff>539224</xdr:colOff>
      <xdr:row>3</xdr:row>
      <xdr:rowOff>438944</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0B00-000002000000}"/>
            </a:ext>
          </a:extLst>
        </xdr:cNvPr>
        <xdr:cNvSpPr/>
      </xdr:nvSpPr>
      <xdr:spPr>
        <a:xfrm>
          <a:off x="8029970" y="812800"/>
          <a:ext cx="1081754" cy="22621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200025</xdr:colOff>
      <xdr:row>4</xdr:row>
      <xdr:rowOff>83344</xdr:rowOff>
    </xdr:from>
    <xdr:to>
      <xdr:col>9</xdr:col>
      <xdr:colOff>553244</xdr:colOff>
      <xdr:row>5</xdr:row>
      <xdr:rowOff>121444</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0B00-000003000000}"/>
            </a:ext>
          </a:extLst>
        </xdr:cNvPr>
        <xdr:cNvSpPr/>
      </xdr:nvSpPr>
      <xdr:spPr>
        <a:xfrm>
          <a:off x="8010525" y="1150144"/>
          <a:ext cx="111521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222252</xdr:colOff>
      <xdr:row>2</xdr:row>
      <xdr:rowOff>67995</xdr:rowOff>
    </xdr:from>
    <xdr:to>
      <xdr:col>9</xdr:col>
      <xdr:colOff>459849</xdr:colOff>
      <xdr:row>3</xdr:row>
      <xdr:rowOff>65881</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0B00-000004000000}"/>
            </a:ext>
          </a:extLst>
        </xdr:cNvPr>
        <xdr:cNvSpPr/>
      </xdr:nvSpPr>
      <xdr:spPr>
        <a:xfrm>
          <a:off x="8032752" y="468045"/>
          <a:ext cx="999597" cy="19791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213787</xdr:colOff>
      <xdr:row>0</xdr:row>
      <xdr:rowOff>66675</xdr:rowOff>
    </xdr:from>
    <xdr:to>
      <xdr:col>9</xdr:col>
      <xdr:colOff>477843</xdr:colOff>
      <xdr:row>1</xdr:row>
      <xdr:rowOff>103680</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0B00-000005000000}"/>
            </a:ext>
          </a:extLst>
        </xdr:cNvPr>
        <xdr:cNvSpPr/>
      </xdr:nvSpPr>
      <xdr:spPr>
        <a:xfrm>
          <a:off x="8024287" y="66675"/>
          <a:ext cx="1026056"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213787</xdr:colOff>
      <xdr:row>6</xdr:row>
      <xdr:rowOff>3334</xdr:rowOff>
    </xdr:from>
    <xdr:to>
      <xdr:col>10</xdr:col>
      <xdr:colOff>7620</xdr:colOff>
      <xdr:row>6</xdr:row>
      <xdr:rowOff>175259</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0B00-000006000000}"/>
            </a:ext>
          </a:extLst>
        </xdr:cNvPr>
        <xdr:cNvSpPr/>
      </xdr:nvSpPr>
      <xdr:spPr>
        <a:xfrm>
          <a:off x="8443387" y="1413034"/>
          <a:ext cx="1378793" cy="1719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221407</xdr:colOff>
      <xdr:row>7</xdr:row>
      <xdr:rowOff>62389</xdr:rowOff>
    </xdr:from>
    <xdr:to>
      <xdr:col>9</xdr:col>
      <xdr:colOff>560864</xdr:colOff>
      <xdr:row>8</xdr:row>
      <xdr:rowOff>113577</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0B00-000007000000}"/>
            </a:ext>
          </a:extLst>
        </xdr:cNvPr>
        <xdr:cNvSpPr/>
      </xdr:nvSpPr>
      <xdr:spPr>
        <a:xfrm>
          <a:off x="8451007" y="1837849"/>
          <a:ext cx="1131937" cy="21882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11" name="Flecha: pentágono 10">
          <a:hlinkClick xmlns:r="http://schemas.openxmlformats.org/officeDocument/2006/relationships" r:id="rId1"/>
          <a:extLst>
            <a:ext uri="{FF2B5EF4-FFF2-40B4-BE49-F238E27FC236}">
              <a16:creationId xmlns:a16="http://schemas.microsoft.com/office/drawing/2014/main" id="{00000000-0008-0000-0C00-00000B000000}"/>
            </a:ext>
          </a:extLst>
        </xdr:cNvPr>
        <xdr:cNvSpPr/>
      </xdr:nvSpPr>
      <xdr:spPr>
        <a:xfrm>
          <a:off x="9520632" y="849312"/>
          <a:ext cx="1089692" cy="222250"/>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12" name="Flecha: pentágono 11">
          <a:hlinkClick xmlns:r="http://schemas.openxmlformats.org/officeDocument/2006/relationships" r:id="rId2"/>
          <a:extLst>
            <a:ext uri="{FF2B5EF4-FFF2-40B4-BE49-F238E27FC236}">
              <a16:creationId xmlns:a16="http://schemas.microsoft.com/office/drawing/2014/main" id="{00000000-0008-0000-0C00-00000C000000}"/>
            </a:ext>
          </a:extLst>
        </xdr:cNvPr>
        <xdr:cNvSpPr/>
      </xdr:nvSpPr>
      <xdr:spPr>
        <a:xfrm>
          <a:off x="9501187" y="1182687"/>
          <a:ext cx="1363137"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13" name="Flecha: pentágono 12">
          <a:hlinkClick xmlns:r="http://schemas.openxmlformats.org/officeDocument/2006/relationships" r:id="rId3"/>
          <a:extLst>
            <a:ext uri="{FF2B5EF4-FFF2-40B4-BE49-F238E27FC236}">
              <a16:creationId xmlns:a16="http://schemas.microsoft.com/office/drawing/2014/main" id="{00000000-0008-0000-0C00-00000D000000}"/>
            </a:ext>
          </a:extLst>
        </xdr:cNvPr>
        <xdr:cNvSpPr/>
      </xdr:nvSpPr>
      <xdr:spPr>
        <a:xfrm>
          <a:off x="9523414" y="512495"/>
          <a:ext cx="1007535" cy="193942"/>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14" name="Flecha: pentágono 13">
          <a:hlinkClick xmlns:r="http://schemas.openxmlformats.org/officeDocument/2006/relationships" r:id="rId4"/>
          <a:extLst>
            <a:ext uri="{FF2B5EF4-FFF2-40B4-BE49-F238E27FC236}">
              <a16:creationId xmlns:a16="http://schemas.microsoft.com/office/drawing/2014/main" id="{00000000-0008-0000-0C00-00000E000000}"/>
            </a:ext>
          </a:extLst>
        </xdr:cNvPr>
        <xdr:cNvSpPr/>
      </xdr:nvSpPr>
      <xdr:spPr>
        <a:xfrm>
          <a:off x="9514949" y="119062"/>
          <a:ext cx="1033994"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15" name="Flecha: pentágono 14">
          <a:hlinkClick xmlns:r="http://schemas.openxmlformats.org/officeDocument/2006/relationships" r:id="rId5"/>
          <a:extLst>
            <a:ext uri="{FF2B5EF4-FFF2-40B4-BE49-F238E27FC236}">
              <a16:creationId xmlns:a16="http://schemas.microsoft.com/office/drawing/2014/main" id="{00000000-0008-0000-0C00-00000F000000}"/>
            </a:ext>
          </a:extLst>
        </xdr:cNvPr>
        <xdr:cNvSpPr/>
      </xdr:nvSpPr>
      <xdr:spPr>
        <a:xfrm>
          <a:off x="9514949" y="1516062"/>
          <a:ext cx="1428750"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16" name="Flecha: pentágono 15">
          <a:hlinkClick xmlns:r="http://schemas.openxmlformats.org/officeDocument/2006/relationships" r:id="rId6"/>
          <a:extLst>
            <a:ext uri="{FF2B5EF4-FFF2-40B4-BE49-F238E27FC236}">
              <a16:creationId xmlns:a16="http://schemas.microsoft.com/office/drawing/2014/main" id="{00000000-0008-0000-0C00-000010000000}"/>
            </a:ext>
          </a:extLst>
        </xdr:cNvPr>
        <xdr:cNvSpPr/>
      </xdr:nvSpPr>
      <xdr:spPr>
        <a:xfrm>
          <a:off x="9514949" y="1849437"/>
          <a:ext cx="1211945"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0D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0D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0D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0D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0D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0D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0E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0E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0E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0E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0E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0E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0F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0F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0F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0F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0F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0F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10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10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10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10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10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10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11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11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11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11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11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11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12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12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12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12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12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12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13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13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13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13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13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13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14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14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14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14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14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14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15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15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15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15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15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15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16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16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16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16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16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16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17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17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17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17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17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17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18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18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18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18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18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18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19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19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19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19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19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19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1A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1A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1A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1A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1A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1A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1B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1B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1B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1B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1B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1B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30.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1C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1C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1C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1C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1C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1C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1D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1D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1D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1D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1D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1D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32.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1E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1E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1E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1E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1E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1E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33.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1F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1F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1F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1F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1F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1F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34.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20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20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20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20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20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20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35.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21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21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21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21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21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21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22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22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22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22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22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22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37.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23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23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23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23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23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23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38.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24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24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24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24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24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24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39.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25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25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25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25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25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25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40.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26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26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26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26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26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26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41.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27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27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27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27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27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27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42.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28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28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28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28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28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28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43.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29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29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29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29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29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29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44.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2A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2A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2A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2A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2A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2A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45.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2B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2B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2B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2B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2B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2B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46.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2C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2C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2C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2C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2C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2C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47.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2D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2D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2D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2D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2D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2D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48.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2E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2E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2E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2E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2E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2E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49.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2F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2F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2F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2F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2F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2F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50.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30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30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30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30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30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30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51.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31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31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31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31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31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31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52.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32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32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32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32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32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32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53.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33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33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33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33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33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33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54.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34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34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34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34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34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34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55.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35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35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35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35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35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35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56.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36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36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36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36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36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36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57.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37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37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37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37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37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37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58.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38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38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38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38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38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38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59.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39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39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39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39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39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39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60.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3A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3A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3A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3A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3A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3A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61.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3B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3B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3B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3B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3B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3B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62.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3C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3C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3C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3C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3C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3C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63.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3D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3D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3D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3D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3D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3D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64.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3E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3E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3E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3E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3E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3E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65.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3F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3F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3F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3F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3F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3F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66.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40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40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40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40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40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40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67.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41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41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41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41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41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41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68.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42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42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42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42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42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42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69.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43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43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43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43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43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43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70.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44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44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44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44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44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44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71.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45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45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45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45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45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45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72.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46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46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46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46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46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46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73.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47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47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47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47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47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47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74.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48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48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48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48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48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48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75.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49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49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49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49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49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49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76.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4A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4A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4A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4A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4A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4A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77.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4B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4B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4B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4B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4B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4B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78.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4C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4C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4C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4C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4C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4C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79.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4D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4D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4D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4D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4D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4D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80.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4E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4E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4E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4E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4E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4E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81.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4F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4F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4F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4F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4F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4F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82.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50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50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50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50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50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50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83.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51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51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51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51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51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51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84.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52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52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52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52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52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52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85.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53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53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53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53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53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53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86.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54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54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54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54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54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54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87.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55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55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55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55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55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55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88.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56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56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56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56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56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56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89.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57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57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57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57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57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57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90.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58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58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58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58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58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58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91.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59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59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59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59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59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59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92.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5A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5A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5A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5A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5A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5A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93.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5B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5B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5B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5B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5B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5B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drawings/drawing94.xml><?xml version="1.0" encoding="utf-8"?>
<xdr:wsDr xmlns:xdr="http://schemas.openxmlformats.org/drawingml/2006/spreadsheetDrawing" xmlns:a="http://schemas.openxmlformats.org/drawingml/2006/main">
  <xdr:twoCellAnchor>
    <xdr:from>
      <xdr:col>8</xdr:col>
      <xdr:colOff>78976</xdr:colOff>
      <xdr:row>3</xdr:row>
      <xdr:rowOff>39687</xdr:rowOff>
    </xdr:from>
    <xdr:to>
      <xdr:col>9</xdr:col>
      <xdr:colOff>573355</xdr:colOff>
      <xdr:row>4</xdr:row>
      <xdr:rowOff>59531</xdr:rowOff>
    </xdr:to>
    <xdr:sp macro="" textlink="">
      <xdr:nvSpPr>
        <xdr:cNvPr id="2" name="Flecha: pentágono 1">
          <a:hlinkClick xmlns:r="http://schemas.openxmlformats.org/officeDocument/2006/relationships" r:id="rId1"/>
          <a:extLst>
            <a:ext uri="{FF2B5EF4-FFF2-40B4-BE49-F238E27FC236}">
              <a16:creationId xmlns:a16="http://schemas.microsoft.com/office/drawing/2014/main" id="{00000000-0008-0000-5C00-000002000000}"/>
            </a:ext>
          </a:extLst>
        </xdr:cNvPr>
        <xdr:cNvSpPr/>
      </xdr:nvSpPr>
      <xdr:spPr>
        <a:xfrm>
          <a:off x="10356451" y="849312"/>
          <a:ext cx="1084929" cy="219869"/>
        </a:xfrm>
        <a:prstGeom prst="homePlate">
          <a:avLst/>
        </a:prstGeom>
        <a:solidFill>
          <a:schemeClr val="accent2">
            <a:lumMod val="75000"/>
          </a:schemeClr>
        </a:solidFill>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MAQUINARIA</a:t>
          </a:r>
        </a:p>
      </xdr:txBody>
    </xdr:sp>
    <xdr:clientData/>
  </xdr:twoCellAnchor>
  <xdr:twoCellAnchor>
    <xdr:from>
      <xdr:col>8</xdr:col>
      <xdr:colOff>59531</xdr:colOff>
      <xdr:row>4</xdr:row>
      <xdr:rowOff>170656</xdr:rowOff>
    </xdr:from>
    <xdr:to>
      <xdr:col>10</xdr:col>
      <xdr:colOff>0</xdr:colOff>
      <xdr:row>6</xdr:row>
      <xdr:rowOff>27781</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00000000-0008-0000-5C00-000003000000}"/>
            </a:ext>
          </a:extLst>
        </xdr:cNvPr>
        <xdr:cNvSpPr/>
      </xdr:nvSpPr>
      <xdr:spPr>
        <a:xfrm>
          <a:off x="10337006" y="1180306"/>
          <a:ext cx="1121569" cy="238125"/>
        </a:xfrm>
        <a:prstGeom prst="homePlate">
          <a:avLst/>
        </a:prstGeom>
        <a:solidFill>
          <a:schemeClr val="accent6">
            <a:lumMod val="75000"/>
          </a:schemeClr>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MANO DE OBRA</a:t>
          </a:r>
        </a:p>
      </xdr:txBody>
    </xdr:sp>
    <xdr:clientData/>
  </xdr:twoCellAnchor>
  <xdr:twoCellAnchor>
    <xdr:from>
      <xdr:col>8</xdr:col>
      <xdr:colOff>81758</xdr:colOff>
      <xdr:row>1</xdr:row>
      <xdr:rowOff>107682</xdr:rowOff>
    </xdr:from>
    <xdr:to>
      <xdr:col>9</xdr:col>
      <xdr:colOff>493980</xdr:colOff>
      <xdr:row>2</xdr:row>
      <xdr:rowOff>99218</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00000000-0008-0000-5C00-000004000000}"/>
            </a:ext>
          </a:extLst>
        </xdr:cNvPr>
        <xdr:cNvSpPr/>
      </xdr:nvSpPr>
      <xdr:spPr>
        <a:xfrm>
          <a:off x="10359233" y="517257"/>
          <a:ext cx="1002772" cy="191561"/>
        </a:xfrm>
        <a:prstGeom prst="homePlate">
          <a:avLst/>
        </a:prstGeom>
        <a:solidFill>
          <a:srgbClr val="FFFF0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MATERIAL</a:t>
          </a:r>
        </a:p>
      </xdr:txBody>
    </xdr:sp>
    <xdr:clientData/>
  </xdr:twoCellAnchor>
  <xdr:twoCellAnchor>
    <xdr:from>
      <xdr:col>8</xdr:col>
      <xdr:colOff>73293</xdr:colOff>
      <xdr:row>0</xdr:row>
      <xdr:rowOff>119062</xdr:rowOff>
    </xdr:from>
    <xdr:to>
      <xdr:col>9</xdr:col>
      <xdr:colOff>511974</xdr:colOff>
      <xdr:row>0</xdr:row>
      <xdr:rowOff>356092</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00000000-0008-0000-5C00-000005000000}"/>
            </a:ext>
          </a:extLst>
        </xdr:cNvPr>
        <xdr:cNvSpPr/>
      </xdr:nvSpPr>
      <xdr:spPr>
        <a:xfrm>
          <a:off x="10350768" y="119062"/>
          <a:ext cx="1029231" cy="237030"/>
        </a:xfrm>
        <a:prstGeom prst="homePlate">
          <a:avLst/>
        </a:prstGeom>
        <a:solidFill>
          <a:srgbClr val="0070C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OFERTA</a:t>
          </a:r>
        </a:p>
      </xdr:txBody>
    </xdr:sp>
    <xdr:clientData/>
  </xdr:twoCellAnchor>
  <xdr:twoCellAnchor>
    <xdr:from>
      <xdr:col>8</xdr:col>
      <xdr:colOff>73293</xdr:colOff>
      <xdr:row>6</xdr:row>
      <xdr:rowOff>123031</xdr:rowOff>
    </xdr:from>
    <xdr:to>
      <xdr:col>10</xdr:col>
      <xdr:colOff>0</xdr:colOff>
      <xdr:row>7</xdr:row>
      <xdr:rowOff>170656</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0000000-0008-0000-5C00-000006000000}"/>
            </a:ext>
          </a:extLst>
        </xdr:cNvPr>
        <xdr:cNvSpPr/>
      </xdr:nvSpPr>
      <xdr:spPr>
        <a:xfrm>
          <a:off x="10350768" y="1513681"/>
          <a:ext cx="1107807" cy="238125"/>
        </a:xfrm>
        <a:prstGeom prst="homePlate">
          <a:avLst/>
        </a:prstGeom>
        <a:solidFill>
          <a:srgbClr val="FF8F8F"/>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ADMINISTRACION</a:t>
          </a:r>
        </a:p>
      </xdr:txBody>
    </xdr:sp>
    <xdr:clientData/>
  </xdr:twoCellAnchor>
  <xdr:twoCellAnchor>
    <xdr:from>
      <xdr:col>8</xdr:col>
      <xdr:colOff>73293</xdr:colOff>
      <xdr:row>8</xdr:row>
      <xdr:rowOff>75406</xdr:rowOff>
    </xdr:from>
    <xdr:to>
      <xdr:col>10</xdr:col>
      <xdr:colOff>0</xdr:colOff>
      <xdr:row>9</xdr:row>
      <xdr:rowOff>111354</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00000000-0008-0000-5C00-000007000000}"/>
            </a:ext>
          </a:extLst>
        </xdr:cNvPr>
        <xdr:cNvSpPr/>
      </xdr:nvSpPr>
      <xdr:spPr>
        <a:xfrm>
          <a:off x="10350768" y="1847056"/>
          <a:ext cx="1107807" cy="226448"/>
        </a:xfrm>
        <a:prstGeom prst="homePlate">
          <a:avLst/>
        </a:prstGeom>
        <a:solidFill>
          <a:srgbClr val="00B0F0"/>
        </a:solidFill>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CO" sz="1100">
              <a:solidFill>
                <a:schemeClr val="tx1"/>
              </a:solidFill>
            </a:rPr>
            <a:t>DASH</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E:\A_TECNICA_HTEK\09%20OFERTAS%20PROYECTOS%202023\09.%20COLOMBIA\02%20TUPEY\1.%20Boq\20-09\MYT%20ENERGY%20-BOQ%20-%20Electrico-Mec&#225;nico%20Constructivo%20PSFV%20TEPUY%2020-09-2023_REVF%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venciones (No Borrar)"/>
      <sheetName val="Resumen"/>
      <sheetName val="Sheet1"/>
      <sheetName val="BOE Electric - 20MW"/>
      <sheetName val="BOQ Electric 46,2MW"/>
      <sheetName val="BOE Electric 39,6 MW"/>
      <sheetName val="BOQ Electric - TOTAL"/>
      <sheetName val="BOQ Electric - MV&amp;COM"/>
      <sheetName val="BOQ Mecánico"/>
      <sheetName val="Control Room Jobo"/>
      <sheetName val="System Illumination and Ligthni"/>
      <sheetName val="Choke Automation System ESP"/>
      <sheetName val="Choke Automation System VIM 5"/>
      <sheetName val="Compression Betania"/>
      <sheetName val="Manifold Clarinete 2 and 3"/>
      <sheetName val="Slug Catcher Jobo"/>
      <sheetName val="Fire fighting system upgrade"/>
      <sheetName val="Miscellaneous"/>
      <sheetName val="Upgrade Sabanas Line"/>
      <sheetName val="Measurement equipment for gas"/>
    </sheetNames>
    <sheetDataSet>
      <sheetData sheetId="0"/>
      <sheetData sheetId="1"/>
      <sheetData sheetId="2"/>
      <sheetData sheetId="3"/>
      <sheetData sheetId="4"/>
      <sheetData sheetId="5"/>
      <sheetData sheetId="6">
        <row r="69">
          <cell r="P69"/>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mayelysterlingortega/Downloads/TUPEY%20OFERTA%2005:08.xlsm"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uario" refreshedDate="45172.422446412034" createdVersion="7" refreshedVersion="7" minRefreshableVersion="3" recordCount="208" xr:uid="{FB3CECE9-D93F-4D66-95CE-9E1A37E51217}">
  <cacheSource type="worksheet">
    <worksheetSource ref="A5:Z213" sheet="OFERTA" r:id="rId2"/>
  </cacheSource>
  <cacheFields count="26">
    <cacheField name="CAPITULO " numFmtId="0">
      <sharedItems containsBlank="1" count="14">
        <s v="MECANICO"/>
        <s v="ELECTRICO"/>
        <m/>
        <s v="8-Zanja Baja Tension" u="1"/>
        <s v="9-Zanja Media tension" u="1"/>
        <s v="1-Modulos Fotovoltaicos" u="1"/>
        <s v="3-Baja Tension" u="1"/>
        <s v="2-Limpieza de Páneles" u="1"/>
        <s v="4-Media Tension" u="1"/>
        <s v="7-Puesta a Tierra" u="1"/>
        <s v="6-Comunicación y Fibra" u="1"/>
        <s v="1-Instalacion Mecanica" u="1"/>
        <s v="2-Cable solar" u="1"/>
        <s v="5-Combiner boxes" u="1"/>
      </sharedItems>
    </cacheField>
    <cacheField name="ITEM" numFmtId="0">
      <sharedItems containsSemiMixedTypes="0" containsString="0" containsNumber="1" containsInteger="1" minValue="1" maxValue="208" count="208">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sharedItems>
    </cacheField>
    <cacheField name="DESCRIPCION DE LA ACTIVIDAD" numFmtId="0">
      <sharedItems containsBlank="1" longText="1"/>
    </cacheField>
    <cacheField name="UNIDAD" numFmtId="0">
      <sharedItems containsBlank="1"/>
    </cacheField>
    <cacheField name="CANTIDAD" numFmtId="0">
      <sharedItems containsString="0" containsBlank="1" containsNumber="1" minValue="1" maxValue="1155960"/>
    </cacheField>
    <cacheField name="PRECIO UNITARIO" numFmtId="178">
      <sharedItems containsBlank="1" containsMixedTypes="1" containsNumber="1" minValue="1216.1813389122626" maxValue="354578198.4847796"/>
    </cacheField>
    <cacheField name="SUBTOTAL" numFmtId="178">
      <sharedItems containsMixedTypes="1" containsNumber="1" minValue="451431.46908180357" maxValue="14176261645.634943"/>
    </cacheField>
    <cacheField name="% PESO DEL ITEM EN P." numFmtId="10">
      <sharedItems containsMixedTypes="1" containsNumber="1" minValue="1.0207440504156175E-5" maxValue="0.32054333211083297"/>
    </cacheField>
    <cacheField name="OFERTA AJUSTADA 1 " numFmtId="4">
      <sharedItems containsNonDate="0" containsString="0" containsBlank="1"/>
    </cacheField>
    <cacheField name="VALOR TOTAL OFERTA 1" numFmtId="4">
      <sharedItems containsMixedTypes="1" containsNumber="1" containsInteger="1" minValue="0" maxValue="0"/>
    </cacheField>
    <cacheField name="OFERTA AJUSTADA 2" numFmtId="4">
      <sharedItems containsNonDate="0" containsString="0" containsBlank="1"/>
    </cacheField>
    <cacheField name="VALOR TOTAL OFERTA 2" numFmtId="4">
      <sharedItems containsMixedTypes="1" containsNumber="1" containsInteger="1" minValue="0" maxValue="0"/>
    </cacheField>
    <cacheField name="V. UNIT. MAQUINARIA" numFmtId="182">
      <sharedItems containsString="0" containsBlank="1" containsNumber="1" minValue="0" maxValue="46359418.18181818"/>
    </cacheField>
    <cacheField name="V. UNIT.COGBUSTIBLE" numFmtId="182">
      <sharedItems containsSemiMixedTypes="0" containsString="0" containsNumber="1" minValue="0" maxValue="8985600"/>
    </cacheField>
    <cacheField name="V. UNIT. MATERIALES" numFmtId="182">
      <sharedItems containsSemiMixedTypes="0" containsString="0" containsNumber="1" minValue="0" maxValue="7040000"/>
    </cacheField>
    <cacheField name="V. UNIT. MANO DE OBRA" numFmtId="182">
      <sharedItems containsSemiMixedTypes="0" containsString="0" containsNumber="1" minValue="0" maxValue="207855131.05485818"/>
    </cacheField>
    <cacheField name="V.UNIT.DIRECTO" numFmtId="182">
      <sharedItems containsSemiMixedTypes="0" containsString="0" containsNumber="1" minValue="0" maxValue="266600149.23667637"/>
    </cacheField>
    <cacheField name="V.TOTAL. MAQUINARIA " numFmtId="178">
      <sharedItems containsSemiMixedTypes="0" containsString="0" containsNumber="1" minValue="0" maxValue="1387073036.818182"/>
    </cacheField>
    <cacheField name="V.TOTAL. COMBUSTIBLE" numFmtId="178">
      <sharedItems containsSemiMixedTypes="0" containsString="0" containsNumber="1" minValue="0" maxValue="93266640"/>
    </cacheField>
    <cacheField name="V.TOTAL MATERIALES" numFmtId="178">
      <sharedItems containsSemiMixedTypes="0" containsString="0" containsNumber="1" minValue="0" maxValue="8547000000"/>
    </cacheField>
    <cacheField name="V.TOTAL MANO OBRA" numFmtId="178">
      <sharedItems containsSemiMixedTypes="0" containsString="0" containsNumber="1" minValue="0" maxValue="2816519450.1539502"/>
    </cacheField>
    <cacheField name="V.COSTO DIRECTO ITEM" numFmtId="178">
      <sharedItems containsSemiMixedTypes="0" containsString="0" containsNumber="1" minValue="0" maxValue="10658843342.582664"/>
    </cacheField>
    <cacheField name="%MAQUINARIA " numFmtId="10">
      <sharedItems containsSemiMixedTypes="0" containsString="0" containsNumber="1" minValue="0" maxValue="0.43263136832710469"/>
    </cacheField>
    <cacheField name="%COMBUSTIBLE " numFmtId="10">
      <sharedItems containsSemiMixedTypes="0" containsString="0" containsNumber="1" minValue="0" maxValue="0.18270562279225699"/>
    </cacheField>
    <cacheField name="%MATERIALES " numFmtId="10">
      <sharedItems containsSemiMixedTypes="0" containsString="0" containsNumber="1" minValue="0" maxValue="0.67605137937534332"/>
    </cacheField>
    <cacheField name="% MANO DE OBRA " numFmtId="10">
      <sharedItems containsSemiMixedTypes="0" containsString="0" containsNumber="1" minValue="0" maxValue="0.16671251303665796"/>
    </cacheField>
  </cacheFields>
  <extLst>
    <ext xmlns:x14="http://schemas.microsoft.com/office/spreadsheetml/2009/9/main" uri="{725AE2AE-9491-48be-B2B4-4EB974FC3084}">
      <x14:pivotCacheDefinition pivotCacheId="43292164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8">
  <r>
    <x v="0"/>
    <x v="0"/>
    <s v="Movilización, instalación campamento "/>
    <s v="GLB"/>
    <n v="1"/>
    <n v="354578198.4847796"/>
    <n v="354578198.4847796"/>
    <n v="8.017464693956481E-3"/>
    <m/>
    <n v="0"/>
    <m/>
    <n v="0"/>
    <n v="46359418.18181818"/>
    <n v="8985600"/>
    <n v="3400000"/>
    <n v="207855131.05485818"/>
    <n v="266600149.23667637"/>
    <n v="46359418.18181818"/>
    <n v="8985600"/>
    <n v="3400000"/>
    <n v="207855131.05485818"/>
    <n v="266600149.23667637"/>
    <n v="1.4459612428813634E-2"/>
    <n v="1.7602431524949377E-2"/>
    <n v="2.6893350764901918E-4"/>
    <n v="1.2303146439775241E-2"/>
  </r>
  <r>
    <x v="0"/>
    <x v="1"/>
    <s v="Localizacion Topografica del sistema de Hincas"/>
    <s v="UND"/>
    <n v="28786"/>
    <n v="8497.8902036947766"/>
    <n v="244620267.40355784"/>
    <n v="5.5311758188043387E-3"/>
    <m/>
    <n v="0"/>
    <m/>
    <n v="0"/>
    <n v="590.90909090909088"/>
    <n v="345.6"/>
    <n v="226.66666666666666"/>
    <n v="5226.2153730218179"/>
    <n v="6389.3911305975753"/>
    <n v="17009909.09090909"/>
    <n v="9948441.6000000015"/>
    <n v="6524826.666666666"/>
    <n v="150441835.72780606"/>
    <n v="183925013.08538181"/>
    <n v="5.3054309685094687E-3"/>
    <n v="1.9488599764507418E-2"/>
    <n v="5.1610133007897775E-4"/>
    <n v="8.9047979053223751E-3"/>
  </r>
  <r>
    <x v="0"/>
    <x v="2"/>
    <s v="Hincado Directo. El contratista debe garantizar un rendimiento eficiente en este proceso para cumplir con los plazos establecidos. Para lograrlo, es necesario contar con suficientes hincadoras y evitar retrasos en los hitos. Asegurar que los cabezales de las incadoras sean los apropiados para evitar daños físicos en la superficie de golpeado."/>
    <s v="UND"/>
    <n v="28786"/>
    <n v="113770.8561650848"/>
    <n v="3275007865.568131"/>
    <n v="7.4052099217683187E-2"/>
    <m/>
    <n v="0"/>
    <m/>
    <n v="0"/>
    <n v="48185.681818181823"/>
    <n v="3240"/>
    <n v="340"/>
    <n v="33776.315298423295"/>
    <n v="85541.997116605111"/>
    <n v="1387073036.818182"/>
    <n v="93266640"/>
    <n v="9787240"/>
    <n v="972285012.18041301"/>
    <n v="2462411928.9985952"/>
    <n v="0.43263136832710469"/>
    <n v="0.18270562279225699"/>
    <n v="7.7415199511846663E-4"/>
    <n v="5.755049117790198E-2"/>
  </r>
  <r>
    <x v="0"/>
    <x v="3"/>
    <s v="Ensamblaje Preliminar y Montaje de la Estructura. Incluye toda la logística relacionada con el traslado de los elementos &quot;hincas&quot; y &quot;tracker&quot; al lugar de trabajo."/>
    <s v="UND"/>
    <n v="2290"/>
    <n v="1107573.9896201636"/>
    <n v="2536344436.2301745"/>
    <n v="5.7349978244816614E-2"/>
    <m/>
    <n v="0"/>
    <m/>
    <n v="0"/>
    <n v="215761.03896103895"/>
    <n v="37028.571428571428"/>
    <n v="0"/>
    <n v="579972.78782103898"/>
    <n v="832762.39821064938"/>
    <n v="494092779.22077918"/>
    <n v="84795428.571428567"/>
    <n v="0"/>
    <n v="1328137684.1101792"/>
    <n v="1907025891.9023869"/>
    <n v="0.15410870911684191"/>
    <n v="0.16611085793461841"/>
    <n v="0"/>
    <n v="7.861375534423963E-2"/>
  </r>
  <r>
    <x v="0"/>
    <x v="4"/>
    <s v="Alineación y Torsión de la Estructura. El contratista debe disponer de las herramientas y equipos (deben estar calibrados y certificados) necesarios para garantizar la calidad en la ejecución. "/>
    <s v="UND"/>
    <n v="2290"/>
    <n v="310330.97937041405"/>
    <n v="710657942.75824821"/>
    <n v="1.6068881250713939E-2"/>
    <m/>
    <n v="0"/>
    <m/>
    <n v="0"/>
    <n v="0"/>
    <n v="0"/>
    <n v="3465"/>
    <n v="229866.56343640151"/>
    <n v="233331.56343640151"/>
    <n v="0"/>
    <n v="0"/>
    <n v="7934850"/>
    <n v="526394430.26935947"/>
    <n v="534329280.26935947"/>
    <n v="0"/>
    <n v="0"/>
    <n v="6.2763148328494702E-4"/>
    <n v="3.1157795950568699E-2"/>
  </r>
  <r>
    <x v="0"/>
    <x v="5"/>
    <s v="Montaje y Alineación de Módulos. El contratista debe utilizar las guías y accesorios del fabricante que permiten la estricta alienación de los módulos, utilizar las herramientas calibradas adecuadas y aplicar el torque según las tablas de torqueado. El contratista es responsable de la disposición de los residuos generados durante esta actividad y de los empaques como cartón, madera y plástico en el sitio establecido por powerchina."/>
    <s v="UND"/>
    <n v="198720"/>
    <n v="21548.906315579843"/>
    <n v="4282198663.0320263"/>
    <n v="9.6825966007158912E-2"/>
    <m/>
    <n v="0"/>
    <m/>
    <n v="0"/>
    <n v="1485.8787878787878"/>
    <n v="288"/>
    <n v="255"/>
    <n v="14173.306411805304"/>
    <n v="16202.185199684092"/>
    <n v="295273832.72727269"/>
    <n v="57231360"/>
    <n v="50673600"/>
    <n v="2816519450.1539502"/>
    <n v="3219698242.8812227"/>
    <n v="9.2096608392751453E-2"/>
    <n v="0.11211394848198526"/>
    <n v="4.0081849980009819E-3"/>
    <n v="0.16671251303665796"/>
  </r>
  <r>
    <x v="0"/>
    <x v="6"/>
    <s v="Instalacion del Motor. Asegurar el acoplamiento mecánico de todo el sistema servomoter. Utilizando las herramietnas calibradas adecuadas. Seguir estrictamente las instrucciones del manual de instalación del fabricante."/>
    <s v="UND"/>
    <n v="2290"/>
    <n v="735057.68650920049"/>
    <n v="1683282102.1060691"/>
    <n v="3.8061152324861743E-2"/>
    <m/>
    <n v="0"/>
    <m/>
    <n v="0"/>
    <n v="0"/>
    <n v="0"/>
    <n v="12720"/>
    <n v="539954.95226255676"/>
    <n v="552674.95226255676"/>
    <n v="0"/>
    <n v="0"/>
    <n v="29128800"/>
    <n v="1236496840.6812551"/>
    <n v="1265625640.6812551"/>
    <n v="0"/>
    <n v="0"/>
    <n v="2.3040324581196326E-3"/>
    <n v="7.3189445100616146E-2"/>
  </r>
  <r>
    <x v="0"/>
    <x v="7"/>
    <s v="Instalación de NCUS. El contratista debe encargarse de la construcción de la cimentación y el montaje de la estructura y accesorios que garanticen la correcta ubicación y sujeción del equipo.  Seguir estrictamente las instrucciones del manual de instalación del fabricante."/>
    <s v="UND"/>
    <n v="24"/>
    <n v="3184440.0256326636"/>
    <n v="76426560.61518392"/>
    <n v="1.7281018800118484E-3"/>
    <m/>
    <n v="0"/>
    <m/>
    <n v="0"/>
    <n v="0"/>
    <n v="0"/>
    <n v="0"/>
    <n v="2394315.8087463635"/>
    <n v="2394315.8087463635"/>
    <n v="0"/>
    <n v="0"/>
    <n v="0"/>
    <n v="57463579.40991272"/>
    <n v="57463579.40991272"/>
    <n v="0"/>
    <n v="0"/>
    <n v="0"/>
    <n v="3.4013248979993622E-3"/>
  </r>
  <r>
    <x v="0"/>
    <x v="8"/>
    <s v="Instalacion TCU. El contratista debe asegurar la sujeción del equipo a la estrcutra del tracker siguiendo estrictamente las instrucciones del manual de instalación del fabricante."/>
    <s v="UND"/>
    <n v="2290"/>
    <n v="201900.0123889822"/>
    <n v="462351028.37076926"/>
    <n v="1.0454345647921252E-2"/>
    <m/>
    <n v="0"/>
    <m/>
    <n v="0"/>
    <n v="0"/>
    <n v="0"/>
    <n v="0"/>
    <n v="151804.5205932197"/>
    <n v="151804.5205932197"/>
    <n v="0"/>
    <n v="0"/>
    <n v="0"/>
    <n v="347632352.15847313"/>
    <n v="347632352.15847313"/>
    <n v="0"/>
    <n v="0"/>
    <n v="0"/>
    <n v="2.0576695480663463E-2"/>
  </r>
  <r>
    <x v="0"/>
    <x v="9"/>
    <s v="Recomposición, desmovilización y limpieza final"/>
    <s v="Global"/>
    <n v="1"/>
    <n v="216354536.33329886"/>
    <n v="216354536.33329886"/>
    <n v="4.8920516372469728E-3"/>
    <m/>
    <n v="0"/>
    <m/>
    <n v="0"/>
    <n v="46359418.18181818"/>
    <n v="8985600"/>
    <n v="3400000"/>
    <n v="103927565.52742909"/>
    <n v="162672583.70924726"/>
    <n v="46359418.18181818"/>
    <n v="8985600"/>
    <n v="3400000"/>
    <n v="103927565.52742909"/>
    <n v="162672583.70924726"/>
    <n v="1.4459612428813634E-2"/>
    <n v="1.7602431524949377E-2"/>
    <n v="2.6893350764901918E-4"/>
    <n v="6.1515732198876207E-3"/>
  </r>
  <r>
    <x v="1"/>
    <x v="10"/>
    <s v="Conexión de módulos fotovoltaicos con conectores MC4 (Seriado de modulos), incluye suministro de bridas o amarres plásticos con protección UV y certificación de producto RETIE, figurado del cable, corte de puntas sobrantes de las bridas y comprobación de la conexión."/>
    <s v="UN"/>
    <n v="198720"/>
    <n v="9478.1460915415282"/>
    <n v="1883497191.3111324"/>
    <n v="4.2588270505727131E-2"/>
    <m/>
    <n v="0"/>
    <m/>
    <n v="0"/>
    <n v="0"/>
    <n v="0"/>
    <n v="5840"/>
    <n v="1286.4256327379908"/>
    <n v="7126.4256327379908"/>
    <n v="0"/>
    <n v="0"/>
    <n v="1160524800"/>
    <n v="255638501.73769352"/>
    <n v="1416163301.7376935"/>
    <n v="0"/>
    <n v="0"/>
    <n v="9.1795295640493088E-2"/>
    <n v="1.5131490411432254E-2"/>
  </r>
  <r>
    <x v="1"/>
    <x v="11"/>
    <s v="Instalación de cable solar para la conexiónes adicionales entre modulos (salto de rana).  incluye suministro de bridas o amarres plásticos con protección UV y certificación de producto RETIE, figurado del cable, corte de puntas sobrantes de las bridas y comprobación de la conexión."/>
    <s v="ML"/>
    <n v="6120"/>
    <n v="2664.372368054564"/>
    <n v="16305958.892493932"/>
    <n v="3.6869849945748301E-4"/>
    <m/>
    <n v="0"/>
    <m/>
    <n v="0"/>
    <n v="58.109504132231393"/>
    <n v="5.2597402597402594"/>
    <n v="601.6230303030303"/>
    <n v="1338.2952200828659"/>
    <n v="2003.2874947778678"/>
    <n v="355630.16528925614"/>
    <n v="32189.610389610389"/>
    <n v="3681932.9454545453"/>
    <n v="8190366.7469071392"/>
    <n v="12260119.468040552"/>
    <n v="1.1092189159730088E-4"/>
    <n v="6.3058161135362789E-5"/>
    <n v="2.9123386527928698E-4"/>
    <n v="4.8479573716209628E-4"/>
  </r>
  <r>
    <x v="1"/>
    <x v="12"/>
    <s v="Tendido de cable solar 1x6 mm2 ZZ-F 0,6/1kV (1,8 kV DC), incluye tendido aéreo adosado a los trackers y subterraneo por ducto de 2&quot;; incluye suministro de bridas o amarres plásticos con protección UV y certificación de producto RETIE, figurado del cable, corte de puntas sobrantes de las bridas, , marquillado en ambas puntas de cada cable, "/>
    <s v="ML"/>
    <n v="1155960"/>
    <n v="2664.372368054564"/>
    <n v="3079907882.576354"/>
    <n v="6.9640640103410464E-2"/>
    <m/>
    <n v="0"/>
    <m/>
    <n v="0"/>
    <n v="58.109504132231393"/>
    <n v="5.2597402597402594"/>
    <n v="601.6230303030303"/>
    <n v="1338.2952200828659"/>
    <n v="2003.2874947778678"/>
    <n v="67172262.396694198"/>
    <n v="6080049.3506493503"/>
    <n v="695452158.10909092"/>
    <n v="1547015742.6069896"/>
    <n v="2315720212.4634242"/>
    <n v="2.0951187877584296E-2"/>
    <n v="1.1910573847391172E-2"/>
    <n v="5.5008937730105324E-2"/>
    <n v="9.156935953102889E-2"/>
  </r>
  <r>
    <x v="1"/>
    <x v="13"/>
    <s v="Instalación de conector enchufable tipo MC4 para cable 1x6 mm2 ZZ-F 0,6/1kV (1,8 kV DC) Cu (par macho-hembra). Instalación debe incluir el corte, crimpado y conectorización del cable y conexionado a la entrada del inversor o al conector del cable solar a la salida de los strings, según lo indicado en planos."/>
    <s v="UN"/>
    <n v="13248"/>
    <n v="2163.1460915415278"/>
    <n v="28657359.420742162"/>
    <n v="6.4797939737878138E-4"/>
    <m/>
    <n v="0"/>
    <m/>
    <n v="0"/>
    <n v="0"/>
    <n v="0"/>
    <n v="340"/>
    <n v="1286.4256327379908"/>
    <n v="1626.4256327379908"/>
    <n v="0"/>
    <n v="0"/>
    <n v="4504320"/>
    <n v="17042566.782512903"/>
    <n v="21546886.782512903"/>
    <n v="0"/>
    <n v="0"/>
    <n v="3.5628311093342064E-4"/>
    <n v="1.0087660274288169E-3"/>
  </r>
  <r>
    <x v="1"/>
    <x v="14"/>
    <s v="Instalación de conector MC4 tipo Y para cable 1x6 mm2 ZZ-F 0,6/1kV (1,8 kV DC) Cu (par macho-hembra). Instalación debe incluir el corte, crimpado y conectorización del cable "/>
    <s v="UN"/>
    <n v="4580"/>
    <n v="2163.1460915415278"/>
    <n v="9907209.099260198"/>
    <n v="2.2401461654550261E-4"/>
    <m/>
    <n v="0"/>
    <m/>
    <n v="0"/>
    <n v="0"/>
    <n v="0"/>
    <n v="340"/>
    <n v="1286.4256327379908"/>
    <n v="1626.4256327379908"/>
    <n v="0"/>
    <n v="0"/>
    <n v="1557200"/>
    <n v="5891829.3979399977"/>
    <n v="7449029.3979399977"/>
    <n v="0"/>
    <n v="0"/>
    <n v="1.2317154650325079E-4"/>
    <n v="3.4874308617330779E-4"/>
  </r>
  <r>
    <x v="1"/>
    <x v="15"/>
    <s v="Tendido de cable AL/XLPE/CTS/PVC/STA/PVC, 38kV 1 x 630 mm2, incluye transporte en vehículo apropiado desde el centro de acopio del parque hasta el sitio de tendido, tendido dentro de la zanja, suministro e instalación de accesorios de sujeción para formar la terna del circuito, los equipos y accesorios requeridos para el tendido técnico del cable asegurando la protección del personal y la integridad física del cable y todo lo necesario para su correcta ejecución."/>
    <s v="ML"/>
    <n v="17100"/>
    <n v="8607.8790423135615"/>
    <n v="147194731.62356189"/>
    <n v="3.3282603639235432E-3"/>
    <m/>
    <n v="0"/>
    <m/>
    <n v="0"/>
    <n v="656.11471861471853"/>
    <n v="102.85714285714286"/>
    <n v="706.91600000000005"/>
    <n v="5006.2016440270563"/>
    <n v="6472.0895054989178"/>
    <n v="11219561.688311687"/>
    <n v="1758857.142857143"/>
    <n v="12088263.600000001"/>
    <n v="85606048.112862661"/>
    <n v="110672730.5440315"/>
    <n v="3.4994078872581397E-3"/>
    <n v="3.4455308960237448E-3"/>
    <n v="9.5615856803940027E-4"/>
    <n v="5.0671048663456959E-3"/>
  </r>
  <r>
    <x v="1"/>
    <x v="16"/>
    <s v="Tendido de cable  AL/XLPE/CTS/PVC/STA/PVC, 38kV 1 x 400mm2, incluye transporte en vehículo apropiado desde el centro de acopio del parque hasta el sitio de tendido, tendido dentro de la zanja, suministro e instalación de accesorios de sujeción para formar la terna del circuito, los equipos y accesorios requeridos para el tendido técnico del cable asegurando la protección del personal y la integridad física del cable y todo lo necesario para su correcta ejecución."/>
    <s v="ML"/>
    <n v="9000"/>
    <n v="11674.951347238986"/>
    <n v="105074562.12515087"/>
    <n v="2.3758696831088322E-3"/>
    <m/>
    <n v="0"/>
    <m/>
    <n v="0"/>
    <n v="918.56060606060612"/>
    <n v="144"/>
    <n v="706.91600000000005"/>
    <n v="7008.6823016378785"/>
    <n v="8778.1589076984856"/>
    <n v="8267045.4545454551"/>
    <n v="1296000"/>
    <n v="6362244.0000000009"/>
    <n v="63078140.71474091"/>
    <n v="79003430.16928637"/>
    <n v="2.5785110748217876E-3"/>
    <n v="2.538812239175391E-3"/>
    <n v="5.0324135159968435E-4"/>
    <n v="3.733656217307355E-3"/>
  </r>
  <r>
    <x v="1"/>
    <x v="17"/>
    <s v="Tendido de cable AL/XLPE/CTS/PVC/STA/PVC, 38kV 1 x 185mm2, incluye transporte en vehículo apropiado desde el centro de acopio del parque hasta el sitio de tendido, tendido dentro de la zanja, suministro e instalación de accesorios de sujeción para formar la terna del circuito, los equipos y accesorios requeridos para el tendido técnico del cable asegurando la protección del personal y la integridad física del cable y todo lo necesario para su correcta ejecución."/>
    <s v="ML"/>
    <n v="7650"/>
    <n v="19356.262757812328"/>
    <n v="148075410.09726432"/>
    <n v="3.3481736259340384E-3"/>
    <m/>
    <n v="0"/>
    <m/>
    <n v="0"/>
    <m/>
    <n v="154.28571428571428"/>
    <n v="0"/>
    <n v="14553.581020911526"/>
    <n v="14707.86673519724"/>
    <n v="0"/>
    <n v="1180285.7142857143"/>
    <n v="0"/>
    <n v="111334894.80997318"/>
    <n v="112515180.5242589"/>
    <n v="0"/>
    <n v="2.3121325749633024E-3"/>
    <n v="0"/>
    <n v="6.5900202114450379E-3"/>
  </r>
  <r>
    <x v="1"/>
    <x v="18"/>
    <s v="Tendido AL/XLPE/PVC/STA/PVC, 2kV 1 x 400mm2, incluye transporte del carrete en vehículo apropiado desde el centro de acopio del parque hasta el sitio de tendido, tendido dentro de la zanja, suministro e instalación de accesorios de sujeción para formar la terna del circuito, los equipos y accesorios requeridos para el tendido técnico del cable asegurando la protección del personal y la integridad física del cable y todo lo necesario para su correcta ejecución."/>
    <s v="ML"/>
    <n v="224610"/>
    <n v="10462.617597040444"/>
    <n v="2350008538.4712539"/>
    <n v="5.3136686260473256E-2"/>
    <m/>
    <n v="0"/>
    <m/>
    <n v="0"/>
    <n v="765.46717171717182"/>
    <n v="120"/>
    <n v="706.91600000000005"/>
    <n v="6274.2466004936869"/>
    <n v="7866.6297722108593"/>
    <n v="171931581.43939397"/>
    <n v="26953200"/>
    <n v="158780402.76000002"/>
    <n v="1409258528.936887"/>
    <n v="1766923713.136281"/>
    <n v="5.3625867825529798E-2"/>
    <n v="5.2800242318628197E-2"/>
    <n v="1.2559226664756121E-2"/>
    <n v="8.3415376685778045E-2"/>
  </r>
  <r>
    <x v="1"/>
    <x v="19"/>
    <s v="Instalación de conector bimetálico tipo pala para AC-BT 1x400 mm2 según RETIE. Incluye la conexión a la bornera del inversor o al tablero de BT de la Power Station según corresponda, incluye el suministro e instalación de la marquilla del cable, de la sección de termoencogible en el color reuerido según RETIE."/>
    <s v="UN"/>
    <n v="1920"/>
    <n v="79006.637244530226"/>
    <n v="151692743.50949803"/>
    <n v="3.4299661417818445E-3"/>
    <m/>
    <n v="0"/>
    <m/>
    <n v="0"/>
    <n v="0"/>
    <n v="0"/>
    <n v="15158"/>
    <n v="44245.486650022729"/>
    <n v="59403.486650022729"/>
    <n v="0"/>
    <n v="0"/>
    <n v="29103360"/>
    <n v="84951334.368043646"/>
    <n v="114054694.36804365"/>
    <n v="0"/>
    <n v="0"/>
    <n v="2.3020202026976938E-3"/>
    <n v="5.028351725936013E-3"/>
  </r>
  <r>
    <x v="1"/>
    <x v="20"/>
    <s v="Instalación de conector tipo codo de 35kV para de 1x185 mm2 XLPE, 18/30 kV. Incluye el alistamiento del cable y montaje del premoldeado, torqueado según especifación del fabricante,  la conexión a la celda de MT, suministro de elementos de sujección del cable dentro de la celda, figuración técnica del cable, incluye el suministro y marquilla del cable y del termoencogible en el color establecido para cada fase y nivel de tensión según RETIE."/>
    <s v="UN"/>
    <n v="30"/>
    <n v="302411.82735961722"/>
    <n v="9072354.8207885176"/>
    <n v="2.0513749795544772E-4"/>
    <m/>
    <n v="0"/>
    <m/>
    <n v="0"/>
    <n v="18465.909090909092"/>
    <n v="10800"/>
    <n v="48466.666666666664"/>
    <n v="149644.73804664772"/>
    <n v="227377.31380422349"/>
    <n v="553977.27272727271"/>
    <n v="324000"/>
    <n v="1454000"/>
    <n v="4489342.141399432"/>
    <n v="6821319.4141267044"/>
    <n v="1.7278682460145997E-4"/>
    <n v="6.3470305979384774E-4"/>
    <n v="1.1500862356519821E-4"/>
    <n v="2.6572850765620024E-4"/>
  </r>
  <r>
    <x v="1"/>
    <x v="21"/>
    <s v="Instalación de conector tipo codo de 35kV para de 1x400 mm2 XLPE, 18/30 kV. Incluye el alistamiento del cable y montaje del premoldeado, torqueado según especifación del fabricante,  la conexión a la celda de MT, suministro de elementos de sujección del cable dentro de la celda, figuración técnica del cable, incluye el suministro y marquilla del cable y del termoencogible en el color establecido para cada fase y nivel de tensión según RETIE."/>
    <s v="UN"/>
    <n v="42"/>
    <n v="245978.56886890129"/>
    <n v="10331099.892493853"/>
    <n v="2.3359932729017613E-4"/>
    <m/>
    <n v="0"/>
    <m/>
    <n v="0"/>
    <n v="18465.909090909092"/>
    <n v="10800"/>
    <n v="45066.666666666664"/>
    <n v="110613.71662505681"/>
    <n v="184946.29238263256"/>
    <n v="775568.18181818188"/>
    <n v="453600"/>
    <n v="1892800"/>
    <n v="4645776.0982523859"/>
    <n v="7767744.2800705675"/>
    <n v="2.4190155444204399E-4"/>
    <n v="8.8858428371138684E-4"/>
    <n v="1.497168656700187E-4"/>
    <n v="2.7498798501212566E-4"/>
  </r>
  <r>
    <x v="1"/>
    <x v="22"/>
    <s v="Instalación de conector tipo codo de 35kV para de 1x630 mm2 XLPE, 18/30 kV. Incluye el alistamiento del cable y montaje del premoldeado, torqueado según especifación del fabricante,  la conexión a la celda de MT, suministro de elementos de sujección del cable dentro de la celda, figuración técnica del cable, incluye el suministro y marquilla del cable y del termoencogible en el color establecido para cada fase y nivel de tensión según RETIE."/>
    <s v="UN"/>
    <n v="30"/>
    <n v="307991.86960297957"/>
    <n v="9239756.0880893879"/>
    <n v="2.0892265382809765E-4"/>
    <m/>
    <n v="0"/>
    <m/>
    <n v="0"/>
    <n v="24621.21212121212"/>
    <n v="14400"/>
    <n v="45066.666666666664"/>
    <n v="147484.95550007577"/>
    <n v="231572.83428795455"/>
    <n v="738636.36363636365"/>
    <n v="432000"/>
    <n v="1352000"/>
    <n v="4424548.6650022734"/>
    <n v="6947185.0286386367"/>
    <n v="2.3038243280194666E-4"/>
    <n v="8.4627074639179699E-4"/>
    <n v="1.0694061833572763E-4"/>
    <n v="2.6189331905916735E-4"/>
  </r>
  <r>
    <x v="1"/>
    <x v="23"/>
    <s v="Elaboración de Empalme para cable de 1x400 mm2 - XLPE - 18/30 KV según RETIE. Incluye la preparación del cable, la disponibilidad de las herramientas adecuadas, el montaje del empalme según las especificaciones dadas por el fabricante, la figuración del cable dentro de la caja de paso o arqueta conservando la distancia del diametro de curvatura del cable dada por el fabricante."/>
    <s v="UN"/>
    <n v="9"/>
    <n v="3198383.5327017289"/>
    <n v="28785451.794315562"/>
    <n v="6.5087572909651925E-4"/>
    <m/>
    <n v="0"/>
    <m/>
    <n v="0"/>
    <n v="0"/>
    <n v="0"/>
    <n v="2306800"/>
    <n v="97999.648647916663"/>
    <n v="2404799.6486479165"/>
    <n v="0"/>
    <n v="0"/>
    <n v="20761200"/>
    <n v="881996.83783124993"/>
    <n v="21643196.837831251"/>
    <n v="0"/>
    <n v="0"/>
    <n v="1.6421712761772993E-3"/>
    <n v="5.2206246726681113E-5"/>
  </r>
  <r>
    <x v="1"/>
    <x v="24"/>
    <s v="Elaboración de Empalme para cable de 1x630 mm2 - XLPE - 18/30 KV según RETIE. Incluye la preparación del cable, la disponibilidad de las herramientas adecuadas, el montaje del empalme según las especificaciones dadas por el fabricante, la figuración del cable dentro de la caja de paso o arqueta conservando la distancia del diametro de curvatura del cable dada por el fabricante."/>
    <s v="UN"/>
    <n v="6"/>
    <n v="3198383.5327017289"/>
    <n v="19190301.196210373"/>
    <n v="4.3391715273101281E-4"/>
    <m/>
    <n v="0"/>
    <m/>
    <n v="0"/>
    <n v="0"/>
    <n v="0"/>
    <n v="2306800"/>
    <n v="97999.648647916663"/>
    <n v="2404799.6486479165"/>
    <n v="0"/>
    <n v="0"/>
    <n v="13840800"/>
    <n v="587997.89188749995"/>
    <n v="14428797.891887501"/>
    <n v="0"/>
    <n v="0"/>
    <n v="1.0947808507848662E-3"/>
    <n v="3.4804164484454073E-5"/>
  </r>
  <r>
    <x v="1"/>
    <x v="25"/>
    <s v="Fabricación de caja de inspección o arqueta en concreto de 3000 psi de 2x2x1,6 m con tapas en concreto según diseño.  Incluye el suministro e instalación de las campanas en PVC de 6&quot;, sellado de ductos electricos despues del tendido en espuma epoxica, fabricación y montaje de las placas de identificación de la caja (numero de caja, nivel de tensión, riesgo eléctrico).  "/>
    <s v="UN"/>
    <n v="5"/>
    <n v="9111245.08145581"/>
    <n v="45556225.407279052"/>
    <n v="1.0300842814182816E-3"/>
    <m/>
    <n v="0"/>
    <m/>
    <n v="0"/>
    <n v="0"/>
    <n v="0"/>
    <n v="680000"/>
    <n v="6170560.2116209101"/>
    <n v="6850560.2116209101"/>
    <n v="0"/>
    <n v="0"/>
    <n v="3400000"/>
    <n v="30852801.058104552"/>
    <n v="34252801.058104552"/>
    <n v="0"/>
    <n v="0"/>
    <n v="2.6893350764901918E-4"/>
    <n v="1.8262071644261234E-3"/>
  </r>
  <r>
    <x v="1"/>
    <x v="26"/>
    <s v="Instalación del inversor SUN2000-330KTL-H1, incluye el transporte desde el punto de acopio del parque hasta el sitio de montaje, suministro e instalación de soportes metálicos para el inversor, material de fijación, acoples mecánico y demás materiales de la transición entre tubo PVC (enterrado) a metálico (exterior), aplicación de sellado de conductos eléctricos con espuma epoxica, , Incluye las bases en concreto para empotrar los soportes metálicos, la placa de identificación, nivel de tensión, riesgo eléctrico del inversor, suministro y conexión del cable de cobre aislado de tierra del inversor al soporte metálico. Adicionalmente disponer el empaque del inversor en el sitio indicado por Powerchina."/>
    <s v="UN"/>
    <n v="320"/>
    <n v="1241023.0100679994"/>
    <n v="397127363.2217598"/>
    <n v="8.9795555035264325E-3"/>
    <m/>
    <n v="0"/>
    <m/>
    <n v="0"/>
    <n v="73863.636363636368"/>
    <n v="43200"/>
    <n v="61333.333333333336"/>
    <n v="754703.0378729545"/>
    <n v="933100.00756992423"/>
    <n v="23636363.636363637"/>
    <n v="13824000"/>
    <n v="19626666.666666668"/>
    <n v="241504972.11934543"/>
    <n v="298592002.42237568"/>
    <n v="7.372237849662293E-3"/>
    <n v="2.7080663884537504E-2"/>
    <n v="1.5524318559190444E-3"/>
    <n v="1.4294913110102395E-2"/>
  </r>
  <r>
    <x v="1"/>
    <x v="27"/>
    <s v="Instalación de la power station JUPITER-6000K-H1, incluye cargue desde el tractocamión y descargue sobre la cimentación correspondiente,  mediante el uso de maquina tipo grua de gran tonelaje, la disponibilidad del palomier, eslingas y demás accesorios de izaje según el diseño y el plan de izaje especificado por el contratista y aprobado por Powerchina. Incluye material de fijación tipo soldadura en todas las partes definidas por el fabricante, limpieza con epoxico y aplicación de pintura anticorrosiva y galvanizado en los puntos de soldadura, y todo lo necesario para su correcta instalación."/>
    <s v="UN"/>
    <n v="16"/>
    <n v="35478336.757130146"/>
    <n v="567653388.11408234"/>
    <n v="1.2835366125322534E-2"/>
    <m/>
    <n v="0"/>
    <m/>
    <n v="0"/>
    <n v="3272727.2727272729"/>
    <n v="691200"/>
    <n v="7040000"/>
    <n v="15671513.898047272"/>
    <n v="26675441.170774546"/>
    <n v="52363636.363636367"/>
    <n v="11059200"/>
    <n v="112640000"/>
    <n v="250744222.36875635"/>
    <n v="426807058.73239273"/>
    <n v="1.6332342313098002E-2"/>
    <n v="2.1664531107630003E-2"/>
    <n v="8.9096089122310367E-3"/>
    <n v="1.4841793277242612E-2"/>
  </r>
  <r>
    <x v="1"/>
    <x v="28"/>
    <s v="Instalacion de fibra Óptica Monomodo 24xFo. Incluye marquillado de los cables, las pruebas de continuidad y atenuación de la fibra a satisfacción."/>
    <s v="ML"/>
    <n v="30000"/>
    <n v="7844.3361346784313"/>
    <n v="235330084.04035294"/>
    <n v="5.3211129400566647E-3"/>
    <m/>
    <n v="0"/>
    <m/>
    <n v="0"/>
    <n v="293.56060606060612"/>
    <n v="144"/>
    <n v="342.69159999999999"/>
    <n v="5117.7448876825756"/>
    <n v="5897.9970937431817"/>
    <n v="8806818.1818181835"/>
    <n v="4320000"/>
    <n v="10280748"/>
    <n v="153532346.63047728"/>
    <n v="176939912.81229547"/>
    <n v="2.7468674680232105E-3"/>
    <n v="8.4627074639179699E-3"/>
    <n v="8.1318753555754085E-4"/>
    <n v="9.0877282376953146E-3"/>
  </r>
  <r>
    <x v="1"/>
    <x v="29"/>
    <s v="Suminisro e instalacion de conector SC/LC/FC o ST para Fibra Óptica Monomodo 24xFO. La instalación debe incluir el corte, crimpado y conectorización del cable, las pruebas operacionales y la certificación de las conexiones."/>
    <s v="UN"/>
    <n v="50"/>
    <n v="30454.336134678433"/>
    <n v="1522716.8067339216"/>
    <n v="3.443056648449698E-5"/>
    <m/>
    <n v="0"/>
    <m/>
    <n v="0"/>
    <n v="293.56060606060612"/>
    <n v="144"/>
    <n v="17342.691599999998"/>
    <n v="5117.7448876825756"/>
    <n v="22897.997093743183"/>
    <n v="14678.030303030306"/>
    <n v="7200"/>
    <n v="867134.58"/>
    <n v="255887.24438412877"/>
    <n v="1144899.8546871589"/>
    <n v="4.5781124467053513E-6"/>
    <n v="1.4104512439863283E-5"/>
    <n v="6.8588689471517369E-5"/>
    <n v="1.5146213729492189E-5"/>
  </r>
  <r>
    <x v="1"/>
    <x v="30"/>
    <s v="Conexión de las TCU - todas las conexiones electricas y de comunicaciones requeridas para dejar la TCU operativa."/>
    <s v="UN"/>
    <n v="2290"/>
    <n v="89130.418961136078"/>
    <n v="204108659.42100161"/>
    <n v="4.615156762687745E-3"/>
    <m/>
    <n v="0"/>
    <m/>
    <n v="0"/>
    <n v="0"/>
    <n v="0"/>
    <n v="3400"/>
    <n v="63615.352602357947"/>
    <n v="67015.352602357947"/>
    <n v="0"/>
    <n v="0"/>
    <n v="7786000"/>
    <n v="145679157.4593997"/>
    <n v="153465157.4593997"/>
    <n v="0"/>
    <n v="0"/>
    <n v="6.1585773251625396E-4"/>
    <n v="8.622890367681298E-3"/>
  </r>
  <r>
    <x v="1"/>
    <x v="31"/>
    <s v="Connection of pyranometers NCU (sensor trackers) - todas las conexiones requeridas para dejar la NCU operativas"/>
    <s v="UN"/>
    <n v="24"/>
    <n v="109899.11830123466"/>
    <n v="2637578.8392296317"/>
    <n v="5.9639017038883226E-5"/>
    <m/>
    <n v="0"/>
    <m/>
    <n v="0"/>
    <n v="0"/>
    <n v="0"/>
    <n v="14200"/>
    <n v="68430.916015965908"/>
    <n v="82630.916015965908"/>
    <n v="0"/>
    <n v="0"/>
    <n v="340800"/>
    <n v="1642341.9843831817"/>
    <n v="1983141.9843831817"/>
    <n v="0"/>
    <n v="0"/>
    <n v="2.6956629237289925E-5"/>
    <n v="9.7211812070804659E-5"/>
  </r>
  <r>
    <x v="1"/>
    <x v="32"/>
    <s v="Tendido de cable de cobre desnudo 2/0 AWG - clase B,  incluye transporte del carrete en vehículo apropiado desde el centro de acopio del parque hasta el sitio de tendido, tendido dentro de la zanja, los equipos y accesorios requeridos para el tendido técnico del cable asegurando la protección del personal y la integridad física del cable y todo lo necesario para su correcta ejecución."/>
    <s v="ML"/>
    <n v="23172"/>
    <n v="17030.653811385782"/>
    <n v="394634310.11743134"/>
    <n v="8.9231843974360795E-3"/>
    <m/>
    <n v="0"/>
    <m/>
    <n v="0"/>
    <n v="1118.6079545454545"/>
    <n v="270"/>
    <n v="226.66666666666666"/>
    <n v="11189.728244491476"/>
    <n v="12805.002865703598"/>
    <n v="25920383.522727273"/>
    <n v="6256440"/>
    <n v="5252320"/>
    <n v="259288382.88135648"/>
    <n v="296717526.40408373"/>
    <n v="8.0846290666313127E-3"/>
    <n v="1.22561160846192E-2"/>
    <n v="4.1544848261620488E-4"/>
    <n v="1.5347530409917584E-2"/>
  </r>
  <r>
    <x v="1"/>
    <x v="33"/>
    <s v="Tendido de Cable de cobre desnudo 2 AWG, clase B. incluye transporte del carrete en vehículo apropiado desde el centro de acopio del parque hasta el sitio de tendido, tendido dentro de la zanja, los equipos y accesorios requeridos para el tendido técnico del cable asegurando la protección del personal y la integridad física del cable y todo lo necesario para su correcta ejecución."/>
    <s v="ML"/>
    <n v="4588"/>
    <n v="17030.653811385782"/>
    <n v="78136639.686637968"/>
    <n v="1.7667689459449651E-3"/>
    <m/>
    <n v="0"/>
    <m/>
    <n v="0"/>
    <n v="1118.6079545454545"/>
    <n v="270"/>
    <n v="226.66666666666666"/>
    <n v="11189.728244491476"/>
    <n v="12805.002865703598"/>
    <n v="5132173.2954545449"/>
    <n v="1238760"/>
    <n v="1039946.6666666666"/>
    <n v="51338473.185726896"/>
    <n v="58749353.147848107"/>
    <n v="1.6007370169905256E-3"/>
    <n v="2.4266813652784776E-3"/>
    <n v="8.2257795539580008E-5"/>
    <n v="3.0387739306361938E-3"/>
  </r>
  <r>
    <x v="1"/>
    <x v="34"/>
    <s v="Suministro e instalación de puntos de soldadura exotermica para unión entre cable CU 2/0 AWG a cable CU 2/0 AWG, cable CU 1/0AWG a cable 2/0 AWG, Cable CU 2/0AWG a Varilla de cobre 5/8&quot;x2,44 mt. en X, T, horizontal  y demás configuraciones que se indiquen. Marca TECNOWELD, Incluye el suministro de los insumos y el kit de herramientas con sus accesorios. "/>
    <s v="UN"/>
    <n v="1315"/>
    <n v="130631.95110935294"/>
    <n v="171781015.70879912"/>
    <n v="3.8841875626383143E-3"/>
    <m/>
    <n v="0"/>
    <m/>
    <n v="0"/>
    <n v="0"/>
    <n v="0"/>
    <n v="24009.919999999998"/>
    <n v="74209.592112295446"/>
    <n v="98219.512112295444"/>
    <n v="0"/>
    <n v="0"/>
    <n v="31573044.799999997"/>
    <n v="97585613.627668515"/>
    <n v="129158658.42766851"/>
    <n v="0"/>
    <n v="0"/>
    <n v="2.4973675544775367E-3"/>
    <n v="5.7761869470504485E-3"/>
  </r>
  <r>
    <x v="1"/>
    <x v="35"/>
    <s v="Suministro e instalación de perno cabeza hexagonal de 1/2&quot; x 1&quot; con tuerca, arandela de plana y arandela de presión en acero inoxidable."/>
    <s v="UN"/>
    <n v="32"/>
    <n v="14107.233408806362"/>
    <n v="451431.46908180357"/>
    <n v="1.0207440504156175E-5"/>
    <m/>
    <n v="0"/>
    <m/>
    <n v="0"/>
    <n v="0"/>
    <n v="0"/>
    <n v="10260"/>
    <n v="346.9424126363636"/>
    <n v="10606.942412636363"/>
    <n v="0"/>
    <n v="0"/>
    <n v="328320"/>
    <n v="11102.157204363635"/>
    <n v="339422.15720436361"/>
    <n v="0"/>
    <n v="0"/>
    <n v="2.5969485068037052E-5"/>
    <n v="6.5714743335656025E-7"/>
  </r>
  <r>
    <x v="1"/>
    <x v="36"/>
    <s v="Instalación de terminal bimetálico tipo pala de 1 hueco para calibre de 2/0AWG. Incluye el tornillo , tuerca, arandela plana y arandela de presión y la sección del  termoencogible de color verde según RETIE. Adicional la conexión al equipo o estructura según aplique y con el torqueado indicado por el fabricante."/>
    <s v="UN"/>
    <n v="32"/>
    <n v="75021.112506680685"/>
    <n v="2400675.6002137819"/>
    <n v="5.428233306110324E-5"/>
    <m/>
    <n v="0"/>
    <m/>
    <n v="0"/>
    <n v="0"/>
    <n v="0"/>
    <n v="3400"/>
    <n v="53006.851508782463"/>
    <n v="56406.851508782463"/>
    <n v="0"/>
    <n v="0"/>
    <n v="108800"/>
    <n v="1696219.2482810388"/>
    <n v="1805019.2482810388"/>
    <n v="0"/>
    <n v="0"/>
    <n v="8.6058722447686152E-6"/>
    <n v="1.0040085948159389E-4"/>
  </r>
  <r>
    <x v="1"/>
    <x v="37"/>
    <s v="Instalación de conector bimetálico tipo pala de 1 hueco para calibre de 2 AWG. Incluye el tornillo , tuerca, arandela plana y arandela de presión y la sección del  termoencogible de color verde según RETIE. Adicional la conexión al equipo o estructura según aplique y con el torqueado indicado por el fabricante."/>
    <s v="UN"/>
    <n v="60"/>
    <n v="75021.112506680685"/>
    <n v="4501266.7504008412"/>
    <n v="1.0177937448956858E-4"/>
    <m/>
    <n v="0"/>
    <m/>
    <n v="0"/>
    <n v="0"/>
    <n v="0"/>
    <n v="3400"/>
    <n v="53006.851508782463"/>
    <n v="56406.851508782463"/>
    <n v="0"/>
    <n v="0"/>
    <n v="204000"/>
    <n v="3180411.0905269478"/>
    <n v="3384411.0905269478"/>
    <n v="0"/>
    <n v="0"/>
    <n v="1.6136010458941153E-5"/>
    <n v="1.8825161152798855E-4"/>
  </r>
  <r>
    <x v="1"/>
    <x v="38"/>
    <s v="Suministro e instalación de conecor tipo C de compresión en cobre para unión de cables de cobre desnudo de 1/0 AWG, 2 AWG y 6 AWG a 2/0 AWG,  en el SPT. Incluye la herrmienta adecuada para la compresión y la correcta conexión eléctrica."/>
    <s v="UN"/>
    <n v="4790"/>
    <n v="88917.324366476139"/>
    <n v="425913983.71542072"/>
    <n v="9.6304576584037224E-3"/>
    <m/>
    <n v="0"/>
    <m/>
    <n v="0"/>
    <n v="0"/>
    <n v="0"/>
    <n v="25000"/>
    <n v="41855.131102613639"/>
    <n v="66855.131102613639"/>
    <n v="0"/>
    <n v="0"/>
    <n v="119750000"/>
    <n v="200486077.98151934"/>
    <n v="320236077.98151934"/>
    <n v="0"/>
    <n v="0"/>
    <n v="9.471996335579427E-3"/>
    <n v="1.1866965054097371E-2"/>
  </r>
  <r>
    <x v="1"/>
    <x v="39"/>
    <s v="Suministro e instalación de barra de cobre para equipotencialidad de tierra de 12 perforaciones y dimensiones 300x50x10mm ubicada en el sitio indicado por los planos del SPT."/>
    <s v="UN"/>
    <n v="2"/>
    <n v="588873.44688669115"/>
    <n v="1177746.8937733823"/>
    <n v="2.6630357364315875E-5"/>
    <m/>
    <n v="0"/>
    <m/>
    <n v="0"/>
    <n v="0"/>
    <n v="0"/>
    <n v="350000"/>
    <n v="92761.990140369307"/>
    <n v="442761.99014036928"/>
    <n v="0"/>
    <n v="0"/>
    <n v="700000"/>
    <n v="185523.98028073861"/>
    <n v="885523.98028073856"/>
    <n v="0"/>
    <n v="0"/>
    <n v="5.5368663339503954E-5"/>
    <n v="1.0981344005799331E-5"/>
  </r>
  <r>
    <x v="1"/>
    <x v="40"/>
    <s v="Suministro e Instalación de varilla de cobre-cobre 100%, de 5/8&quot; x 2.44 m. Incluye el empleo de las herrramientas adecuadas para el enterramiento de la varilla en tierra, "/>
    <s v="UN"/>
    <n v="72"/>
    <n v="588873.44688669115"/>
    <n v="42398888.175841764"/>
    <n v="9.5869286511537151E-4"/>
    <m/>
    <n v="0"/>
    <m/>
    <n v="0"/>
    <n v="0"/>
    <n v="0"/>
    <n v="350000"/>
    <n v="92761.990140369307"/>
    <n v="442761.99014036928"/>
    <n v="0"/>
    <n v="0"/>
    <n v="25200000"/>
    <n v="6678863.2901065899"/>
    <n v="31878863.290106591"/>
    <n v="0"/>
    <n v="0"/>
    <n v="1.9932718802221422E-3"/>
    <n v="3.9532838420877593E-4"/>
  </r>
  <r>
    <x v="1"/>
    <x v="41"/>
    <s v="Suministro e Instalación de latiguillo de 1.5 m de cable de cobre aislado 1x6AWG de color verde para puesta a tierra entre trackers. Incluye el suministro e instalación del conector bimetálico en ambas puntas del latiguillo para adozar al torque tubo, Incluye el suministro y montaje de bridas o amarres plasticos con protección UV. incluye el mecanizado del torquetubo para la conexión, incluye el tornillo y accesorios que permitan una correcta fijación y aplicación de galvanizado en frío en la zona mecanizada."/>
    <s v="UN"/>
    <n v="1480"/>
    <n v="40253.350134570101"/>
    <n v="59574958.19916375"/>
    <n v="1.3470656855013362E-3"/>
    <m/>
    <n v="0"/>
    <m/>
    <n v="0"/>
    <n v="0"/>
    <n v="0"/>
    <n v="27750"/>
    <n v="2515.6767929098482"/>
    <n v="30265.67679290985"/>
    <n v="0"/>
    <n v="0"/>
    <n v="41070000"/>
    <n v="3723201.6535065756"/>
    <n v="44793201.653506577"/>
    <n v="0"/>
    <n v="0"/>
    <n v="3.2485585762191821E-3"/>
    <n v="2.2037991044741195E-4"/>
  </r>
  <r>
    <x v="1"/>
    <x v="42"/>
    <s v="Instalación de latiguillo de cable de cobre desnudo 1/0 AWG para puesta a tierra de incas seleccionadas por planos, Incluye la instalación del conector bimetálico tipo pala para cable 1/0 AWG y conexión a la inca, tendido del latiguillo hacia la excavación del SPT, la excavación manual desde la inca a la zanja y demás accesorios para fijación en forma correcta."/>
    <s v="UN"/>
    <n v="4500"/>
    <n v="20543.283624997908"/>
    <n v="92444776.312490582"/>
    <n v="2.0902941393276687E-3"/>
    <m/>
    <n v="0"/>
    <m/>
    <n v="0"/>
    <n v="0"/>
    <n v="0"/>
    <n v="971.42857142857144"/>
    <n v="14474.64934210369"/>
    <n v="15446.077913532261"/>
    <n v="0"/>
    <n v="0"/>
    <n v="4371428.5714285718"/>
    <n v="65135922.039466605"/>
    <n v="69507350.610895172"/>
    <n v="0"/>
    <n v="0"/>
    <n v="3.4577165269159617E-4"/>
    <n v="3.8554582861360194E-3"/>
  </r>
  <r>
    <x v="1"/>
    <x v="43"/>
    <s v="Instalación de latiguillo de cable de cobre desnudo 1/0 AWG para puesta a tierra de los inversores, Incluye la instalación del conector bimetálico tipo pala para cable 1/0 AWG y conexión a la estructra de soporte del inversor, tendio del latiguillo en la zanja al SPT y demás accesorios para fijación en forma correcta."/>
    <s v="UN"/>
    <n v="290"/>
    <n v="20543.283624997908"/>
    <n v="5957552.2512493934"/>
    <n v="1.3470784453444975E-4"/>
    <m/>
    <n v="0"/>
    <m/>
    <n v="0"/>
    <n v="0"/>
    <n v="0"/>
    <n v="971.42857142857144"/>
    <n v="14474.64934210369"/>
    <n v="15446.077913532261"/>
    <n v="0"/>
    <n v="0"/>
    <n v="281714.28571428574"/>
    <n v="4197648.3092100704"/>
    <n v="4479362.5949243559"/>
    <n v="0"/>
    <n v="0"/>
    <n v="2.2283062062347306E-5"/>
    <n v="2.4846286732876574E-4"/>
  </r>
  <r>
    <x v="1"/>
    <x v="44"/>
    <s v="Instalación de latiguillo en cable de cobre aislado No. 2 AWG para puesta a tierra de inversor a la estructura metálica de sujeción. Incluye el suministro y montaje del conector bimetálico tipo pala 2 AWG para conectar en ambas puntas del latiguillo. Incluye mecanizado en la estructura metálica, y demás accesorios que permitan la correcta sujeción del cable a la estructura."/>
    <s v="UN"/>
    <n v="290"/>
    <n v="20543.283624997908"/>
    <n v="5957552.2512493934"/>
    <n v="1.3470784453444975E-4"/>
    <m/>
    <n v="0"/>
    <m/>
    <n v="0"/>
    <n v="0"/>
    <n v="0"/>
    <n v="971.42857142857144"/>
    <n v="14474.64934210369"/>
    <n v="15446.077913532261"/>
    <n v="0"/>
    <n v="0"/>
    <n v="281714.28571428574"/>
    <n v="4197648.3092100704"/>
    <n v="4479362.5949243559"/>
    <n v="0"/>
    <n v="0"/>
    <n v="2.2283062062347306E-5"/>
    <n v="2.4846286732876574E-4"/>
  </r>
  <r>
    <x v="1"/>
    <x v="45"/>
    <s v="Suministro e instalacion de cajas de inspección y medida para el SPT. Según REITE."/>
    <s v="UN"/>
    <n v="80"/>
    <n v="290370.7535839011"/>
    <n v="23229660.286712088"/>
    <n v="5.2525220669852237E-4"/>
    <m/>
    <n v="0"/>
    <m/>
    <n v="0"/>
    <n v="0"/>
    <n v="0"/>
    <n v="3400"/>
    <n v="214923.87487511363"/>
    <n v="218323.87487511363"/>
    <n v="0"/>
    <n v="0"/>
    <n v="272000"/>
    <n v="17193909.990009092"/>
    <n v="17465909.990009092"/>
    <n v="0"/>
    <n v="0"/>
    <n v="2.1514680611921536E-5"/>
    <n v="1.017724178401763E-3"/>
  </r>
  <r>
    <x v="1"/>
    <x v="46"/>
    <s v="Zanja tipo 1, 2, 3, 4 MT secciónes 1.35 x 0.72 m y 1.35 x 0.45 m. Incluye el perfilado del contorno de la zanja con las herramietas adecuadas, la disposición del material excavado a 1 metro de la zanja, la separación del descapote o capa orgánica con el resto del material excavado."/>
    <s v="ML"/>
    <n v="6815"/>
    <n v="68412.636878036297"/>
    <n v="466232120.32381737"/>
    <n v="1.0542102080326099E-2"/>
    <m/>
    <n v="0"/>
    <m/>
    <n v="0"/>
    <n v="13636.36363636364"/>
    <n v="4320"/>
    <n v="340"/>
    <n v="33141.709204265157"/>
    <n v="51438.072840628796"/>
    <n v="92931818.181818202"/>
    <n v="29440800"/>
    <n v="2317100"/>
    <n v="225860748.22706705"/>
    <n v="350550466.40888524"/>
    <n v="2.8985654391604925E-2"/>
    <n v="5.7673351366600963E-2"/>
    <n v="1.8327818546280659E-4"/>
    <n v="1.3368916352136708E-2"/>
  </r>
  <r>
    <x v="1"/>
    <x v="47"/>
    <s v="Zanja tipo 1, 2,  BT-AC Secciónes 1.05 x 0.38 m, 1.05 x 0.66m,  Incluye el perfilado del contorno de la zanja con las herramietas adecuadas, la disposición del material excavado a 1 metro de la zanja, la separación del descapote o capa orgánica con el resto del material excavado."/>
    <s v="ML"/>
    <n v="5930"/>
    <n v="27636.37475121452"/>
    <n v="163883702.2747021"/>
    <n v="3.7056192470860572E-3"/>
    <m/>
    <n v="0"/>
    <m/>
    <n v="0"/>
    <n v="5454.5454545454559"/>
    <n v="1728"/>
    <n v="340"/>
    <n v="13256.683681706059"/>
    <n v="20779.229136251517"/>
    <n v="32345454.545454554"/>
    <n v="10247040"/>
    <n v="2016200"/>
    <n v="78612134.23251693"/>
    <n v="123220828.77797148"/>
    <n v="1.0088623949653248E-2"/>
    <n v="2.0073542104413422E-2"/>
    <n v="1.5947757003586838E-4"/>
    <n v="4.6531283326879331E-3"/>
  </r>
  <r>
    <x v="1"/>
    <x v="48"/>
    <s v="Zanja tipo 3, 4, 5, 6  BT-AC Secciónes 1.34 x 0.68 m, 1.34 x 0.96m.  Incluye el perfilado del contorno de la zanja con las herramietas adecuadas, la disposición del material excavado a 1 metro de la zanja, la separación del descapote o capa orgánica con el resto del material excavado."/>
    <s v="ML"/>
    <n v="6505"/>
    <n v="75750.777435878714"/>
    <n v="492758807.22039104"/>
    <n v="1.1141904258096051E-2"/>
    <m/>
    <n v="0"/>
    <m/>
    <n v="0"/>
    <n v="15108.772550406793"/>
    <n v="4786.4591439688711"/>
    <n v="340"/>
    <n v="36720.240061924123"/>
    <n v="56955.471756299783"/>
    <n v="98282565.44039619"/>
    <n v="31135916.731517505"/>
    <n v="2211700"/>
    <n v="238865161.60281643"/>
    <n v="370495343.77473015"/>
    <n v="3.0654565145836924E-2"/>
    <n v="6.0994017342532771E-2"/>
    <n v="1.7494124672568699E-4"/>
    <n v="1.4138660169925791E-2"/>
  </r>
  <r>
    <x v="1"/>
    <x v="49"/>
    <s v="Zanja tipo 7, 8, 9, 10 BT-AC Secciónes 1.34 x 1.26 m, 1.34 x 1.55m. Incluye el perfilado del contorno de la zanja con las herramietas adecuadas, la disposición del material excavado a 1 metro de la zanja, la separación del descapote o capa orgánica con el resto del material excavado."/>
    <s v="ML"/>
    <n v="3545"/>
    <n v="40703.584078438929"/>
    <n v="144294205.55806601"/>
    <n v="3.2626757751829244E-3"/>
    <m/>
    <n v="0"/>
    <m/>
    <n v="0"/>
    <n v="8076.5006138140479"/>
    <n v="2558.6353944562898"/>
    <n v="340"/>
    <n v="19629.062546946901"/>
    <n v="30604.198555217241"/>
    <n v="28631194.6759708"/>
    <n v="9070362.4733475465"/>
    <n v="1205300"/>
    <n v="69585026.728926763"/>
    <n v="108491883.87824512"/>
    <n v="8.930137491475601E-3"/>
    <n v="1.7768477824916605E-2"/>
    <n v="9.5336928461577311E-5"/>
    <n v="4.1188051000564914E-3"/>
  </r>
  <r>
    <x v="1"/>
    <x v="50"/>
    <s v="Zanja tipo 1 y 2  BT-DC secciónes 0.90 x 0,95 m y 1.15 x 0.95m. Incluye el perfilado del contorno de la zanja con las herramietas adecuadas, la disposición del material excavado a 1 metro de la zanja, la separación del descapote o capa orgánica con el resto del material excavado."/>
    <s v="ML"/>
    <n v="7131"/>
    <n v="68412.636878036297"/>
    <n v="487850513.57727683"/>
    <n v="1.1030921487132122E-2"/>
    <m/>
    <n v="0"/>
    <m/>
    <n v="0"/>
    <n v="13636.36363636364"/>
    <n v="4320"/>
    <n v="340"/>
    <n v="33141.709204265157"/>
    <n v="51438.072840628796"/>
    <n v="97240909.090909109"/>
    <n v="30805920"/>
    <n v="2424540"/>
    <n v="236333528.33561483"/>
    <n v="366804897.42652392"/>
    <n v="3.0329670061120282E-2"/>
    <n v="6.0347566925199041E-2"/>
    <n v="1.917764843045156E-4"/>
    <n v="1.398881034586748E-2"/>
  </r>
  <r>
    <x v="1"/>
    <x v="51"/>
    <s v="Suministro e instalación de arena lavada seleccionada (capa 30cm) en las zanjas de tendido de cable eléctrico. Incluye el traslado de la arena desde el únto de acopio temporal al interio de las  zanjas, la utilización de herramientas manuales para esparcir la arena homogéneamente sin causar afectación en los cables eléctricos.  "/>
    <s v="m3"/>
    <n v="6523"/>
    <n v="203881.69803353117"/>
    <n v="1329920316.2727239"/>
    <n v="3.0071192270298863E-2"/>
    <m/>
    <n v="0"/>
    <m/>
    <n v="0"/>
    <n v="16697.588126159557"/>
    <n v="5289.7959183673465"/>
    <n v="96040.000000000015"/>
    <n v="35267.125755120593"/>
    <n v="153294.50979964749"/>
    <n v="108918367.34693879"/>
    <n v="34505338.775510199"/>
    <n v="626468920.00000012"/>
    <n v="230047461.30065164"/>
    <n v="999940087.42310071"/>
    <n v="3.397189697332216E-2"/>
    <n v="6.7594580555677852E-2"/>
    <n v="4.9552495320203775E-2"/>
    <n v="1.3616731952281975E-2"/>
  </r>
  <r>
    <x v="1"/>
    <x v="52"/>
    <s v="Relleno y compactación de zanjas MT, BT-AC y BT-DC de acuerdo a lo establecido en el diseño. Incluye la utilización de equipos adecuados para la compactación dentro de las zanjas. Incluye la ejecución de las pruebas de compactación en cada nivel y presetnación de resultados de las muestras por laboratorio certificado. "/>
    <s v="m3"/>
    <n v="12080"/>
    <n v="37318.666847677734"/>
    <n v="450809495.51994705"/>
    <n v="1.0193376889714936E-2"/>
    <m/>
    <n v="0"/>
    <m/>
    <n v="0"/>
    <n v="6818.1818181818198"/>
    <n v="2160"/>
    <n v="340"/>
    <n v="18740.966187590911"/>
    <n v="28059.148005772731"/>
    <n v="82363636.363636389"/>
    <n v="26092800"/>
    <n v="4107200"/>
    <n v="226390871.5460982"/>
    <n v="338954507.90973461"/>
    <n v="2.5689413429977076E-2"/>
    <n v="5.1114753082064535E-2"/>
    <n v="3.2487167724001517E-4"/>
    <n v="1.340029486462317E-2"/>
  </r>
  <r>
    <x v="1"/>
    <x v="53"/>
    <s v="Suministro e instalacion de cinta roja de precaución dentro de las zanjas a 40cm de profundidad, "/>
    <s v="ML"/>
    <n v="518000"/>
    <n v="1216.1813389122626"/>
    <n v="629981933.55655205"/>
    <n v="1.4244693925638813E-2"/>
    <m/>
    <n v="0"/>
    <m/>
    <n v="0"/>
    <n v="0"/>
    <n v="0"/>
    <n v="150"/>
    <n v="764.42205933252831"/>
    <n v="914.42205933252831"/>
    <n v="0"/>
    <n v="0"/>
    <n v="77700000"/>
    <n v="395970626.73424965"/>
    <n v="473670626.73424965"/>
    <n v="0"/>
    <n v="0"/>
    <n v="6.1459216306849387E-3"/>
    <n v="2.3437884750967707E-2"/>
  </r>
  <r>
    <x v="1"/>
    <x v="54"/>
    <s v="Suministro e instalacion de cinta amarilla de precaución dentro de las zanjas a 20cm de profundidad."/>
    <s v="ML"/>
    <n v="518000"/>
    <n v="27367.300474198732"/>
    <n v="14176261645.634943"/>
    <n v="0.32054333211083297"/>
    <m/>
    <n v="0"/>
    <m/>
    <n v="0"/>
    <n v="0"/>
    <n v="0"/>
    <n v="16500"/>
    <n v="4076.9176497734848"/>
    <n v="20576.917649773484"/>
    <n v="0"/>
    <n v="0"/>
    <n v="8547000000"/>
    <n v="2111843342.5826652"/>
    <n v="10658843342.582664"/>
    <n v="0"/>
    <n v="0"/>
    <n v="0.67605137937534332"/>
    <n v="0.12500205200516112"/>
  </r>
  <r>
    <x v="1"/>
    <x v="55"/>
    <s v="Suministro e instalacion de tuberia PVC tipo DB (2&quot;) de 6m de longitud"/>
    <s v="UN"/>
    <n v="5392.333333333333"/>
    <n v="13971.327600927572"/>
    <n v="75338055.533401772"/>
    <n v="1.7034893936839412E-3"/>
    <m/>
    <n v="0"/>
    <m/>
    <n v="0"/>
    <n v="0"/>
    <n v="0"/>
    <n v="8618"/>
    <n v="1886.7575946823863"/>
    <n v="10504.757594682385"/>
    <n v="0"/>
    <n v="0"/>
    <n v="46471128.666666664"/>
    <n v="10174025.869725654"/>
    <n v="56645154.536392316"/>
    <n v="0"/>
    <n v="0"/>
    <n v="3.6757775402163398E-3"/>
    <n v="6.0221044109928768E-4"/>
  </r>
  <r>
    <x v="1"/>
    <x v="56"/>
    <s v="Suministro e instalación de la tuberia tipo PEAD corrugada de 2&quot; dentro de las zanjas y en las zonas que quedan expuestas. Incluye los elementos de sujeción al piso de la excavación y a la estructura metálica del tracker con cinta bandit.   "/>
    <s v="ML"/>
    <n v="32354"/>
    <n v="13971.327600927572"/>
    <n v="452028333.20041066"/>
    <n v="1.0220936362103647E-2"/>
    <m/>
    <n v="0"/>
    <m/>
    <n v="0"/>
    <n v="0"/>
    <n v="0"/>
    <n v="8618"/>
    <n v="1886.7575946823863"/>
    <n v="10504.757594682385"/>
    <n v="0"/>
    <n v="0"/>
    <n v="278826772"/>
    <n v="61044155.218353927"/>
    <n v="339870927.21835393"/>
    <n v="0"/>
    <n v="0"/>
    <n v="2.2054665241298038E-2"/>
    <n v="3.6132626465957261E-3"/>
  </r>
  <r>
    <x v="1"/>
    <x v="57"/>
    <s v="Suministro e instalacion de tuberia pvc para ductos de cruces viales de  (4&quot;) de 6m de longitud para zanjas BT. Incluye el empate y aplicación de soldadura para PVC. Sujección de los tubos en la zanja para conservar simetrias, campanas a lado y lado del cruce vial. "/>
    <s v="UN"/>
    <n v="54"/>
    <n v="383029.83468464186"/>
    <n v="20683611.072970659"/>
    <n v="4.6768279107320214E-4"/>
    <m/>
    <n v="0"/>
    <m/>
    <n v="0"/>
    <n v="4261.363636363636"/>
    <n v="1350"/>
    <n v="129645.34999999999"/>
    <n v="152735.6432693821"/>
    <n v="287992.35690574569"/>
    <n v="230113.63636363635"/>
    <n v="72900"/>
    <n v="7000848.8999999994"/>
    <n v="8247724.7365466328"/>
    <n v="15551587.272910269"/>
    <n v="7.1772988680606449E-5"/>
    <n v="1.4280818845361574E-4"/>
    <n v="5.5375377976405219E-4"/>
    <n v="4.8819081209935895E-4"/>
  </r>
  <r>
    <x v="1"/>
    <x v="58"/>
    <s v="Suministro e instalacion de tuberia pvc para ductos de cruces viales de  (6&quot;) de 6m de longitud para zanjas MT. Incluye el empate y aplicación de soldadura para PVC. Sujeción de los tubos en la zanja para conservar simetrias, campanas a lado y lado del cruce vial. "/>
    <s v="UN"/>
    <n v="20"/>
    <n v="672432.93585130852"/>
    <n v="13448658.71702617"/>
    <n v="3.0409130314721185E-4"/>
    <m/>
    <n v="0"/>
    <m/>
    <n v="0"/>
    <n v="4261.363636363636"/>
    <n v="1350"/>
    <n v="347241.66666666669"/>
    <n v="152735.6432693821"/>
    <n v="505588.67357241246"/>
    <n v="85227.272727272721"/>
    <n v="27000"/>
    <n v="6944833.333333334"/>
    <n v="3054712.8653876418"/>
    <n v="10111773.47144825"/>
    <n v="2.6582588400224612E-5"/>
    <n v="5.2891921649487312E-5"/>
    <n v="5.4932305540328341E-4"/>
    <n v="1.8081141188865146E-4"/>
  </r>
  <r>
    <x v="1"/>
    <x v="59"/>
    <s v="Suministro y vertimiento Concreto para revestido de zanjas en cruces viales para zanjas BT tipo H"/>
    <s v="m3"/>
    <n v="250"/>
    <n v="2051758.2860989189"/>
    <n v="512939571.52472973"/>
    <n v="1.1598217043254606E-2"/>
    <m/>
    <n v="0"/>
    <m/>
    <n v="0"/>
    <n v="0"/>
    <n v="0"/>
    <n v="1187025"/>
    <n v="355650.40308189392"/>
    <n v="1542675.4030818939"/>
    <n v="0"/>
    <n v="0"/>
    <n v="296756250"/>
    <n v="88912600.77047348"/>
    <n v="385668850.77047348"/>
    <n v="0"/>
    <n v="0"/>
    <n v="2.3472852714490958E-2"/>
    <n v="5.2628229193519369E-3"/>
  </r>
  <r>
    <x v="1"/>
    <x v="60"/>
    <s v="Suministro e instalacion de monolito de señalización 50x0,15x0,15 deberán ser instalados cada 100m en tramos rectos. también  en donde el trazado cambie de dirección."/>
    <s v="UN"/>
    <n v="150"/>
    <n v="1262265.8630568939"/>
    <n v="189339879.45853409"/>
    <n v="4.2812158367428075E-3"/>
    <m/>
    <n v="0"/>
    <m/>
    <n v="0"/>
    <n v="13636.363636363636"/>
    <n v="4320"/>
    <n v="890000"/>
    <n v="41115.71385002273"/>
    <n v="949072.07748638641"/>
    <n v="2045454.5454545454"/>
    <n v="648000"/>
    <n v="133500000"/>
    <n v="6167357.0775034092"/>
    <n v="142360811.62295794"/>
    <n v="6.3798212160539073E-4"/>
    <n v="1.2694061195876955E-3"/>
    <n v="1.0559595079748255E-2"/>
    <n v="3.6505183627573104E-4"/>
  </r>
  <r>
    <x v="1"/>
    <x v="61"/>
    <s v="Montaje de tablero de distribución DC. Incluye el posicionamiento y anclaje físico del tablero en el sitio indicado, el figurado y alambrado de todos los cables que ingresan al tablero, acople de la ductería que llega al tablero, marquillado de todos los cables, MCBs, barrajes y todos los elementos asociados dentro del tablero, suministro y colocación de las placas de identificación del tablero (nombre del tablero, nivle de tensión, riesgo eléctrico)."/>
    <s v="UN"/>
    <n v="1"/>
    <n v="4573580.0573424175"/>
    <n v="4573580.0573424175"/>
    <n v="1.0341447046496937E-4"/>
    <m/>
    <n v="0"/>
    <m/>
    <n v="0"/>
    <n v="0"/>
    <n v="0"/>
    <n v="0"/>
    <n v="3438781.9980018181"/>
    <n v="3438781.9980018181"/>
    <n v="0"/>
    <n v="0"/>
    <n v="0"/>
    <n v="3438781.9980018181"/>
    <n v="3438781.9980018181"/>
    <n v="0"/>
    <n v="0"/>
    <n v="0"/>
    <n v="2.0354483568035258E-4"/>
  </r>
  <r>
    <x v="1"/>
    <x v="62"/>
    <s v="Montaje de tablero de distribución AC. Incluye el posicionamiento y anclaje físico del tablero en el sitio indicado, el figurado y alambrado de todos los cables que ingresan al tablero, acople de la ductería que llega al tablero, marquillado de todos los cables, MCBs, barrajes y todos los elementos asociados dentro del tablero, suministro y colocación de las placas de identificación del tablero (nombre del tablero, nivle de tensión, riesgo eléctrico)."/>
    <s v="UN"/>
    <n v="1"/>
    <n v="4707719.7795624174"/>
    <n v="4707719.7795624174"/>
    <n v="1.0644754043811422E-4"/>
    <m/>
    <n v="0"/>
    <m/>
    <n v="0"/>
    <n v="0"/>
    <n v="0"/>
    <n v="0"/>
    <n v="3539638.932001818"/>
    <n v="3539638.932001818"/>
    <n v="0"/>
    <n v="0"/>
    <n v="0"/>
    <n v="3539638.932001818"/>
    <n v="3539638.932001818"/>
    <n v="0"/>
    <n v="0"/>
    <n v="0"/>
    <n v="2.0951465524733385E-4"/>
  </r>
  <r>
    <x v="1"/>
    <x v="63"/>
    <s v="Montaje de tablero de distribución AC - regulada. Incluye el posicionamiento y anclaje físico del tablero en el sitio indicado, el figurado y alambrado de todos los cables que ingresan al tablero, acople de la ductería que llega al tablero, marquillado de todos los cables, MCBs, barrajes y todos los elementos asociados dentro del tablero, suministro y colocación de las placas de identificación del tablero (nombre del tablero, nivle de tensión, riesgo eléctrico)."/>
    <s v="UN"/>
    <n v="1"/>
    <n v="4707719.7795624174"/>
    <n v="4707719.7795624174"/>
    <n v="1.0644754043811422E-4"/>
    <m/>
    <n v="0"/>
    <m/>
    <n v="0"/>
    <n v="0"/>
    <n v="0"/>
    <n v="0"/>
    <n v="3539638.932001818"/>
    <n v="3539638.932001818"/>
    <n v="0"/>
    <n v="0"/>
    <n v="0"/>
    <n v="3539638.932001818"/>
    <n v="3539638.932001818"/>
    <n v="0"/>
    <n v="0"/>
    <n v="0"/>
    <n v="2.0951465524733385E-4"/>
  </r>
  <r>
    <x v="1"/>
    <x v="64"/>
    <s v="Suministro y montaje de la UPS. Incluye anclaje físico en sitio, aterrizaje del gabinete, conexionado y figurado de los cables de acometidas, marquillado del cableado, placas de identificación del gabinete (nombre del equipo, riesgo eléctrico, nivel de tensión)."/>
    <s v="UN"/>
    <n v="1"/>
    <n v="4707719.7795624174"/>
    <n v="4707719.7795624174"/>
    <n v="1.0644754043811422E-4"/>
    <m/>
    <n v="0"/>
    <m/>
    <n v="0"/>
    <n v="0"/>
    <n v="0"/>
    <n v="0"/>
    <n v="3539638.932001818"/>
    <n v="3539638.932001818"/>
    <n v="0"/>
    <n v="0"/>
    <n v="0"/>
    <n v="3539638.932001818"/>
    <n v="3539638.932001818"/>
    <n v="0"/>
    <n v="0"/>
    <n v="0"/>
    <n v="2.0951465524733385E-4"/>
  </r>
  <r>
    <x v="2"/>
    <x v="65"/>
    <m/>
    <m/>
    <m/>
    <s v=""/>
    <s v=""/>
    <s v=""/>
    <m/>
    <s v=""/>
    <m/>
    <s v=""/>
    <n v="0"/>
    <n v="0"/>
    <n v="0"/>
    <n v="0"/>
    <n v="0"/>
    <n v="0"/>
    <n v="0"/>
    <n v="0"/>
    <n v="0"/>
    <n v="0"/>
    <n v="0"/>
    <n v="0"/>
    <n v="0"/>
    <n v="0"/>
  </r>
  <r>
    <x v="2"/>
    <x v="66"/>
    <m/>
    <m/>
    <m/>
    <s v=""/>
    <s v=""/>
    <s v=""/>
    <m/>
    <s v=""/>
    <m/>
    <s v=""/>
    <n v="0"/>
    <n v="0"/>
    <n v="0"/>
    <n v="0"/>
    <n v="0"/>
    <n v="0"/>
    <n v="0"/>
    <n v="0"/>
    <n v="0"/>
    <n v="0"/>
    <n v="0"/>
    <n v="0"/>
    <n v="0"/>
    <n v="0"/>
  </r>
  <r>
    <x v="2"/>
    <x v="67"/>
    <m/>
    <m/>
    <m/>
    <s v=""/>
    <s v=""/>
    <s v=""/>
    <m/>
    <s v=""/>
    <m/>
    <s v=""/>
    <n v="0"/>
    <n v="0"/>
    <n v="0"/>
    <n v="0"/>
    <n v="0"/>
    <n v="0"/>
    <n v="0"/>
    <n v="0"/>
    <n v="0"/>
    <n v="0"/>
    <n v="0"/>
    <n v="0"/>
    <n v="0"/>
    <n v="0"/>
  </r>
  <r>
    <x v="2"/>
    <x v="68"/>
    <m/>
    <m/>
    <m/>
    <s v=""/>
    <s v=""/>
    <s v=""/>
    <m/>
    <s v=""/>
    <m/>
    <s v=""/>
    <n v="0"/>
    <n v="0"/>
    <n v="0"/>
    <n v="0"/>
    <n v="0"/>
    <n v="0"/>
    <n v="0"/>
    <n v="0"/>
    <n v="0"/>
    <n v="0"/>
    <n v="0"/>
    <n v="0"/>
    <n v="0"/>
    <n v="0"/>
  </r>
  <r>
    <x v="2"/>
    <x v="69"/>
    <m/>
    <m/>
    <m/>
    <s v=""/>
    <s v=""/>
    <s v=""/>
    <m/>
    <s v=""/>
    <m/>
    <s v=""/>
    <n v="0"/>
    <n v="0"/>
    <n v="0"/>
    <n v="0"/>
    <n v="0"/>
    <n v="0"/>
    <n v="0"/>
    <n v="0"/>
    <n v="0"/>
    <n v="0"/>
    <n v="0"/>
    <n v="0"/>
    <n v="0"/>
    <n v="0"/>
  </r>
  <r>
    <x v="2"/>
    <x v="70"/>
    <m/>
    <m/>
    <m/>
    <s v=""/>
    <s v=""/>
    <s v=""/>
    <m/>
    <s v=""/>
    <m/>
    <s v=""/>
    <n v="0"/>
    <n v="0"/>
    <n v="0"/>
    <n v="0"/>
    <n v="0"/>
    <n v="0"/>
    <n v="0"/>
    <n v="0"/>
    <n v="0"/>
    <n v="0"/>
    <n v="0"/>
    <n v="0"/>
    <n v="0"/>
    <n v="0"/>
  </r>
  <r>
    <x v="2"/>
    <x v="71"/>
    <m/>
    <m/>
    <m/>
    <s v=""/>
    <s v=""/>
    <s v=""/>
    <m/>
    <s v=""/>
    <m/>
    <s v=""/>
    <n v="0"/>
    <n v="0"/>
    <n v="0"/>
    <n v="0"/>
    <n v="0"/>
    <n v="0"/>
    <n v="0"/>
    <n v="0"/>
    <n v="0"/>
    <n v="0"/>
    <n v="0"/>
    <n v="0"/>
    <n v="0"/>
    <n v="0"/>
  </r>
  <r>
    <x v="2"/>
    <x v="72"/>
    <m/>
    <m/>
    <m/>
    <s v=""/>
    <s v=""/>
    <s v=""/>
    <m/>
    <s v=""/>
    <m/>
    <s v=""/>
    <n v="0"/>
    <n v="0"/>
    <n v="0"/>
    <n v="0"/>
    <n v="0"/>
    <n v="0"/>
    <n v="0"/>
    <n v="0"/>
    <n v="0"/>
    <n v="0"/>
    <n v="0"/>
    <n v="0"/>
    <n v="0"/>
    <n v="0"/>
  </r>
  <r>
    <x v="2"/>
    <x v="73"/>
    <m/>
    <m/>
    <m/>
    <s v=""/>
    <s v=""/>
    <s v=""/>
    <m/>
    <s v=""/>
    <m/>
    <s v=""/>
    <n v="0"/>
    <n v="0"/>
    <n v="0"/>
    <n v="0"/>
    <n v="0"/>
    <n v="0"/>
    <n v="0"/>
    <n v="0"/>
    <n v="0"/>
    <n v="0"/>
    <n v="0"/>
    <n v="0"/>
    <n v="0"/>
    <n v="0"/>
  </r>
  <r>
    <x v="2"/>
    <x v="74"/>
    <m/>
    <m/>
    <m/>
    <s v=""/>
    <s v=""/>
    <s v=""/>
    <m/>
    <s v=""/>
    <m/>
    <s v=""/>
    <n v="0"/>
    <n v="0"/>
    <n v="0"/>
    <n v="0"/>
    <n v="0"/>
    <n v="0"/>
    <n v="0"/>
    <n v="0"/>
    <n v="0"/>
    <n v="0"/>
    <n v="0"/>
    <n v="0"/>
    <n v="0"/>
    <n v="0"/>
  </r>
  <r>
    <x v="2"/>
    <x v="75"/>
    <m/>
    <m/>
    <m/>
    <s v=""/>
    <s v=""/>
    <s v=""/>
    <m/>
    <s v=""/>
    <m/>
    <s v=""/>
    <n v="0"/>
    <n v="0"/>
    <n v="0"/>
    <n v="0"/>
    <n v="0"/>
    <n v="0"/>
    <n v="0"/>
    <n v="0"/>
    <n v="0"/>
    <n v="0"/>
    <n v="0"/>
    <n v="0"/>
    <n v="0"/>
    <n v="0"/>
  </r>
  <r>
    <x v="2"/>
    <x v="76"/>
    <m/>
    <m/>
    <m/>
    <s v=""/>
    <s v=""/>
    <s v=""/>
    <m/>
    <s v=""/>
    <m/>
    <s v=""/>
    <n v="0"/>
    <n v="0"/>
    <n v="0"/>
    <n v="0"/>
    <n v="0"/>
    <n v="0"/>
    <n v="0"/>
    <n v="0"/>
    <n v="0"/>
    <n v="0"/>
    <n v="0"/>
    <n v="0"/>
    <n v="0"/>
    <n v="0"/>
  </r>
  <r>
    <x v="2"/>
    <x v="77"/>
    <m/>
    <m/>
    <m/>
    <s v=""/>
    <s v=""/>
    <s v=""/>
    <m/>
    <s v=""/>
    <m/>
    <s v=""/>
    <n v="0"/>
    <n v="0"/>
    <n v="0"/>
    <n v="0"/>
    <n v="0"/>
    <n v="0"/>
    <n v="0"/>
    <n v="0"/>
    <n v="0"/>
    <n v="0"/>
    <n v="0"/>
    <n v="0"/>
    <n v="0"/>
    <n v="0"/>
  </r>
  <r>
    <x v="2"/>
    <x v="78"/>
    <m/>
    <m/>
    <m/>
    <s v=""/>
    <s v=""/>
    <s v=""/>
    <m/>
    <s v=""/>
    <m/>
    <s v=""/>
    <n v="0"/>
    <n v="0"/>
    <n v="0"/>
    <n v="0"/>
    <n v="0"/>
    <n v="0"/>
    <n v="0"/>
    <n v="0"/>
    <n v="0"/>
    <n v="0"/>
    <n v="0"/>
    <n v="0"/>
    <n v="0"/>
    <n v="0"/>
  </r>
  <r>
    <x v="2"/>
    <x v="79"/>
    <m/>
    <m/>
    <m/>
    <m/>
    <s v=""/>
    <s v=""/>
    <m/>
    <s v=""/>
    <m/>
    <s v=""/>
    <n v="0"/>
    <n v="0"/>
    <n v="0"/>
    <n v="0"/>
    <n v="0"/>
    <n v="0"/>
    <n v="0"/>
    <n v="0"/>
    <n v="0"/>
    <n v="0"/>
    <n v="0"/>
    <n v="0"/>
    <n v="0"/>
    <n v="0"/>
  </r>
  <r>
    <x v="2"/>
    <x v="80"/>
    <m/>
    <m/>
    <m/>
    <m/>
    <s v=""/>
    <s v=""/>
    <m/>
    <s v=""/>
    <m/>
    <s v=""/>
    <n v="0"/>
    <n v="0"/>
    <n v="0"/>
    <n v="0"/>
    <n v="0"/>
    <n v="0"/>
    <n v="0"/>
    <n v="0"/>
    <n v="0"/>
    <n v="0"/>
    <n v="0"/>
    <n v="0"/>
    <n v="0"/>
    <n v="0"/>
  </r>
  <r>
    <x v="2"/>
    <x v="81"/>
    <m/>
    <m/>
    <m/>
    <m/>
    <s v=""/>
    <s v=""/>
    <m/>
    <s v=""/>
    <m/>
    <s v=""/>
    <n v="0"/>
    <n v="0"/>
    <n v="0"/>
    <n v="0"/>
    <n v="0"/>
    <n v="0"/>
    <n v="0"/>
    <n v="0"/>
    <n v="0"/>
    <n v="0"/>
    <n v="0"/>
    <n v="0"/>
    <n v="0"/>
    <n v="0"/>
  </r>
  <r>
    <x v="2"/>
    <x v="82"/>
    <m/>
    <m/>
    <m/>
    <m/>
    <s v=""/>
    <s v=""/>
    <m/>
    <s v=""/>
    <m/>
    <s v=""/>
    <n v="0"/>
    <n v="0"/>
    <n v="0"/>
    <n v="0"/>
    <n v="0"/>
    <n v="0"/>
    <n v="0"/>
    <n v="0"/>
    <n v="0"/>
    <n v="0"/>
    <n v="0"/>
    <n v="0"/>
    <n v="0"/>
    <n v="0"/>
  </r>
  <r>
    <x v="2"/>
    <x v="83"/>
    <m/>
    <m/>
    <m/>
    <m/>
    <s v=""/>
    <s v=""/>
    <m/>
    <s v=""/>
    <m/>
    <s v=""/>
    <n v="0"/>
    <n v="0"/>
    <n v="0"/>
    <n v="0"/>
    <n v="0"/>
    <n v="0"/>
    <n v="0"/>
    <n v="0"/>
    <n v="0"/>
    <n v="0"/>
    <n v="0"/>
    <n v="0"/>
    <n v="0"/>
    <n v="0"/>
  </r>
  <r>
    <x v="2"/>
    <x v="84"/>
    <m/>
    <m/>
    <m/>
    <m/>
    <s v=""/>
    <s v=""/>
    <m/>
    <s v=""/>
    <m/>
    <s v=""/>
    <n v="0"/>
    <n v="0"/>
    <n v="0"/>
    <n v="0"/>
    <n v="0"/>
    <n v="0"/>
    <n v="0"/>
    <n v="0"/>
    <n v="0"/>
    <n v="0"/>
    <n v="0"/>
    <n v="0"/>
    <n v="0"/>
    <n v="0"/>
  </r>
  <r>
    <x v="2"/>
    <x v="85"/>
    <m/>
    <m/>
    <m/>
    <m/>
    <s v=""/>
    <s v=""/>
    <m/>
    <s v=""/>
    <m/>
    <s v=""/>
    <n v="0"/>
    <n v="0"/>
    <n v="0"/>
    <n v="0"/>
    <n v="0"/>
    <n v="0"/>
    <n v="0"/>
    <n v="0"/>
    <n v="0"/>
    <n v="0"/>
    <n v="0"/>
    <n v="0"/>
    <n v="0"/>
    <n v="0"/>
  </r>
  <r>
    <x v="2"/>
    <x v="86"/>
    <m/>
    <m/>
    <m/>
    <m/>
    <s v=""/>
    <s v=""/>
    <m/>
    <s v=""/>
    <m/>
    <s v=""/>
    <n v="0"/>
    <n v="0"/>
    <n v="0"/>
    <n v="0"/>
    <n v="0"/>
    <n v="0"/>
    <n v="0"/>
    <n v="0"/>
    <n v="0"/>
    <n v="0"/>
    <n v="0"/>
    <n v="0"/>
    <n v="0"/>
    <n v="0"/>
  </r>
  <r>
    <x v="2"/>
    <x v="87"/>
    <m/>
    <m/>
    <m/>
    <m/>
    <s v=""/>
    <s v=""/>
    <m/>
    <s v=""/>
    <m/>
    <s v=""/>
    <n v="0"/>
    <n v="0"/>
    <n v="0"/>
    <n v="0"/>
    <n v="0"/>
    <n v="0"/>
    <n v="0"/>
    <n v="0"/>
    <n v="0"/>
    <n v="0"/>
    <n v="0"/>
    <n v="0"/>
    <n v="0"/>
    <n v="0"/>
  </r>
  <r>
    <x v="2"/>
    <x v="88"/>
    <m/>
    <m/>
    <m/>
    <m/>
    <s v=""/>
    <s v=""/>
    <m/>
    <s v=""/>
    <m/>
    <s v=""/>
    <n v="0"/>
    <n v="0"/>
    <n v="0"/>
    <n v="0"/>
    <n v="0"/>
    <n v="0"/>
    <n v="0"/>
    <n v="0"/>
    <n v="0"/>
    <n v="0"/>
    <n v="0"/>
    <n v="0"/>
    <n v="0"/>
    <n v="0"/>
  </r>
  <r>
    <x v="2"/>
    <x v="89"/>
    <m/>
    <m/>
    <m/>
    <m/>
    <s v=""/>
    <s v=""/>
    <m/>
    <s v=""/>
    <m/>
    <s v=""/>
    <n v="0"/>
    <n v="0"/>
    <n v="0"/>
    <n v="0"/>
    <n v="0"/>
    <n v="0"/>
    <n v="0"/>
    <n v="0"/>
    <n v="0"/>
    <n v="0"/>
    <n v="0"/>
    <n v="0"/>
    <n v="0"/>
    <n v="0"/>
  </r>
  <r>
    <x v="2"/>
    <x v="90"/>
    <m/>
    <m/>
    <m/>
    <m/>
    <s v=""/>
    <s v=""/>
    <m/>
    <s v=""/>
    <m/>
    <s v=""/>
    <n v="0"/>
    <n v="0"/>
    <n v="0"/>
    <n v="0"/>
    <n v="0"/>
    <n v="0"/>
    <n v="0"/>
    <n v="0"/>
    <n v="0"/>
    <n v="0"/>
    <n v="0"/>
    <n v="0"/>
    <n v="0"/>
    <n v="0"/>
  </r>
  <r>
    <x v="2"/>
    <x v="91"/>
    <m/>
    <m/>
    <m/>
    <m/>
    <s v=""/>
    <s v=""/>
    <m/>
    <s v=""/>
    <m/>
    <s v=""/>
    <n v="0"/>
    <n v="0"/>
    <n v="0"/>
    <n v="0"/>
    <n v="0"/>
    <n v="0"/>
    <n v="0"/>
    <n v="0"/>
    <n v="0"/>
    <n v="0"/>
    <n v="0"/>
    <n v="0"/>
    <n v="0"/>
    <n v="0"/>
  </r>
  <r>
    <x v="2"/>
    <x v="92"/>
    <m/>
    <m/>
    <m/>
    <m/>
    <s v=""/>
    <s v=""/>
    <m/>
    <s v=""/>
    <m/>
    <s v=""/>
    <n v="0"/>
    <n v="0"/>
    <n v="0"/>
    <n v="0"/>
    <n v="0"/>
    <n v="0"/>
    <n v="0"/>
    <n v="0"/>
    <n v="0"/>
    <n v="0"/>
    <n v="0"/>
    <n v="0"/>
    <n v="0"/>
    <n v="0"/>
  </r>
  <r>
    <x v="2"/>
    <x v="93"/>
    <m/>
    <m/>
    <m/>
    <m/>
    <s v=""/>
    <s v=""/>
    <m/>
    <s v=""/>
    <m/>
    <s v=""/>
    <n v="0"/>
    <n v="0"/>
    <n v="0"/>
    <n v="0"/>
    <n v="0"/>
    <n v="0"/>
    <n v="0"/>
    <n v="0"/>
    <n v="0"/>
    <n v="0"/>
    <n v="0"/>
    <n v="0"/>
    <n v="0"/>
    <n v="0"/>
  </r>
  <r>
    <x v="2"/>
    <x v="94"/>
    <m/>
    <m/>
    <m/>
    <m/>
    <s v=""/>
    <s v=""/>
    <m/>
    <s v=""/>
    <m/>
    <s v=""/>
    <n v="0"/>
    <n v="0"/>
    <n v="0"/>
    <n v="0"/>
    <n v="0"/>
    <n v="0"/>
    <n v="0"/>
    <n v="0"/>
    <n v="0"/>
    <n v="0"/>
    <n v="0"/>
    <n v="0"/>
    <n v="0"/>
    <n v="0"/>
  </r>
  <r>
    <x v="2"/>
    <x v="95"/>
    <m/>
    <m/>
    <m/>
    <m/>
    <s v=""/>
    <s v=""/>
    <m/>
    <s v=""/>
    <m/>
    <s v=""/>
    <n v="0"/>
    <n v="0"/>
    <n v="0"/>
    <n v="0"/>
    <n v="0"/>
    <n v="0"/>
    <n v="0"/>
    <n v="0"/>
    <n v="0"/>
    <n v="0"/>
    <n v="0"/>
    <n v="0"/>
    <n v="0"/>
    <n v="0"/>
  </r>
  <r>
    <x v="2"/>
    <x v="96"/>
    <m/>
    <m/>
    <m/>
    <m/>
    <s v=""/>
    <s v=""/>
    <m/>
    <s v=""/>
    <m/>
    <s v=""/>
    <n v="0"/>
    <n v="0"/>
    <n v="0"/>
    <n v="0"/>
    <n v="0"/>
    <n v="0"/>
    <n v="0"/>
    <n v="0"/>
    <n v="0"/>
    <n v="0"/>
    <n v="0"/>
    <n v="0"/>
    <n v="0"/>
    <n v="0"/>
  </r>
  <r>
    <x v="2"/>
    <x v="97"/>
    <m/>
    <m/>
    <m/>
    <m/>
    <s v=""/>
    <s v=""/>
    <m/>
    <s v=""/>
    <m/>
    <s v=""/>
    <n v="0"/>
    <n v="0"/>
    <n v="0"/>
    <n v="0"/>
    <n v="0"/>
    <n v="0"/>
    <n v="0"/>
    <n v="0"/>
    <n v="0"/>
    <n v="0"/>
    <n v="0"/>
    <n v="0"/>
    <n v="0"/>
    <n v="0"/>
  </r>
  <r>
    <x v="2"/>
    <x v="98"/>
    <m/>
    <m/>
    <m/>
    <m/>
    <s v=""/>
    <s v=""/>
    <m/>
    <s v=""/>
    <m/>
    <s v=""/>
    <n v="0"/>
    <n v="0"/>
    <n v="0"/>
    <n v="0"/>
    <n v="0"/>
    <n v="0"/>
    <n v="0"/>
    <n v="0"/>
    <n v="0"/>
    <n v="0"/>
    <n v="0"/>
    <n v="0"/>
    <n v="0"/>
    <n v="0"/>
  </r>
  <r>
    <x v="2"/>
    <x v="99"/>
    <m/>
    <m/>
    <m/>
    <m/>
    <s v=""/>
    <s v=""/>
    <m/>
    <s v=""/>
    <m/>
    <s v=""/>
    <n v="0"/>
    <n v="0"/>
    <n v="0"/>
    <n v="0"/>
    <n v="0"/>
    <n v="0"/>
    <n v="0"/>
    <n v="0"/>
    <n v="0"/>
    <n v="0"/>
    <n v="0"/>
    <n v="0"/>
    <n v="0"/>
    <n v="0"/>
  </r>
  <r>
    <x v="2"/>
    <x v="100"/>
    <m/>
    <m/>
    <m/>
    <m/>
    <s v=""/>
    <s v=""/>
    <m/>
    <s v=""/>
    <m/>
    <s v=""/>
    <n v="0"/>
    <n v="0"/>
    <n v="0"/>
    <n v="0"/>
    <n v="0"/>
    <n v="0"/>
    <n v="0"/>
    <n v="0"/>
    <n v="0"/>
    <n v="0"/>
    <n v="0"/>
    <n v="0"/>
    <n v="0"/>
    <n v="0"/>
  </r>
  <r>
    <x v="2"/>
    <x v="101"/>
    <m/>
    <m/>
    <m/>
    <m/>
    <s v=""/>
    <s v=""/>
    <m/>
    <s v=""/>
    <m/>
    <s v=""/>
    <n v="0"/>
    <n v="0"/>
    <n v="0"/>
    <n v="0"/>
    <n v="0"/>
    <n v="0"/>
    <n v="0"/>
    <n v="0"/>
    <n v="0"/>
    <n v="0"/>
    <n v="0"/>
    <n v="0"/>
    <n v="0"/>
    <n v="0"/>
  </r>
  <r>
    <x v="2"/>
    <x v="102"/>
    <m/>
    <m/>
    <m/>
    <m/>
    <s v=""/>
    <s v=""/>
    <m/>
    <s v=""/>
    <m/>
    <s v=""/>
    <n v="0"/>
    <n v="0"/>
    <n v="0"/>
    <n v="0"/>
    <n v="0"/>
    <n v="0"/>
    <n v="0"/>
    <n v="0"/>
    <n v="0"/>
    <n v="0"/>
    <n v="0"/>
    <n v="0"/>
    <n v="0"/>
    <n v="0"/>
  </r>
  <r>
    <x v="2"/>
    <x v="103"/>
    <m/>
    <m/>
    <m/>
    <m/>
    <s v=""/>
    <s v=""/>
    <m/>
    <s v=""/>
    <m/>
    <s v=""/>
    <n v="0"/>
    <n v="0"/>
    <n v="0"/>
    <n v="0"/>
    <n v="0"/>
    <n v="0"/>
    <n v="0"/>
    <n v="0"/>
    <n v="0"/>
    <n v="0"/>
    <n v="0"/>
    <n v="0"/>
    <n v="0"/>
    <n v="0"/>
  </r>
  <r>
    <x v="2"/>
    <x v="104"/>
    <m/>
    <m/>
    <m/>
    <m/>
    <s v=""/>
    <s v=""/>
    <m/>
    <s v=""/>
    <m/>
    <s v=""/>
    <n v="0"/>
    <n v="0"/>
    <n v="0"/>
    <n v="0"/>
    <n v="0"/>
    <n v="0"/>
    <n v="0"/>
    <n v="0"/>
    <n v="0"/>
    <n v="0"/>
    <n v="0"/>
    <n v="0"/>
    <n v="0"/>
    <n v="0"/>
  </r>
  <r>
    <x v="2"/>
    <x v="105"/>
    <m/>
    <m/>
    <m/>
    <m/>
    <s v=""/>
    <s v=""/>
    <m/>
    <s v=""/>
    <m/>
    <s v=""/>
    <n v="0"/>
    <n v="0"/>
    <n v="0"/>
    <n v="0"/>
    <n v="0"/>
    <n v="0"/>
    <n v="0"/>
    <n v="0"/>
    <n v="0"/>
    <n v="0"/>
    <n v="0"/>
    <n v="0"/>
    <n v="0"/>
    <n v="0"/>
  </r>
  <r>
    <x v="2"/>
    <x v="106"/>
    <m/>
    <m/>
    <m/>
    <m/>
    <s v=""/>
    <s v=""/>
    <m/>
    <s v=""/>
    <m/>
    <s v=""/>
    <n v="0"/>
    <n v="0"/>
    <n v="0"/>
    <n v="0"/>
    <n v="0"/>
    <n v="0"/>
    <n v="0"/>
    <n v="0"/>
    <n v="0"/>
    <n v="0"/>
    <n v="0"/>
    <n v="0"/>
    <n v="0"/>
    <n v="0"/>
  </r>
  <r>
    <x v="2"/>
    <x v="107"/>
    <m/>
    <m/>
    <m/>
    <m/>
    <s v=""/>
    <s v=""/>
    <m/>
    <s v=""/>
    <m/>
    <s v=""/>
    <n v="0"/>
    <n v="0"/>
    <n v="0"/>
    <n v="0"/>
    <n v="0"/>
    <n v="0"/>
    <n v="0"/>
    <n v="0"/>
    <n v="0"/>
    <n v="0"/>
    <n v="0"/>
    <n v="0"/>
    <n v="0"/>
    <n v="0"/>
  </r>
  <r>
    <x v="2"/>
    <x v="108"/>
    <m/>
    <m/>
    <m/>
    <m/>
    <s v=""/>
    <s v=""/>
    <m/>
    <s v=""/>
    <m/>
    <s v=""/>
    <n v="0"/>
    <n v="0"/>
    <n v="0"/>
    <n v="0"/>
    <n v="0"/>
    <n v="0"/>
    <n v="0"/>
    <n v="0"/>
    <n v="0"/>
    <n v="0"/>
    <n v="0"/>
    <n v="0"/>
    <n v="0"/>
    <n v="0"/>
  </r>
  <r>
    <x v="2"/>
    <x v="109"/>
    <m/>
    <m/>
    <m/>
    <m/>
    <s v=""/>
    <s v=""/>
    <m/>
    <s v=""/>
    <m/>
    <s v=""/>
    <n v="0"/>
    <n v="0"/>
    <n v="0"/>
    <n v="0"/>
    <n v="0"/>
    <n v="0"/>
    <n v="0"/>
    <n v="0"/>
    <n v="0"/>
    <n v="0"/>
    <n v="0"/>
    <n v="0"/>
    <n v="0"/>
    <n v="0"/>
  </r>
  <r>
    <x v="2"/>
    <x v="110"/>
    <m/>
    <m/>
    <m/>
    <m/>
    <s v=""/>
    <s v=""/>
    <m/>
    <s v=""/>
    <m/>
    <s v=""/>
    <n v="0"/>
    <n v="0"/>
    <n v="0"/>
    <n v="0"/>
    <n v="0"/>
    <n v="0"/>
    <n v="0"/>
    <n v="0"/>
    <n v="0"/>
    <n v="0"/>
    <n v="0"/>
    <n v="0"/>
    <n v="0"/>
    <n v="0"/>
  </r>
  <r>
    <x v="2"/>
    <x v="111"/>
    <m/>
    <m/>
    <m/>
    <m/>
    <s v=""/>
    <s v=""/>
    <m/>
    <s v=""/>
    <m/>
    <s v=""/>
    <n v="0"/>
    <n v="0"/>
    <n v="0"/>
    <n v="0"/>
    <n v="0"/>
    <n v="0"/>
    <n v="0"/>
    <n v="0"/>
    <n v="0"/>
    <n v="0"/>
    <n v="0"/>
    <n v="0"/>
    <n v="0"/>
    <n v="0"/>
  </r>
  <r>
    <x v="2"/>
    <x v="112"/>
    <m/>
    <m/>
    <m/>
    <m/>
    <s v=""/>
    <s v=""/>
    <m/>
    <s v=""/>
    <m/>
    <s v=""/>
    <n v="0"/>
    <n v="0"/>
    <n v="0"/>
    <n v="0"/>
    <n v="0"/>
    <n v="0"/>
    <n v="0"/>
    <n v="0"/>
    <n v="0"/>
    <n v="0"/>
    <n v="0"/>
    <n v="0"/>
    <n v="0"/>
    <n v="0"/>
  </r>
  <r>
    <x v="2"/>
    <x v="113"/>
    <m/>
    <m/>
    <m/>
    <m/>
    <s v=""/>
    <s v=""/>
    <m/>
    <s v=""/>
    <m/>
    <s v=""/>
    <n v="0"/>
    <n v="0"/>
    <n v="0"/>
    <n v="0"/>
    <n v="0"/>
    <n v="0"/>
    <n v="0"/>
    <n v="0"/>
    <n v="0"/>
    <n v="0"/>
    <n v="0"/>
    <n v="0"/>
    <n v="0"/>
    <n v="0"/>
  </r>
  <r>
    <x v="2"/>
    <x v="114"/>
    <m/>
    <m/>
    <m/>
    <m/>
    <s v=""/>
    <s v=""/>
    <m/>
    <s v=""/>
    <m/>
    <s v=""/>
    <n v="0"/>
    <n v="0"/>
    <n v="0"/>
    <n v="0"/>
    <n v="0"/>
    <n v="0"/>
    <n v="0"/>
    <n v="0"/>
    <n v="0"/>
    <n v="0"/>
    <n v="0"/>
    <n v="0"/>
    <n v="0"/>
    <n v="0"/>
  </r>
  <r>
    <x v="2"/>
    <x v="115"/>
    <m/>
    <m/>
    <m/>
    <m/>
    <s v=""/>
    <s v=""/>
    <m/>
    <s v=""/>
    <m/>
    <s v=""/>
    <n v="0"/>
    <n v="0"/>
    <n v="0"/>
    <n v="0"/>
    <n v="0"/>
    <n v="0"/>
    <n v="0"/>
    <n v="0"/>
    <n v="0"/>
    <n v="0"/>
    <n v="0"/>
    <n v="0"/>
    <n v="0"/>
    <n v="0"/>
  </r>
  <r>
    <x v="2"/>
    <x v="116"/>
    <m/>
    <m/>
    <m/>
    <m/>
    <s v=""/>
    <s v=""/>
    <m/>
    <s v=""/>
    <m/>
    <s v=""/>
    <n v="0"/>
    <n v="0"/>
    <n v="0"/>
    <n v="0"/>
    <n v="0"/>
    <n v="0"/>
    <n v="0"/>
    <n v="0"/>
    <n v="0"/>
    <n v="0"/>
    <n v="0"/>
    <n v="0"/>
    <n v="0"/>
    <n v="0"/>
  </r>
  <r>
    <x v="2"/>
    <x v="117"/>
    <m/>
    <m/>
    <m/>
    <m/>
    <s v=""/>
    <s v=""/>
    <m/>
    <s v=""/>
    <m/>
    <s v=""/>
    <n v="0"/>
    <n v="0"/>
    <n v="0"/>
    <n v="0"/>
    <n v="0"/>
    <n v="0"/>
    <n v="0"/>
    <n v="0"/>
    <n v="0"/>
    <n v="0"/>
    <n v="0"/>
    <n v="0"/>
    <n v="0"/>
    <n v="0"/>
  </r>
  <r>
    <x v="2"/>
    <x v="118"/>
    <m/>
    <m/>
    <m/>
    <m/>
    <s v=""/>
    <s v=""/>
    <m/>
    <s v=""/>
    <m/>
    <s v=""/>
    <n v="0"/>
    <n v="0"/>
    <n v="0"/>
    <n v="0"/>
    <n v="0"/>
    <n v="0"/>
    <n v="0"/>
    <n v="0"/>
    <n v="0"/>
    <n v="0"/>
    <n v="0"/>
    <n v="0"/>
    <n v="0"/>
    <n v="0"/>
  </r>
  <r>
    <x v="2"/>
    <x v="119"/>
    <m/>
    <m/>
    <m/>
    <m/>
    <s v=""/>
    <s v=""/>
    <m/>
    <s v=""/>
    <m/>
    <s v=""/>
    <n v="0"/>
    <n v="0"/>
    <n v="0"/>
    <n v="0"/>
    <n v="0"/>
    <n v="0"/>
    <n v="0"/>
    <n v="0"/>
    <n v="0"/>
    <n v="0"/>
    <n v="0"/>
    <n v="0"/>
    <n v="0"/>
    <n v="0"/>
  </r>
  <r>
    <x v="2"/>
    <x v="120"/>
    <m/>
    <m/>
    <m/>
    <m/>
    <s v=""/>
    <s v=""/>
    <m/>
    <s v=""/>
    <m/>
    <s v=""/>
    <n v="0"/>
    <n v="0"/>
    <n v="0"/>
    <n v="0"/>
    <n v="0"/>
    <n v="0"/>
    <n v="0"/>
    <n v="0"/>
    <n v="0"/>
    <n v="0"/>
    <n v="0"/>
    <n v="0"/>
    <n v="0"/>
    <n v="0"/>
  </r>
  <r>
    <x v="2"/>
    <x v="121"/>
    <m/>
    <m/>
    <m/>
    <m/>
    <s v=""/>
    <s v=""/>
    <m/>
    <s v=""/>
    <m/>
    <s v=""/>
    <n v="0"/>
    <n v="0"/>
    <n v="0"/>
    <n v="0"/>
    <n v="0"/>
    <n v="0"/>
    <n v="0"/>
    <n v="0"/>
    <n v="0"/>
    <n v="0"/>
    <n v="0"/>
    <n v="0"/>
    <n v="0"/>
    <n v="0"/>
  </r>
  <r>
    <x v="2"/>
    <x v="122"/>
    <m/>
    <m/>
    <m/>
    <m/>
    <s v=""/>
    <s v=""/>
    <m/>
    <s v=""/>
    <m/>
    <s v=""/>
    <n v="0"/>
    <n v="0"/>
    <n v="0"/>
    <n v="0"/>
    <n v="0"/>
    <n v="0"/>
    <n v="0"/>
    <n v="0"/>
    <n v="0"/>
    <n v="0"/>
    <n v="0"/>
    <n v="0"/>
    <n v="0"/>
    <n v="0"/>
  </r>
  <r>
    <x v="2"/>
    <x v="123"/>
    <m/>
    <m/>
    <m/>
    <m/>
    <s v=""/>
    <s v=""/>
    <m/>
    <s v=""/>
    <m/>
    <s v=""/>
    <n v="0"/>
    <n v="0"/>
    <n v="0"/>
    <n v="0"/>
    <n v="0"/>
    <n v="0"/>
    <n v="0"/>
    <n v="0"/>
    <n v="0"/>
    <n v="0"/>
    <n v="0"/>
    <n v="0"/>
    <n v="0"/>
    <n v="0"/>
  </r>
  <r>
    <x v="2"/>
    <x v="124"/>
    <m/>
    <m/>
    <m/>
    <m/>
    <s v=""/>
    <s v=""/>
    <m/>
    <s v=""/>
    <m/>
    <s v=""/>
    <n v="0"/>
    <n v="0"/>
    <n v="0"/>
    <n v="0"/>
    <n v="0"/>
    <n v="0"/>
    <n v="0"/>
    <n v="0"/>
    <n v="0"/>
    <n v="0"/>
    <n v="0"/>
    <n v="0"/>
    <n v="0"/>
    <n v="0"/>
  </r>
  <r>
    <x v="2"/>
    <x v="125"/>
    <m/>
    <m/>
    <m/>
    <m/>
    <s v=""/>
    <s v=""/>
    <m/>
    <s v=""/>
    <m/>
    <s v=""/>
    <n v="0"/>
    <n v="0"/>
    <n v="0"/>
    <n v="0"/>
    <n v="0"/>
    <n v="0"/>
    <n v="0"/>
    <n v="0"/>
    <n v="0"/>
    <n v="0"/>
    <n v="0"/>
    <n v="0"/>
    <n v="0"/>
    <n v="0"/>
  </r>
  <r>
    <x v="2"/>
    <x v="126"/>
    <m/>
    <m/>
    <m/>
    <m/>
    <s v=""/>
    <s v=""/>
    <m/>
    <s v=""/>
    <m/>
    <s v=""/>
    <n v="0"/>
    <n v="0"/>
    <n v="0"/>
    <n v="0"/>
    <n v="0"/>
    <n v="0"/>
    <n v="0"/>
    <n v="0"/>
    <n v="0"/>
    <n v="0"/>
    <n v="0"/>
    <n v="0"/>
    <n v="0"/>
    <n v="0"/>
  </r>
  <r>
    <x v="2"/>
    <x v="127"/>
    <m/>
    <m/>
    <m/>
    <m/>
    <s v=""/>
    <s v=""/>
    <m/>
    <s v=""/>
    <m/>
    <s v=""/>
    <n v="0"/>
    <n v="0"/>
    <n v="0"/>
    <n v="0"/>
    <n v="0"/>
    <n v="0"/>
    <n v="0"/>
    <n v="0"/>
    <n v="0"/>
    <n v="0"/>
    <n v="0"/>
    <n v="0"/>
    <n v="0"/>
    <n v="0"/>
  </r>
  <r>
    <x v="2"/>
    <x v="128"/>
    <m/>
    <m/>
    <m/>
    <m/>
    <s v=""/>
    <s v=""/>
    <m/>
    <s v=""/>
    <m/>
    <s v=""/>
    <n v="0"/>
    <n v="0"/>
    <n v="0"/>
    <n v="0"/>
    <n v="0"/>
    <n v="0"/>
    <n v="0"/>
    <n v="0"/>
    <n v="0"/>
    <n v="0"/>
    <n v="0"/>
    <n v="0"/>
    <n v="0"/>
    <n v="0"/>
  </r>
  <r>
    <x v="2"/>
    <x v="129"/>
    <m/>
    <m/>
    <m/>
    <m/>
    <s v=""/>
    <s v=""/>
    <m/>
    <s v=""/>
    <m/>
    <s v=""/>
    <n v="0"/>
    <n v="0"/>
    <n v="0"/>
    <n v="0"/>
    <n v="0"/>
    <n v="0"/>
    <n v="0"/>
    <n v="0"/>
    <n v="0"/>
    <n v="0"/>
    <n v="0"/>
    <n v="0"/>
    <n v="0"/>
    <n v="0"/>
  </r>
  <r>
    <x v="2"/>
    <x v="130"/>
    <m/>
    <m/>
    <m/>
    <m/>
    <s v=""/>
    <s v=""/>
    <m/>
    <s v=""/>
    <m/>
    <s v=""/>
    <n v="0"/>
    <n v="0"/>
    <n v="0"/>
    <n v="0"/>
    <n v="0"/>
    <n v="0"/>
    <n v="0"/>
    <n v="0"/>
    <n v="0"/>
    <n v="0"/>
    <n v="0"/>
    <n v="0"/>
    <n v="0"/>
    <n v="0"/>
  </r>
  <r>
    <x v="2"/>
    <x v="131"/>
    <m/>
    <m/>
    <m/>
    <m/>
    <s v=""/>
    <s v=""/>
    <m/>
    <s v=""/>
    <m/>
    <s v=""/>
    <n v="0"/>
    <n v="0"/>
    <n v="0"/>
    <n v="0"/>
    <n v="0"/>
    <n v="0"/>
    <n v="0"/>
    <n v="0"/>
    <n v="0"/>
    <n v="0"/>
    <n v="0"/>
    <n v="0"/>
    <n v="0"/>
    <n v="0"/>
  </r>
  <r>
    <x v="2"/>
    <x v="132"/>
    <m/>
    <m/>
    <m/>
    <m/>
    <s v=""/>
    <s v=""/>
    <m/>
    <s v=""/>
    <m/>
    <s v=""/>
    <n v="0"/>
    <n v="0"/>
    <n v="0"/>
    <n v="0"/>
    <n v="0"/>
    <n v="0"/>
    <n v="0"/>
    <n v="0"/>
    <n v="0"/>
    <n v="0"/>
    <n v="0"/>
    <n v="0"/>
    <n v="0"/>
    <n v="0"/>
  </r>
  <r>
    <x v="2"/>
    <x v="133"/>
    <m/>
    <m/>
    <m/>
    <m/>
    <s v=""/>
    <s v=""/>
    <m/>
    <s v=""/>
    <m/>
    <s v=""/>
    <n v="0"/>
    <n v="0"/>
    <n v="0"/>
    <n v="0"/>
    <n v="0"/>
    <n v="0"/>
    <n v="0"/>
    <n v="0"/>
    <n v="0"/>
    <n v="0"/>
    <n v="0"/>
    <n v="0"/>
    <n v="0"/>
    <n v="0"/>
  </r>
  <r>
    <x v="2"/>
    <x v="134"/>
    <m/>
    <m/>
    <m/>
    <m/>
    <s v=""/>
    <s v=""/>
    <m/>
    <s v=""/>
    <m/>
    <s v=""/>
    <n v="0"/>
    <n v="0"/>
    <n v="0"/>
    <n v="0"/>
    <n v="0"/>
    <n v="0"/>
    <n v="0"/>
    <n v="0"/>
    <n v="0"/>
    <n v="0"/>
    <n v="0"/>
    <n v="0"/>
    <n v="0"/>
    <n v="0"/>
  </r>
  <r>
    <x v="2"/>
    <x v="135"/>
    <m/>
    <m/>
    <m/>
    <m/>
    <s v=""/>
    <s v=""/>
    <m/>
    <s v=""/>
    <m/>
    <s v=""/>
    <n v="0"/>
    <n v="0"/>
    <n v="0"/>
    <n v="0"/>
    <n v="0"/>
    <n v="0"/>
    <n v="0"/>
    <n v="0"/>
    <n v="0"/>
    <n v="0"/>
    <n v="0"/>
    <n v="0"/>
    <n v="0"/>
    <n v="0"/>
  </r>
  <r>
    <x v="2"/>
    <x v="136"/>
    <m/>
    <m/>
    <m/>
    <m/>
    <s v=""/>
    <s v=""/>
    <m/>
    <s v=""/>
    <m/>
    <s v=""/>
    <n v="0"/>
    <n v="0"/>
    <n v="0"/>
    <n v="0"/>
    <n v="0"/>
    <n v="0"/>
    <n v="0"/>
    <n v="0"/>
    <n v="0"/>
    <n v="0"/>
    <n v="0"/>
    <n v="0"/>
    <n v="0"/>
    <n v="0"/>
  </r>
  <r>
    <x v="2"/>
    <x v="137"/>
    <m/>
    <m/>
    <m/>
    <m/>
    <s v=""/>
    <s v=""/>
    <m/>
    <s v=""/>
    <m/>
    <s v=""/>
    <n v="0"/>
    <n v="0"/>
    <n v="0"/>
    <n v="0"/>
    <n v="0"/>
    <n v="0"/>
    <n v="0"/>
    <n v="0"/>
    <n v="0"/>
    <n v="0"/>
    <n v="0"/>
    <n v="0"/>
    <n v="0"/>
    <n v="0"/>
  </r>
  <r>
    <x v="2"/>
    <x v="138"/>
    <m/>
    <m/>
    <m/>
    <m/>
    <s v=""/>
    <s v=""/>
    <m/>
    <s v=""/>
    <m/>
    <s v=""/>
    <n v="0"/>
    <n v="0"/>
    <n v="0"/>
    <n v="0"/>
    <n v="0"/>
    <n v="0"/>
    <n v="0"/>
    <n v="0"/>
    <n v="0"/>
    <n v="0"/>
    <n v="0"/>
    <n v="0"/>
    <n v="0"/>
    <n v="0"/>
  </r>
  <r>
    <x v="2"/>
    <x v="139"/>
    <m/>
    <m/>
    <m/>
    <m/>
    <s v=""/>
    <s v=""/>
    <m/>
    <s v=""/>
    <m/>
    <s v=""/>
    <n v="0"/>
    <n v="0"/>
    <n v="0"/>
    <n v="0"/>
    <n v="0"/>
    <n v="0"/>
    <n v="0"/>
    <n v="0"/>
    <n v="0"/>
    <n v="0"/>
    <n v="0"/>
    <n v="0"/>
    <n v="0"/>
    <n v="0"/>
  </r>
  <r>
    <x v="2"/>
    <x v="140"/>
    <m/>
    <m/>
    <m/>
    <m/>
    <s v=""/>
    <s v=""/>
    <m/>
    <s v=""/>
    <m/>
    <s v=""/>
    <n v="0"/>
    <n v="0"/>
    <n v="0"/>
    <n v="0"/>
    <n v="0"/>
    <n v="0"/>
    <n v="0"/>
    <n v="0"/>
    <n v="0"/>
    <n v="0"/>
    <n v="0"/>
    <n v="0"/>
    <n v="0"/>
    <n v="0"/>
  </r>
  <r>
    <x v="2"/>
    <x v="141"/>
    <m/>
    <m/>
    <m/>
    <m/>
    <s v=""/>
    <s v=""/>
    <m/>
    <s v=""/>
    <m/>
    <s v=""/>
    <n v="0"/>
    <n v="0"/>
    <n v="0"/>
    <n v="0"/>
    <n v="0"/>
    <n v="0"/>
    <n v="0"/>
    <n v="0"/>
    <n v="0"/>
    <n v="0"/>
    <n v="0"/>
    <n v="0"/>
    <n v="0"/>
    <n v="0"/>
  </r>
  <r>
    <x v="2"/>
    <x v="142"/>
    <m/>
    <m/>
    <m/>
    <m/>
    <s v=""/>
    <s v=""/>
    <m/>
    <s v=""/>
    <m/>
    <s v=""/>
    <n v="0"/>
    <n v="0"/>
    <n v="0"/>
    <n v="0"/>
    <n v="0"/>
    <n v="0"/>
    <n v="0"/>
    <n v="0"/>
    <n v="0"/>
    <n v="0"/>
    <n v="0"/>
    <n v="0"/>
    <n v="0"/>
    <n v="0"/>
  </r>
  <r>
    <x v="2"/>
    <x v="143"/>
    <m/>
    <m/>
    <m/>
    <m/>
    <s v=""/>
    <s v=""/>
    <m/>
    <s v=""/>
    <m/>
    <s v=""/>
    <n v="0"/>
    <n v="0"/>
    <n v="0"/>
    <n v="0"/>
    <n v="0"/>
    <n v="0"/>
    <n v="0"/>
    <n v="0"/>
    <n v="0"/>
    <n v="0"/>
    <n v="0"/>
    <n v="0"/>
    <n v="0"/>
    <n v="0"/>
  </r>
  <r>
    <x v="2"/>
    <x v="144"/>
    <m/>
    <m/>
    <m/>
    <m/>
    <s v=""/>
    <s v=""/>
    <m/>
    <s v=""/>
    <m/>
    <s v=""/>
    <n v="0"/>
    <n v="0"/>
    <n v="0"/>
    <n v="0"/>
    <n v="0"/>
    <n v="0"/>
    <n v="0"/>
    <n v="0"/>
    <n v="0"/>
    <n v="0"/>
    <n v="0"/>
    <n v="0"/>
    <n v="0"/>
    <n v="0"/>
  </r>
  <r>
    <x v="2"/>
    <x v="145"/>
    <m/>
    <m/>
    <m/>
    <m/>
    <s v=""/>
    <s v=""/>
    <m/>
    <s v=""/>
    <m/>
    <s v=""/>
    <n v="0"/>
    <n v="0"/>
    <n v="0"/>
    <n v="0"/>
    <n v="0"/>
    <n v="0"/>
    <n v="0"/>
    <n v="0"/>
    <n v="0"/>
    <n v="0"/>
    <n v="0"/>
    <n v="0"/>
    <n v="0"/>
    <n v="0"/>
  </r>
  <r>
    <x v="2"/>
    <x v="146"/>
    <m/>
    <m/>
    <m/>
    <m/>
    <s v=""/>
    <s v=""/>
    <m/>
    <s v=""/>
    <m/>
    <s v=""/>
    <n v="0"/>
    <n v="0"/>
    <n v="0"/>
    <n v="0"/>
    <n v="0"/>
    <n v="0"/>
    <n v="0"/>
    <n v="0"/>
    <n v="0"/>
    <n v="0"/>
    <n v="0"/>
    <n v="0"/>
    <n v="0"/>
    <n v="0"/>
  </r>
  <r>
    <x v="2"/>
    <x v="147"/>
    <m/>
    <m/>
    <m/>
    <m/>
    <s v=""/>
    <s v=""/>
    <m/>
    <s v=""/>
    <m/>
    <s v=""/>
    <n v="0"/>
    <n v="0"/>
    <n v="0"/>
    <n v="0"/>
    <n v="0"/>
    <n v="0"/>
    <n v="0"/>
    <n v="0"/>
    <n v="0"/>
    <n v="0"/>
    <n v="0"/>
    <n v="0"/>
    <n v="0"/>
    <n v="0"/>
  </r>
  <r>
    <x v="2"/>
    <x v="148"/>
    <m/>
    <m/>
    <m/>
    <m/>
    <s v=""/>
    <s v=""/>
    <m/>
    <s v=""/>
    <m/>
    <s v=""/>
    <n v="0"/>
    <n v="0"/>
    <n v="0"/>
    <n v="0"/>
    <n v="0"/>
    <n v="0"/>
    <n v="0"/>
    <n v="0"/>
    <n v="0"/>
    <n v="0"/>
    <n v="0"/>
    <n v="0"/>
    <n v="0"/>
    <n v="0"/>
  </r>
  <r>
    <x v="2"/>
    <x v="149"/>
    <m/>
    <m/>
    <m/>
    <m/>
    <s v=""/>
    <s v=""/>
    <m/>
    <s v=""/>
    <m/>
    <s v=""/>
    <n v="0"/>
    <n v="0"/>
    <n v="0"/>
    <n v="0"/>
    <n v="0"/>
    <n v="0"/>
    <n v="0"/>
    <n v="0"/>
    <n v="0"/>
    <n v="0"/>
    <n v="0"/>
    <n v="0"/>
    <n v="0"/>
    <n v="0"/>
  </r>
  <r>
    <x v="2"/>
    <x v="150"/>
    <m/>
    <m/>
    <m/>
    <m/>
    <s v=""/>
    <s v=""/>
    <m/>
    <s v=""/>
    <m/>
    <s v=""/>
    <n v="0"/>
    <n v="0"/>
    <n v="0"/>
    <n v="0"/>
    <n v="0"/>
    <n v="0"/>
    <n v="0"/>
    <n v="0"/>
    <n v="0"/>
    <n v="0"/>
    <n v="0"/>
    <n v="0"/>
    <n v="0"/>
    <n v="0"/>
  </r>
  <r>
    <x v="2"/>
    <x v="151"/>
    <m/>
    <m/>
    <m/>
    <m/>
    <s v=""/>
    <s v=""/>
    <m/>
    <s v=""/>
    <m/>
    <s v=""/>
    <n v="0"/>
    <n v="0"/>
    <n v="0"/>
    <n v="0"/>
    <n v="0"/>
    <n v="0"/>
    <n v="0"/>
    <n v="0"/>
    <n v="0"/>
    <n v="0"/>
    <n v="0"/>
    <n v="0"/>
    <n v="0"/>
    <n v="0"/>
  </r>
  <r>
    <x v="2"/>
    <x v="152"/>
    <m/>
    <m/>
    <m/>
    <m/>
    <s v=""/>
    <s v=""/>
    <m/>
    <s v=""/>
    <m/>
    <s v=""/>
    <n v="0"/>
    <n v="0"/>
    <n v="0"/>
    <n v="0"/>
    <n v="0"/>
    <n v="0"/>
    <n v="0"/>
    <n v="0"/>
    <n v="0"/>
    <n v="0"/>
    <n v="0"/>
    <n v="0"/>
    <n v="0"/>
    <n v="0"/>
  </r>
  <r>
    <x v="2"/>
    <x v="153"/>
    <m/>
    <m/>
    <m/>
    <m/>
    <s v=""/>
    <s v=""/>
    <m/>
    <s v=""/>
    <m/>
    <s v=""/>
    <n v="0"/>
    <n v="0"/>
    <n v="0"/>
    <n v="0"/>
    <n v="0"/>
    <n v="0"/>
    <n v="0"/>
    <n v="0"/>
    <n v="0"/>
    <n v="0"/>
    <n v="0"/>
    <n v="0"/>
    <n v="0"/>
    <n v="0"/>
  </r>
  <r>
    <x v="2"/>
    <x v="154"/>
    <m/>
    <m/>
    <m/>
    <m/>
    <s v=""/>
    <s v=""/>
    <m/>
    <s v=""/>
    <m/>
    <s v=""/>
    <n v="0"/>
    <n v="0"/>
    <n v="0"/>
    <n v="0"/>
    <n v="0"/>
    <n v="0"/>
    <n v="0"/>
    <n v="0"/>
    <n v="0"/>
    <n v="0"/>
    <n v="0"/>
    <n v="0"/>
    <n v="0"/>
    <n v="0"/>
  </r>
  <r>
    <x v="2"/>
    <x v="155"/>
    <m/>
    <m/>
    <m/>
    <m/>
    <s v=""/>
    <s v=""/>
    <m/>
    <s v=""/>
    <m/>
    <s v=""/>
    <n v="0"/>
    <n v="0"/>
    <n v="0"/>
    <n v="0"/>
    <n v="0"/>
    <n v="0"/>
    <n v="0"/>
    <n v="0"/>
    <n v="0"/>
    <n v="0"/>
    <n v="0"/>
    <n v="0"/>
    <n v="0"/>
    <n v="0"/>
  </r>
  <r>
    <x v="2"/>
    <x v="156"/>
    <m/>
    <m/>
    <m/>
    <m/>
    <s v=""/>
    <s v=""/>
    <m/>
    <s v=""/>
    <m/>
    <s v=""/>
    <n v="0"/>
    <n v="0"/>
    <n v="0"/>
    <n v="0"/>
    <n v="0"/>
    <n v="0"/>
    <n v="0"/>
    <n v="0"/>
    <n v="0"/>
    <n v="0"/>
    <n v="0"/>
    <n v="0"/>
    <n v="0"/>
    <n v="0"/>
  </r>
  <r>
    <x v="2"/>
    <x v="157"/>
    <m/>
    <m/>
    <m/>
    <m/>
    <s v=""/>
    <s v=""/>
    <m/>
    <s v=""/>
    <m/>
    <s v=""/>
    <n v="0"/>
    <n v="0"/>
    <n v="0"/>
    <n v="0"/>
    <n v="0"/>
    <n v="0"/>
    <n v="0"/>
    <n v="0"/>
    <n v="0"/>
    <n v="0"/>
    <n v="0"/>
    <n v="0"/>
    <n v="0"/>
    <n v="0"/>
  </r>
  <r>
    <x v="2"/>
    <x v="158"/>
    <m/>
    <m/>
    <m/>
    <m/>
    <s v=""/>
    <s v=""/>
    <m/>
    <s v=""/>
    <m/>
    <s v=""/>
    <n v="0"/>
    <n v="0"/>
    <n v="0"/>
    <n v="0"/>
    <n v="0"/>
    <n v="0"/>
    <n v="0"/>
    <n v="0"/>
    <n v="0"/>
    <n v="0"/>
    <n v="0"/>
    <n v="0"/>
    <n v="0"/>
    <n v="0"/>
  </r>
  <r>
    <x v="2"/>
    <x v="159"/>
    <m/>
    <m/>
    <m/>
    <m/>
    <s v=""/>
    <s v=""/>
    <m/>
    <s v=""/>
    <m/>
    <s v=""/>
    <n v="0"/>
    <n v="0"/>
    <n v="0"/>
    <n v="0"/>
    <n v="0"/>
    <n v="0"/>
    <n v="0"/>
    <n v="0"/>
    <n v="0"/>
    <n v="0"/>
    <n v="0"/>
    <n v="0"/>
    <n v="0"/>
    <n v="0"/>
  </r>
  <r>
    <x v="2"/>
    <x v="160"/>
    <m/>
    <m/>
    <m/>
    <m/>
    <s v=""/>
    <s v=""/>
    <m/>
    <s v=""/>
    <m/>
    <s v=""/>
    <n v="0"/>
    <n v="0"/>
    <n v="0"/>
    <n v="0"/>
    <n v="0"/>
    <n v="0"/>
    <n v="0"/>
    <n v="0"/>
    <n v="0"/>
    <n v="0"/>
    <n v="0"/>
    <n v="0"/>
    <n v="0"/>
    <n v="0"/>
  </r>
  <r>
    <x v="2"/>
    <x v="161"/>
    <m/>
    <m/>
    <m/>
    <m/>
    <s v=""/>
    <s v=""/>
    <m/>
    <s v=""/>
    <m/>
    <s v=""/>
    <n v="0"/>
    <n v="0"/>
    <n v="0"/>
    <n v="0"/>
    <n v="0"/>
    <n v="0"/>
    <n v="0"/>
    <n v="0"/>
    <n v="0"/>
    <n v="0"/>
    <n v="0"/>
    <n v="0"/>
    <n v="0"/>
    <n v="0"/>
  </r>
  <r>
    <x v="2"/>
    <x v="162"/>
    <m/>
    <m/>
    <m/>
    <m/>
    <s v=""/>
    <s v=""/>
    <m/>
    <s v=""/>
    <m/>
    <s v=""/>
    <n v="0"/>
    <n v="0"/>
    <n v="0"/>
    <n v="0"/>
    <n v="0"/>
    <n v="0"/>
    <n v="0"/>
    <n v="0"/>
    <n v="0"/>
    <n v="0"/>
    <n v="0"/>
    <n v="0"/>
    <n v="0"/>
    <n v="0"/>
  </r>
  <r>
    <x v="2"/>
    <x v="163"/>
    <m/>
    <m/>
    <m/>
    <m/>
    <s v=""/>
    <s v=""/>
    <m/>
    <s v=""/>
    <m/>
    <s v=""/>
    <n v="0"/>
    <n v="0"/>
    <n v="0"/>
    <n v="0"/>
    <n v="0"/>
    <n v="0"/>
    <n v="0"/>
    <n v="0"/>
    <n v="0"/>
    <n v="0"/>
    <n v="0"/>
    <n v="0"/>
    <n v="0"/>
    <n v="0"/>
  </r>
  <r>
    <x v="2"/>
    <x v="164"/>
    <m/>
    <m/>
    <m/>
    <m/>
    <s v=""/>
    <s v=""/>
    <m/>
    <s v=""/>
    <m/>
    <s v=""/>
    <n v="0"/>
    <n v="0"/>
    <n v="0"/>
    <n v="0"/>
    <n v="0"/>
    <n v="0"/>
    <n v="0"/>
    <n v="0"/>
    <n v="0"/>
    <n v="0"/>
    <n v="0"/>
    <n v="0"/>
    <n v="0"/>
    <n v="0"/>
  </r>
  <r>
    <x v="2"/>
    <x v="165"/>
    <m/>
    <m/>
    <m/>
    <m/>
    <s v=""/>
    <s v=""/>
    <m/>
    <s v=""/>
    <m/>
    <s v=""/>
    <n v="0"/>
    <n v="0"/>
    <n v="0"/>
    <n v="0"/>
    <n v="0"/>
    <n v="0"/>
    <n v="0"/>
    <n v="0"/>
    <n v="0"/>
    <n v="0"/>
    <n v="0"/>
    <n v="0"/>
    <n v="0"/>
    <n v="0"/>
  </r>
  <r>
    <x v="2"/>
    <x v="166"/>
    <m/>
    <m/>
    <m/>
    <m/>
    <s v=""/>
    <s v=""/>
    <m/>
    <s v=""/>
    <m/>
    <s v=""/>
    <n v="0"/>
    <n v="0"/>
    <n v="0"/>
    <n v="0"/>
    <n v="0"/>
    <n v="0"/>
    <n v="0"/>
    <n v="0"/>
    <n v="0"/>
    <n v="0"/>
    <n v="0"/>
    <n v="0"/>
    <n v="0"/>
    <n v="0"/>
  </r>
  <r>
    <x v="2"/>
    <x v="167"/>
    <m/>
    <m/>
    <m/>
    <m/>
    <s v=""/>
    <s v=""/>
    <m/>
    <s v=""/>
    <m/>
    <s v=""/>
    <n v="0"/>
    <n v="0"/>
    <n v="0"/>
    <n v="0"/>
    <n v="0"/>
    <n v="0"/>
    <n v="0"/>
    <n v="0"/>
    <n v="0"/>
    <n v="0"/>
    <n v="0"/>
    <n v="0"/>
    <n v="0"/>
    <n v="0"/>
  </r>
  <r>
    <x v="2"/>
    <x v="168"/>
    <m/>
    <m/>
    <m/>
    <m/>
    <s v=""/>
    <s v=""/>
    <m/>
    <s v=""/>
    <m/>
    <s v=""/>
    <n v="0"/>
    <n v="0"/>
    <n v="0"/>
    <n v="0"/>
    <n v="0"/>
    <n v="0"/>
    <n v="0"/>
    <n v="0"/>
    <n v="0"/>
    <n v="0"/>
    <n v="0"/>
    <n v="0"/>
    <n v="0"/>
    <n v="0"/>
  </r>
  <r>
    <x v="2"/>
    <x v="169"/>
    <m/>
    <m/>
    <m/>
    <m/>
    <s v=""/>
    <s v=""/>
    <m/>
    <s v=""/>
    <m/>
    <s v=""/>
    <n v="0"/>
    <n v="0"/>
    <n v="0"/>
    <n v="0"/>
    <n v="0"/>
    <n v="0"/>
    <n v="0"/>
    <n v="0"/>
    <n v="0"/>
    <n v="0"/>
    <n v="0"/>
    <n v="0"/>
    <n v="0"/>
    <n v="0"/>
  </r>
  <r>
    <x v="2"/>
    <x v="170"/>
    <m/>
    <m/>
    <m/>
    <m/>
    <s v=""/>
    <s v=""/>
    <m/>
    <s v=""/>
    <m/>
    <s v=""/>
    <n v="0"/>
    <n v="0"/>
    <n v="0"/>
    <n v="0"/>
    <n v="0"/>
    <n v="0"/>
    <n v="0"/>
    <n v="0"/>
    <n v="0"/>
    <n v="0"/>
    <n v="0"/>
    <n v="0"/>
    <n v="0"/>
    <n v="0"/>
  </r>
  <r>
    <x v="2"/>
    <x v="171"/>
    <m/>
    <m/>
    <m/>
    <m/>
    <s v=""/>
    <s v=""/>
    <m/>
    <s v=""/>
    <m/>
    <s v=""/>
    <n v="0"/>
    <n v="0"/>
    <n v="0"/>
    <n v="0"/>
    <n v="0"/>
    <n v="0"/>
    <n v="0"/>
    <n v="0"/>
    <n v="0"/>
    <n v="0"/>
    <n v="0"/>
    <n v="0"/>
    <n v="0"/>
    <n v="0"/>
  </r>
  <r>
    <x v="2"/>
    <x v="172"/>
    <m/>
    <m/>
    <m/>
    <m/>
    <s v=""/>
    <s v=""/>
    <m/>
    <s v=""/>
    <m/>
    <s v=""/>
    <n v="0"/>
    <n v="0"/>
    <n v="0"/>
    <n v="0"/>
    <n v="0"/>
    <n v="0"/>
    <n v="0"/>
    <n v="0"/>
    <n v="0"/>
    <n v="0"/>
    <n v="0"/>
    <n v="0"/>
    <n v="0"/>
    <n v="0"/>
  </r>
  <r>
    <x v="2"/>
    <x v="173"/>
    <m/>
    <m/>
    <m/>
    <m/>
    <s v=""/>
    <s v=""/>
    <m/>
    <s v=""/>
    <m/>
    <s v=""/>
    <n v="0"/>
    <n v="0"/>
    <n v="0"/>
    <n v="0"/>
    <n v="0"/>
    <n v="0"/>
    <n v="0"/>
    <n v="0"/>
    <n v="0"/>
    <n v="0"/>
    <n v="0"/>
    <n v="0"/>
    <n v="0"/>
    <n v="0"/>
  </r>
  <r>
    <x v="2"/>
    <x v="174"/>
    <m/>
    <m/>
    <m/>
    <m/>
    <s v=""/>
    <s v=""/>
    <m/>
    <s v=""/>
    <m/>
    <s v=""/>
    <n v="0"/>
    <n v="0"/>
    <n v="0"/>
    <n v="0"/>
    <n v="0"/>
    <n v="0"/>
    <n v="0"/>
    <n v="0"/>
    <n v="0"/>
    <n v="0"/>
    <n v="0"/>
    <n v="0"/>
    <n v="0"/>
    <n v="0"/>
  </r>
  <r>
    <x v="2"/>
    <x v="175"/>
    <m/>
    <m/>
    <m/>
    <m/>
    <s v=""/>
    <s v=""/>
    <m/>
    <s v=""/>
    <m/>
    <s v=""/>
    <n v="0"/>
    <n v="0"/>
    <n v="0"/>
    <n v="0"/>
    <n v="0"/>
    <n v="0"/>
    <n v="0"/>
    <n v="0"/>
    <n v="0"/>
    <n v="0"/>
    <n v="0"/>
    <n v="0"/>
    <n v="0"/>
    <n v="0"/>
  </r>
  <r>
    <x v="2"/>
    <x v="176"/>
    <m/>
    <m/>
    <m/>
    <m/>
    <s v=""/>
    <s v=""/>
    <m/>
    <s v=""/>
    <m/>
    <s v=""/>
    <n v="0"/>
    <n v="0"/>
    <n v="0"/>
    <n v="0"/>
    <n v="0"/>
    <n v="0"/>
    <n v="0"/>
    <n v="0"/>
    <n v="0"/>
    <n v="0"/>
    <n v="0"/>
    <n v="0"/>
    <n v="0"/>
    <n v="0"/>
  </r>
  <r>
    <x v="2"/>
    <x v="177"/>
    <m/>
    <m/>
    <m/>
    <m/>
    <s v=""/>
    <s v=""/>
    <m/>
    <s v=""/>
    <m/>
    <s v=""/>
    <n v="0"/>
    <n v="0"/>
    <n v="0"/>
    <n v="0"/>
    <n v="0"/>
    <n v="0"/>
    <n v="0"/>
    <n v="0"/>
    <n v="0"/>
    <n v="0"/>
    <n v="0"/>
    <n v="0"/>
    <n v="0"/>
    <n v="0"/>
  </r>
  <r>
    <x v="2"/>
    <x v="178"/>
    <m/>
    <m/>
    <m/>
    <m/>
    <s v=""/>
    <s v=""/>
    <m/>
    <s v=""/>
    <m/>
    <s v=""/>
    <n v="0"/>
    <n v="0"/>
    <n v="0"/>
    <n v="0"/>
    <n v="0"/>
    <n v="0"/>
    <n v="0"/>
    <n v="0"/>
    <n v="0"/>
    <n v="0"/>
    <n v="0"/>
    <n v="0"/>
    <n v="0"/>
    <n v="0"/>
  </r>
  <r>
    <x v="2"/>
    <x v="179"/>
    <m/>
    <m/>
    <m/>
    <m/>
    <s v=""/>
    <s v=""/>
    <m/>
    <s v=""/>
    <m/>
    <s v=""/>
    <n v="0"/>
    <n v="0"/>
    <n v="0"/>
    <n v="0"/>
    <n v="0"/>
    <n v="0"/>
    <n v="0"/>
    <n v="0"/>
    <n v="0"/>
    <n v="0"/>
    <n v="0"/>
    <n v="0"/>
    <n v="0"/>
    <n v="0"/>
  </r>
  <r>
    <x v="2"/>
    <x v="180"/>
    <m/>
    <m/>
    <m/>
    <m/>
    <s v=""/>
    <s v=""/>
    <m/>
    <s v=""/>
    <m/>
    <s v=""/>
    <n v="0"/>
    <n v="0"/>
    <n v="0"/>
    <n v="0"/>
    <n v="0"/>
    <n v="0"/>
    <n v="0"/>
    <n v="0"/>
    <n v="0"/>
    <n v="0"/>
    <n v="0"/>
    <n v="0"/>
    <n v="0"/>
    <n v="0"/>
  </r>
  <r>
    <x v="2"/>
    <x v="181"/>
    <m/>
    <m/>
    <m/>
    <m/>
    <s v=""/>
    <s v=""/>
    <m/>
    <s v=""/>
    <m/>
    <s v=""/>
    <n v="0"/>
    <n v="0"/>
    <n v="0"/>
    <n v="0"/>
    <n v="0"/>
    <n v="0"/>
    <n v="0"/>
    <n v="0"/>
    <n v="0"/>
    <n v="0"/>
    <n v="0"/>
    <n v="0"/>
    <n v="0"/>
    <n v="0"/>
  </r>
  <r>
    <x v="2"/>
    <x v="182"/>
    <m/>
    <m/>
    <m/>
    <m/>
    <s v=""/>
    <s v=""/>
    <m/>
    <s v=""/>
    <m/>
    <s v=""/>
    <n v="0"/>
    <n v="0"/>
    <n v="0"/>
    <n v="0"/>
    <n v="0"/>
    <n v="0"/>
    <n v="0"/>
    <n v="0"/>
    <n v="0"/>
    <n v="0"/>
    <n v="0"/>
    <n v="0"/>
    <n v="0"/>
    <n v="0"/>
  </r>
  <r>
    <x v="2"/>
    <x v="183"/>
    <m/>
    <m/>
    <m/>
    <m/>
    <s v=""/>
    <s v=""/>
    <m/>
    <s v=""/>
    <m/>
    <s v=""/>
    <n v="0"/>
    <n v="0"/>
    <n v="0"/>
    <n v="0"/>
    <n v="0"/>
    <n v="0"/>
    <n v="0"/>
    <n v="0"/>
    <n v="0"/>
    <n v="0"/>
    <n v="0"/>
    <n v="0"/>
    <n v="0"/>
    <n v="0"/>
  </r>
  <r>
    <x v="2"/>
    <x v="184"/>
    <m/>
    <m/>
    <m/>
    <m/>
    <s v=""/>
    <s v=""/>
    <m/>
    <s v=""/>
    <m/>
    <s v=""/>
    <n v="0"/>
    <n v="0"/>
    <n v="0"/>
    <n v="0"/>
    <n v="0"/>
    <n v="0"/>
    <n v="0"/>
    <n v="0"/>
    <n v="0"/>
    <n v="0"/>
    <n v="0"/>
    <n v="0"/>
    <n v="0"/>
    <n v="0"/>
  </r>
  <r>
    <x v="2"/>
    <x v="185"/>
    <m/>
    <m/>
    <m/>
    <m/>
    <s v=""/>
    <s v=""/>
    <m/>
    <s v=""/>
    <m/>
    <s v=""/>
    <n v="0"/>
    <n v="0"/>
    <n v="0"/>
    <n v="0"/>
    <n v="0"/>
    <n v="0"/>
    <n v="0"/>
    <n v="0"/>
    <n v="0"/>
    <n v="0"/>
    <n v="0"/>
    <n v="0"/>
    <n v="0"/>
    <n v="0"/>
  </r>
  <r>
    <x v="2"/>
    <x v="186"/>
    <m/>
    <m/>
    <m/>
    <m/>
    <s v=""/>
    <s v=""/>
    <m/>
    <s v=""/>
    <m/>
    <s v=""/>
    <n v="0"/>
    <n v="0"/>
    <n v="0"/>
    <n v="0"/>
    <n v="0"/>
    <n v="0"/>
    <n v="0"/>
    <n v="0"/>
    <n v="0"/>
    <n v="0"/>
    <n v="0"/>
    <n v="0"/>
    <n v="0"/>
    <n v="0"/>
  </r>
  <r>
    <x v="2"/>
    <x v="187"/>
    <m/>
    <m/>
    <m/>
    <m/>
    <s v=""/>
    <s v=""/>
    <m/>
    <s v=""/>
    <m/>
    <s v=""/>
    <n v="0"/>
    <n v="0"/>
    <n v="0"/>
    <n v="0"/>
    <n v="0"/>
    <n v="0"/>
    <n v="0"/>
    <n v="0"/>
    <n v="0"/>
    <n v="0"/>
    <n v="0"/>
    <n v="0"/>
    <n v="0"/>
    <n v="0"/>
  </r>
  <r>
    <x v="2"/>
    <x v="188"/>
    <m/>
    <m/>
    <m/>
    <m/>
    <s v=""/>
    <s v=""/>
    <m/>
    <s v=""/>
    <m/>
    <s v=""/>
    <n v="0"/>
    <n v="0"/>
    <n v="0"/>
    <n v="0"/>
    <n v="0"/>
    <n v="0"/>
    <n v="0"/>
    <n v="0"/>
    <n v="0"/>
    <n v="0"/>
    <n v="0"/>
    <n v="0"/>
    <n v="0"/>
    <n v="0"/>
  </r>
  <r>
    <x v="2"/>
    <x v="189"/>
    <m/>
    <m/>
    <m/>
    <m/>
    <s v=""/>
    <s v=""/>
    <m/>
    <s v=""/>
    <m/>
    <s v=""/>
    <n v="0"/>
    <n v="0"/>
    <n v="0"/>
    <n v="0"/>
    <n v="0"/>
    <n v="0"/>
    <n v="0"/>
    <n v="0"/>
    <n v="0"/>
    <n v="0"/>
    <n v="0"/>
    <n v="0"/>
    <n v="0"/>
    <n v="0"/>
  </r>
  <r>
    <x v="2"/>
    <x v="190"/>
    <m/>
    <m/>
    <m/>
    <m/>
    <s v=""/>
    <s v=""/>
    <m/>
    <s v=""/>
    <m/>
    <s v=""/>
    <n v="0"/>
    <n v="0"/>
    <n v="0"/>
    <n v="0"/>
    <n v="0"/>
    <n v="0"/>
    <n v="0"/>
    <n v="0"/>
    <n v="0"/>
    <n v="0"/>
    <n v="0"/>
    <n v="0"/>
    <n v="0"/>
    <n v="0"/>
  </r>
  <r>
    <x v="2"/>
    <x v="191"/>
    <m/>
    <m/>
    <m/>
    <m/>
    <s v=""/>
    <s v=""/>
    <m/>
    <s v=""/>
    <m/>
    <s v=""/>
    <n v="0"/>
    <n v="0"/>
    <n v="0"/>
    <n v="0"/>
    <n v="0"/>
    <n v="0"/>
    <n v="0"/>
    <n v="0"/>
    <n v="0"/>
    <n v="0"/>
    <n v="0"/>
    <n v="0"/>
    <n v="0"/>
    <n v="0"/>
  </r>
  <r>
    <x v="2"/>
    <x v="192"/>
    <m/>
    <m/>
    <m/>
    <m/>
    <s v=""/>
    <s v=""/>
    <m/>
    <s v=""/>
    <m/>
    <s v=""/>
    <n v="0"/>
    <n v="0"/>
    <n v="0"/>
    <n v="0"/>
    <n v="0"/>
    <n v="0"/>
    <n v="0"/>
    <n v="0"/>
    <n v="0"/>
    <n v="0"/>
    <n v="0"/>
    <n v="0"/>
    <n v="0"/>
    <n v="0"/>
  </r>
  <r>
    <x v="2"/>
    <x v="193"/>
    <m/>
    <m/>
    <m/>
    <m/>
    <s v=""/>
    <s v=""/>
    <m/>
    <s v=""/>
    <m/>
    <s v=""/>
    <n v="0"/>
    <n v="0"/>
    <n v="0"/>
    <n v="0"/>
    <n v="0"/>
    <n v="0"/>
    <n v="0"/>
    <n v="0"/>
    <n v="0"/>
    <n v="0"/>
    <n v="0"/>
    <n v="0"/>
    <n v="0"/>
    <n v="0"/>
  </r>
  <r>
    <x v="2"/>
    <x v="194"/>
    <m/>
    <m/>
    <m/>
    <m/>
    <s v=""/>
    <s v=""/>
    <m/>
    <s v=""/>
    <m/>
    <s v=""/>
    <n v="0"/>
    <n v="0"/>
    <n v="0"/>
    <n v="0"/>
    <n v="0"/>
    <n v="0"/>
    <n v="0"/>
    <n v="0"/>
    <n v="0"/>
    <n v="0"/>
    <n v="0"/>
    <n v="0"/>
    <n v="0"/>
    <n v="0"/>
  </r>
  <r>
    <x v="2"/>
    <x v="195"/>
    <m/>
    <m/>
    <m/>
    <m/>
    <s v=""/>
    <s v=""/>
    <m/>
    <s v=""/>
    <m/>
    <s v=""/>
    <n v="0"/>
    <n v="0"/>
    <n v="0"/>
    <n v="0"/>
    <n v="0"/>
    <n v="0"/>
    <n v="0"/>
    <n v="0"/>
    <n v="0"/>
    <n v="0"/>
    <n v="0"/>
    <n v="0"/>
    <n v="0"/>
    <n v="0"/>
  </r>
  <r>
    <x v="2"/>
    <x v="196"/>
    <m/>
    <m/>
    <m/>
    <m/>
    <s v=""/>
    <s v=""/>
    <m/>
    <s v=""/>
    <m/>
    <s v=""/>
    <n v="0"/>
    <n v="0"/>
    <n v="0"/>
    <n v="0"/>
    <n v="0"/>
    <n v="0"/>
    <n v="0"/>
    <n v="0"/>
    <n v="0"/>
    <n v="0"/>
    <n v="0"/>
    <n v="0"/>
    <n v="0"/>
    <n v="0"/>
  </r>
  <r>
    <x v="2"/>
    <x v="197"/>
    <m/>
    <m/>
    <m/>
    <m/>
    <s v=""/>
    <s v=""/>
    <m/>
    <s v=""/>
    <m/>
    <s v=""/>
    <n v="0"/>
    <n v="0"/>
    <n v="0"/>
    <n v="0"/>
    <n v="0"/>
    <n v="0"/>
    <n v="0"/>
    <n v="0"/>
    <n v="0"/>
    <n v="0"/>
    <n v="0"/>
    <n v="0"/>
    <n v="0"/>
    <n v="0"/>
  </r>
  <r>
    <x v="2"/>
    <x v="198"/>
    <m/>
    <m/>
    <m/>
    <m/>
    <s v=""/>
    <s v=""/>
    <m/>
    <s v=""/>
    <m/>
    <s v=""/>
    <n v="0"/>
    <n v="0"/>
    <n v="0"/>
    <n v="0"/>
    <n v="0"/>
    <n v="0"/>
    <n v="0"/>
    <n v="0"/>
    <n v="0"/>
    <n v="0"/>
    <n v="0"/>
    <n v="0"/>
    <n v="0"/>
    <n v="0"/>
  </r>
  <r>
    <x v="2"/>
    <x v="199"/>
    <m/>
    <m/>
    <m/>
    <m/>
    <s v=""/>
    <s v=""/>
    <m/>
    <s v=""/>
    <m/>
    <s v=""/>
    <n v="0"/>
    <n v="0"/>
    <n v="0"/>
    <n v="0"/>
    <n v="0"/>
    <n v="0"/>
    <n v="0"/>
    <n v="0"/>
    <n v="0"/>
    <n v="0"/>
    <n v="0"/>
    <n v="0"/>
    <n v="0"/>
    <n v="0"/>
  </r>
  <r>
    <x v="2"/>
    <x v="200"/>
    <m/>
    <m/>
    <m/>
    <m/>
    <s v=""/>
    <s v=""/>
    <m/>
    <s v=""/>
    <m/>
    <s v=""/>
    <n v="0"/>
    <n v="0"/>
    <n v="0"/>
    <n v="0"/>
    <n v="0"/>
    <n v="0"/>
    <n v="0"/>
    <n v="0"/>
    <n v="0"/>
    <n v="0"/>
    <n v="0"/>
    <n v="0"/>
    <n v="0"/>
    <n v="0"/>
  </r>
  <r>
    <x v="2"/>
    <x v="201"/>
    <m/>
    <m/>
    <m/>
    <m/>
    <s v=""/>
    <s v=""/>
    <m/>
    <s v=""/>
    <m/>
    <s v=""/>
    <n v="0"/>
    <n v="0"/>
    <n v="0"/>
    <n v="0"/>
    <n v="0"/>
    <n v="0"/>
    <n v="0"/>
    <n v="0"/>
    <n v="0"/>
    <n v="0"/>
    <n v="0"/>
    <n v="0"/>
    <n v="0"/>
    <n v="0"/>
  </r>
  <r>
    <x v="2"/>
    <x v="202"/>
    <m/>
    <m/>
    <m/>
    <m/>
    <s v=""/>
    <s v=""/>
    <m/>
    <s v=""/>
    <m/>
    <s v=""/>
    <n v="0"/>
    <n v="0"/>
    <n v="0"/>
    <n v="0"/>
    <n v="0"/>
    <n v="0"/>
    <n v="0"/>
    <n v="0"/>
    <n v="0"/>
    <n v="0"/>
    <n v="0"/>
    <n v="0"/>
    <n v="0"/>
    <n v="0"/>
  </r>
  <r>
    <x v="2"/>
    <x v="203"/>
    <m/>
    <m/>
    <m/>
    <m/>
    <s v=""/>
    <s v=""/>
    <m/>
    <s v=""/>
    <m/>
    <s v=""/>
    <n v="0"/>
    <n v="0"/>
    <n v="0"/>
    <n v="0"/>
    <n v="0"/>
    <n v="0"/>
    <n v="0"/>
    <n v="0"/>
    <n v="0"/>
    <n v="0"/>
    <n v="0"/>
    <n v="0"/>
    <n v="0"/>
    <n v="0"/>
  </r>
  <r>
    <x v="2"/>
    <x v="204"/>
    <m/>
    <m/>
    <m/>
    <m/>
    <s v=""/>
    <s v=""/>
    <m/>
    <s v=""/>
    <m/>
    <s v=""/>
    <n v="0"/>
    <n v="0"/>
    <n v="0"/>
    <n v="0"/>
    <n v="0"/>
    <n v="0"/>
    <n v="0"/>
    <n v="0"/>
    <n v="0"/>
    <n v="0"/>
    <n v="0"/>
    <n v="0"/>
    <n v="0"/>
    <n v="0"/>
  </r>
  <r>
    <x v="2"/>
    <x v="205"/>
    <m/>
    <m/>
    <m/>
    <m/>
    <s v=""/>
    <s v=""/>
    <m/>
    <s v=""/>
    <m/>
    <s v=""/>
    <n v="0"/>
    <n v="0"/>
    <n v="0"/>
    <n v="0"/>
    <n v="0"/>
    <n v="0"/>
    <n v="0"/>
    <n v="0"/>
    <n v="0"/>
    <n v="0"/>
    <n v="0"/>
    <n v="0"/>
    <n v="0"/>
    <n v="0"/>
  </r>
  <r>
    <x v="2"/>
    <x v="206"/>
    <m/>
    <m/>
    <m/>
    <m/>
    <s v=""/>
    <s v=""/>
    <m/>
    <s v=""/>
    <m/>
    <s v=""/>
    <n v="0"/>
    <n v="0"/>
    <n v="0"/>
    <n v="0"/>
    <n v="0"/>
    <n v="0"/>
    <n v="0"/>
    <n v="0"/>
    <n v="0"/>
    <n v="0"/>
    <n v="0"/>
    <n v="0"/>
    <n v="0"/>
    <n v="0"/>
  </r>
  <r>
    <x v="2"/>
    <x v="207"/>
    <m/>
    <m/>
    <m/>
    <m/>
    <s v=""/>
    <s v=""/>
    <m/>
    <s v=""/>
    <m/>
    <s v=""/>
    <n v="0"/>
    <n v="0"/>
    <n v="0"/>
    <n v="0"/>
    <n v="0"/>
    <n v="0"/>
    <n v="0"/>
    <n v="0"/>
    <n v="0"/>
    <n v="0"/>
    <n v="0"/>
    <n v="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F52A3E2-978B-4C50-B6D8-78EE14A7021C}" name="TablaDinámica4" cacheId="0"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location ref="A50:A51" firstHeaderRow="1" firstDataRow="1" firstDataCol="0" rowPageCount="1" colPageCount="1"/>
  <pivotFields count="26">
    <pivotField showAll="0">
      <items count="15">
        <item m="1" x="11"/>
        <item m="1" x="5"/>
        <item m="1" x="12"/>
        <item m="1" x="7"/>
        <item m="1" x="6"/>
        <item m="1" x="8"/>
        <item m="1" x="13"/>
        <item m="1" x="10"/>
        <item m="1" x="9"/>
        <item m="1" x="3"/>
        <item m="1" x="4"/>
        <item x="1"/>
        <item x="0"/>
        <item x="2"/>
        <item t="default"/>
      </items>
    </pivotField>
    <pivotField axis="axisPage" showAll="0">
      <items count="2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t="default"/>
      </items>
    </pivotField>
    <pivotField showAll="0"/>
    <pivotField showAll="0"/>
    <pivotField showAll="0"/>
    <pivotField showAll="0"/>
    <pivotField showAll="0"/>
    <pivotField dataField="1" showAll="0"/>
    <pivotField showAll="0"/>
    <pivotField numFmtId="4" showAll="0"/>
    <pivotField showAll="0"/>
    <pivotField numFmtId="4" showAll="0"/>
    <pivotField showAll="0"/>
    <pivotField showAll="0"/>
    <pivotField showAll="0"/>
    <pivotField showAll="0"/>
    <pivotField numFmtId="182" showAll="0"/>
    <pivotField showAll="0"/>
    <pivotField showAll="0"/>
    <pivotField showAll="0"/>
    <pivotField showAll="0"/>
    <pivotField showAll="0"/>
    <pivotField showAll="0"/>
    <pivotField showAll="0"/>
    <pivotField showAll="0"/>
    <pivotField showAll="0"/>
  </pivotFields>
  <rowItems count="1">
    <i/>
  </rowItems>
  <colItems count="1">
    <i/>
  </colItems>
  <pageFields count="1">
    <pageField fld="1" hier="-1"/>
  </pageFields>
  <dataFields count="1">
    <dataField name="Suma de % PESO DEL ITEM EN P." fld="7" baseField="0" baseItem="0" numFmtId="10"/>
  </dataFields>
  <formats count="1">
    <format dxfId="8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C6956B-BB89-4D97-8539-97A488D678BD}" name="TablaDinámica2" cacheId="0" dataOnRows="1"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6">
  <location ref="A33:B37" firstHeaderRow="1" firstDataRow="1" firstDataCol="1" rowPageCount="1" colPageCount="1"/>
  <pivotFields count="26">
    <pivotField showAll="0">
      <items count="15">
        <item m="1" x="11"/>
        <item m="1" x="5"/>
        <item m="1" x="12"/>
        <item m="1" x="7"/>
        <item m="1" x="6"/>
        <item m="1" x="8"/>
        <item m="1" x="13"/>
        <item m="1" x="10"/>
        <item m="1" x="9"/>
        <item m="1" x="3"/>
        <item m="1" x="4"/>
        <item x="1"/>
        <item x="0"/>
        <item x="2"/>
        <item t="default"/>
      </items>
    </pivotField>
    <pivotField axis="axisPage" multipleItemSelectionAllowed="1" showAll="0">
      <items count="2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t="default"/>
      </items>
    </pivotField>
    <pivotField showAll="0"/>
    <pivotField showAll="0"/>
    <pivotField showAll="0"/>
    <pivotField showAll="0"/>
    <pivotField showAll="0"/>
    <pivotField showAll="0"/>
    <pivotField showAll="0"/>
    <pivotField numFmtId="4" showAll="0"/>
    <pivotField showAll="0"/>
    <pivotField numFmtId="4" showAll="0"/>
    <pivotField showAll="0"/>
    <pivotField showAll="0"/>
    <pivotField showAll="0"/>
    <pivotField showAll="0"/>
    <pivotField numFmtId="182" showAll="0"/>
    <pivotField showAll="0"/>
    <pivotField showAll="0"/>
    <pivotField showAll="0"/>
    <pivotField showAll="0"/>
    <pivotField showAll="0"/>
    <pivotField dataField="1" showAll="0"/>
    <pivotField dataField="1" showAll="0"/>
    <pivotField dataField="1" showAll="0"/>
    <pivotField dataField="1" showAll="0"/>
  </pivotFields>
  <rowFields count="1">
    <field x="-2"/>
  </rowFields>
  <rowItems count="4">
    <i>
      <x/>
    </i>
    <i i="1">
      <x v="1"/>
    </i>
    <i i="2">
      <x v="2"/>
    </i>
    <i i="3">
      <x v="3"/>
    </i>
  </rowItems>
  <colItems count="1">
    <i/>
  </colItems>
  <pageFields count="1">
    <pageField fld="1" hier="-1"/>
  </pageFields>
  <dataFields count="4">
    <dataField name="Suma de %MAQUINARIA " fld="22" baseField="0" baseItem="65404928"/>
    <dataField name="Suma de %COMBUSTIBLE " fld="23" baseField="0" baseItem="0"/>
    <dataField name="Suma de % MANO DE OBRA " fld="25" baseField="0" baseItem="0"/>
    <dataField name="Suma de %MATERIALES " fld="24" baseField="0" baseItem="0"/>
  </dataFields>
  <formats count="6">
    <format dxfId="92">
      <pivotArea outline="0" collapsedLevelsAreSubtotals="1" fieldPosition="0"/>
    </format>
    <format dxfId="91">
      <pivotArea type="all" dataOnly="0" outline="0" fieldPosition="0"/>
    </format>
    <format dxfId="90">
      <pivotArea outline="0" collapsedLevelsAreSubtotals="1" fieldPosition="0"/>
    </format>
    <format dxfId="89">
      <pivotArea field="-2" type="button" dataOnly="0" labelOnly="1" outline="0" axis="axisRow" fieldPosition="0"/>
    </format>
    <format dxfId="88">
      <pivotArea dataOnly="0" labelOnly="1" grandCol="1" outline="0" axis="axisCol" fieldPosition="0"/>
    </format>
    <format dxfId="87">
      <pivotArea outline="0" collapsedLevelsAreSubtotals="1" fieldPosition="0"/>
    </format>
  </formats>
  <chartFormats count="10">
    <chartFormat chart="3" format="1" series="1">
      <pivotArea type="data" outline="0" fieldPosition="0">
        <references count="1">
          <reference field="4294967294" count="1" selected="0">
            <x v="0"/>
          </reference>
        </references>
      </pivotArea>
    </chartFormat>
    <chartFormat chart="3" format="2">
      <pivotArea type="data" outline="0" fieldPosition="0">
        <references count="1">
          <reference field="4294967294" count="1" selected="0">
            <x v="1"/>
          </reference>
        </references>
      </pivotArea>
    </chartFormat>
    <chartFormat chart="3" format="3">
      <pivotArea type="data" outline="0" fieldPosition="0">
        <references count="1">
          <reference field="4294967294" count="1" selected="0">
            <x v="0"/>
          </reference>
        </references>
      </pivotArea>
    </chartFormat>
    <chartFormat chart="3" format="4">
      <pivotArea type="data" outline="0" fieldPosition="0">
        <references count="1">
          <reference field="4294967294" count="1" selected="0">
            <x v="2"/>
          </reference>
        </references>
      </pivotArea>
    </chartFormat>
    <chartFormat chart="3" format="5">
      <pivotArea type="data" outline="0" fieldPosition="0">
        <references count="1">
          <reference field="4294967294" count="1" selected="0">
            <x v="3"/>
          </reference>
        </references>
      </pivotArea>
    </chartFormat>
    <chartFormat chart="5" format="11" series="1">
      <pivotArea type="data" outline="0" fieldPosition="0">
        <references count="1">
          <reference field="4294967294" count="1" selected="0">
            <x v="0"/>
          </reference>
        </references>
      </pivotArea>
    </chartFormat>
    <chartFormat chart="5" format="12">
      <pivotArea type="data" outline="0" fieldPosition="0">
        <references count="1">
          <reference field="4294967294" count="1" selected="0">
            <x v="0"/>
          </reference>
        </references>
      </pivotArea>
    </chartFormat>
    <chartFormat chart="5" format="13">
      <pivotArea type="data" outline="0" fieldPosition="0">
        <references count="1">
          <reference field="4294967294" count="1" selected="0">
            <x v="1"/>
          </reference>
        </references>
      </pivotArea>
    </chartFormat>
    <chartFormat chart="5" format="14">
      <pivotArea type="data" outline="0" fieldPosition="0">
        <references count="1">
          <reference field="4294967294" count="1" selected="0">
            <x v="2"/>
          </reference>
        </references>
      </pivotArea>
    </chartFormat>
    <chartFormat chart="5" format="15">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495F02D-B942-493E-9CF2-CB5097FA40C2}" name="Tabla_Dinamica_Proyecto" cacheId="0" dataOnRows="1"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4">
  <location ref="A4:B8" firstHeaderRow="1" firstDataRow="1" firstDataCol="1" rowPageCount="1" colPageCount="1"/>
  <pivotFields count="26">
    <pivotField subtotalTop="0" showAll="0" defaultSubtotal="0"/>
    <pivotField axis="axisPage" subtotalTop="0" multipleItemSelectionAllowed="1" showAll="0" defaultSubtotal="0">
      <items count="20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s>
    </pivotField>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numFmtId="4" subtotalTop="0" showAll="0" defaultSubtotal="0"/>
    <pivotField subtotalTop="0" showAll="0" defaultSubtotal="0"/>
    <pivotField numFmtId="4"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s>
  <rowFields count="1">
    <field x="-2"/>
  </rowFields>
  <rowItems count="4">
    <i>
      <x/>
    </i>
    <i i="1">
      <x v="1"/>
    </i>
    <i i="2">
      <x v="2"/>
    </i>
    <i i="3">
      <x v="3"/>
    </i>
  </rowItems>
  <colItems count="1">
    <i/>
  </colItems>
  <pageFields count="1">
    <pageField fld="1" hier="-1"/>
  </pageFields>
  <dataFields count="4">
    <dataField name="Suma de V.TOTAL. MAQUINARIA " fld="17" baseField="0" baseItem="0"/>
    <dataField name="Suma de V.TOTAL. COMBUSTIBLE" fld="18" baseField="0" baseItem="65404928"/>
    <dataField name="Suma de V.TOTAL MATERIALES" fld="19" baseField="0" baseItem="0"/>
    <dataField name="Suma de V.TOTAL MANO OBRA" fld="20" baseField="0" baseItem="994600"/>
  </dataFields>
  <formats count="10">
    <format dxfId="102">
      <pivotArea type="all" dataOnly="0" outline="0" fieldPosition="0"/>
    </format>
    <format dxfId="101">
      <pivotArea outline="0" collapsedLevelsAreSubtotals="1" fieldPosition="0"/>
    </format>
    <format dxfId="100">
      <pivotArea field="1" type="button" dataOnly="0" labelOnly="1" outline="0" axis="axisPage" fieldPosition="0"/>
    </format>
    <format dxfId="99">
      <pivotArea dataOnly="0" labelOnly="1" grandRow="1" outline="0" fieldPosition="0"/>
    </format>
    <format dxfId="98">
      <pivotArea outline="0" collapsedLevelsAreSubtotals="1" fieldPosition="0"/>
    </format>
    <format dxfId="97">
      <pivotArea type="all" dataOnly="0" outline="0" fieldPosition="0"/>
    </format>
    <format dxfId="96">
      <pivotArea outline="0" collapsedLevelsAreSubtotals="1" fieldPosition="0"/>
    </format>
    <format dxfId="95">
      <pivotArea field="-2" type="button" dataOnly="0" labelOnly="1" outline="0" axis="axisRow" fieldPosition="0"/>
    </format>
    <format dxfId="94">
      <pivotArea dataOnly="0" labelOnly="1" outline="0" fieldPosition="0">
        <references count="1">
          <reference field="4294967294" count="4">
            <x v="0"/>
            <x v="1"/>
            <x v="2"/>
            <x v="3"/>
          </reference>
        </references>
      </pivotArea>
    </format>
    <format dxfId="93">
      <pivotArea dataOnly="0" labelOnly="1" grandCol="1" outline="0" axis="axisCol" fieldPosition="0"/>
    </format>
  </formats>
  <pivotTableStyleInfo name="PivotStyleLight17"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F16152F-75F9-484F-A755-37B18C3A4E8B}" name="TablaDinámica8" cacheId="0"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3">
  <location ref="A57:D58" firstHeaderRow="0" firstDataRow="1" firstDataCol="0" rowPageCount="1" colPageCount="1"/>
  <pivotFields count="26">
    <pivotField showAll="0"/>
    <pivotField axis="axisPage" showAll="0">
      <items count="2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t="default"/>
      </items>
    </pivotField>
    <pivotField showAll="0"/>
    <pivotField showAll="0"/>
    <pivotField showAll="0"/>
    <pivotField showAll="0"/>
    <pivotField showAll="0"/>
    <pivotField showAll="0"/>
    <pivotField showAll="0"/>
    <pivotField numFmtId="4" showAll="0"/>
    <pivotField showAll="0"/>
    <pivotField numFmtId="4" showAll="0"/>
    <pivotField showAll="0"/>
    <pivotField showAll="0"/>
    <pivotField showAll="0"/>
    <pivotField showAll="0"/>
    <pivotField showAll="0"/>
    <pivotField dataField="1" showAll="0"/>
    <pivotField dataField="1" showAll="0"/>
    <pivotField dataField="1" showAll="0"/>
    <pivotField dataField="1" showAll="0"/>
    <pivotField showAll="0"/>
    <pivotField showAll="0"/>
    <pivotField showAll="0"/>
    <pivotField showAll="0"/>
    <pivotField showAll="0"/>
  </pivotFields>
  <rowItems count="1">
    <i/>
  </rowItems>
  <colFields count="1">
    <field x="-2"/>
  </colFields>
  <colItems count="4">
    <i>
      <x/>
    </i>
    <i i="1">
      <x v="1"/>
    </i>
    <i i="2">
      <x v="2"/>
    </i>
    <i i="3">
      <x v="3"/>
    </i>
  </colItems>
  <pageFields count="1">
    <pageField fld="1" hier="-1"/>
  </pageFields>
  <dataFields count="4">
    <dataField name="Suma de V.TOTAL. MAQUINARIA " fld="17" baseField="1" baseItem="0"/>
    <dataField name="Suma de V.TOTAL. COMBUSTIBLE" fld="18" baseField="1" baseItem="0"/>
    <dataField name="Suma de V.TOTAL MATERIALES" fld="19" baseField="1" baseItem="0"/>
    <dataField name="Suma de V.TOTAL MANO OBRA" fld="20" baseField="1" baseItem="0"/>
  </dataFields>
  <formats count="1">
    <format dxfId="103">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pivotArea type="data" outline="0" fieldPosition="0">
        <references count="1">
          <reference field="4294967294" count="1" selected="0">
            <x v="3"/>
          </reference>
        </references>
      </pivotArea>
    </chartFormat>
    <chartFormat chart="2" format="10"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1"/>
          </reference>
        </references>
      </pivotArea>
    </chartFormat>
    <chartFormat chart="2" format="12" series="1">
      <pivotArea type="data" outline="0" fieldPosition="0">
        <references count="1">
          <reference field="4294967294" count="1" selected="0">
            <x v="2"/>
          </reference>
        </references>
      </pivotArea>
    </chartFormat>
    <chartFormat chart="2" format="13" series="1">
      <pivotArea type="data" outline="0" fieldPosition="0">
        <references count="1">
          <reference field="4294967294" count="1" selected="0">
            <x v="3"/>
          </reference>
        </references>
      </pivotArea>
    </chartFormat>
    <chartFormat chart="2" format="14">
      <pivotArea type="data" outline="0" fieldPosition="0">
        <references count="1">
          <reference field="4294967294" count="1" selected="0">
            <x v="3"/>
          </reference>
        </references>
      </pivotArea>
    </chartFormat>
    <chartFormat chart="2" format="15">
      <pivotArea type="data" outline="0" fieldPosition="0">
        <references count="1">
          <reference field="4294967294" count="1" selected="0">
            <x v="0"/>
          </reference>
        </references>
      </pivotArea>
    </chartFormat>
    <chartFormat chart="2" format="16">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EFBA6C6-A1CA-4E44-B795-3AEFF76AA5EF}" name="TablaDinámica6" cacheId="0" dataOnRows="1"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5">
  <location ref="B13:C17" firstHeaderRow="1" firstDataRow="1" firstDataCol="1" rowPageCount="1" colPageCount="1"/>
  <pivotFields count="26">
    <pivotField showAll="0">
      <items count="15">
        <item m="1" x="11"/>
        <item m="1" x="5"/>
        <item m="1" x="12"/>
        <item m="1" x="7"/>
        <item m="1" x="6"/>
        <item m="1" x="8"/>
        <item m="1" x="13"/>
        <item m="1" x="10"/>
        <item m="1" x="9"/>
        <item m="1" x="3"/>
        <item m="1" x="4"/>
        <item x="1"/>
        <item x="0"/>
        <item x="2"/>
        <item t="default"/>
      </items>
    </pivotField>
    <pivotField axis="axisPage" multipleItemSelectionAllowed="1" showAll="0">
      <items count="2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t="default"/>
      </items>
    </pivotField>
    <pivotField showAll="0"/>
    <pivotField showAll="0"/>
    <pivotField showAll="0"/>
    <pivotField showAll="0"/>
    <pivotField showAll="0"/>
    <pivotField showAll="0"/>
    <pivotField showAll="0"/>
    <pivotField numFmtId="4" showAll="0"/>
    <pivotField showAll="0"/>
    <pivotField numFmtId="4" showAll="0"/>
    <pivotField showAll="0"/>
    <pivotField showAll="0"/>
    <pivotField showAll="0"/>
    <pivotField showAll="0"/>
    <pivotField showAll="0"/>
    <pivotField dataField="1" showAll="0"/>
    <pivotField dataField="1" showAll="0"/>
    <pivotField dataField="1" showAll="0"/>
    <pivotField dataField="1" showAll="0"/>
    <pivotField showAll="0"/>
    <pivotField showAll="0"/>
    <pivotField showAll="0"/>
    <pivotField showAll="0"/>
    <pivotField showAll="0"/>
  </pivotFields>
  <rowFields count="1">
    <field x="-2"/>
  </rowFields>
  <rowItems count="4">
    <i>
      <x/>
    </i>
    <i i="1">
      <x v="1"/>
    </i>
    <i i="2">
      <x v="2"/>
    </i>
    <i i="3">
      <x v="3"/>
    </i>
  </rowItems>
  <colItems count="1">
    <i/>
  </colItems>
  <pageFields count="1">
    <pageField fld="1" hier="-1"/>
  </pageFields>
  <dataFields count="4">
    <dataField name="Suma de V.TOTAL. MAQUINARIA " fld="17" baseField="1" baseItem="1"/>
    <dataField name="Suma de V.TOTAL. COMBUSTIBLE" fld="18" baseField="1" baseItem="1"/>
    <dataField name="Suma de V.TOTAL MANO OBRA" fld="20" baseField="1" baseItem="1"/>
    <dataField name="Suma de V.TOTAL MATERIALES" fld="19" baseField="1" baseItem="1"/>
  </dataFields>
  <formats count="13">
    <format dxfId="116">
      <pivotArea outline="0" collapsedLevelsAreSubtotals="1" fieldPosition="0"/>
    </format>
    <format dxfId="115">
      <pivotArea type="all" dataOnly="0" outline="0" fieldPosition="0"/>
    </format>
    <format dxfId="114">
      <pivotArea outline="0" collapsedLevelsAreSubtotals="1" fieldPosition="0"/>
    </format>
    <format dxfId="113">
      <pivotArea field="1" type="button" dataOnly="0" labelOnly="1" outline="0" axis="axisPage" fieldPosition="0"/>
    </format>
    <format dxfId="112">
      <pivotArea dataOnly="0" labelOnly="1"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11">
      <pivotArea dataOnly="0" labelOnly="1" fieldPosition="0">
        <references count="1">
          <reference field="1" count="30">
            <x v="50"/>
            <x v="51"/>
            <x v="52"/>
            <x v="53"/>
            <x v="54"/>
            <x v="55"/>
            <x v="56"/>
            <x v="57"/>
            <x v="58"/>
            <x v="59"/>
            <x v="60"/>
            <x v="61"/>
            <x v="62"/>
            <x v="63"/>
            <x v="64"/>
            <x v="65"/>
            <x v="66"/>
            <x v="67"/>
            <x v="68"/>
            <x v="69"/>
            <x v="70"/>
            <x v="71"/>
            <x v="72"/>
            <x v="73"/>
            <x v="74"/>
            <x v="75"/>
            <x v="76"/>
            <x v="77"/>
            <x v="78"/>
            <x v="79"/>
          </reference>
        </references>
      </pivotArea>
    </format>
    <format dxfId="110">
      <pivotArea dataOnly="0" labelOnly="1" grandRow="1" outline="0" fieldPosition="0"/>
    </format>
    <format dxfId="109">
      <pivotArea dataOnly="0" labelOnly="1" outline="0" fieldPosition="0">
        <references count="1">
          <reference field="4294967294" count="4">
            <x v="0"/>
            <x v="1"/>
            <x v="2"/>
            <x v="3"/>
          </reference>
        </references>
      </pivotArea>
    </format>
    <format dxfId="108">
      <pivotArea type="all" dataOnly="0" outline="0" fieldPosition="0"/>
    </format>
    <format dxfId="107">
      <pivotArea outline="0" collapsedLevelsAreSubtotals="1" fieldPosition="0"/>
    </format>
    <format dxfId="106">
      <pivotArea field="-2" type="button" dataOnly="0" labelOnly="1" outline="0" axis="axisRow" fieldPosition="0"/>
    </format>
    <format dxfId="105">
      <pivotArea dataOnly="0" labelOnly="1" outline="0" fieldPosition="0">
        <references count="1">
          <reference field="4294967294" count="4">
            <x v="0"/>
            <x v="1"/>
            <x v="2"/>
            <x v="3"/>
          </reference>
        </references>
      </pivotArea>
    </format>
    <format dxfId="104">
      <pivotArea dataOnly="0" labelOnly="1" grandCol="1" outline="0" axis="axisCol" fieldPosition="0"/>
    </format>
  </formats>
  <chartFormats count="94">
    <chartFormat chart="2" format="0" series="1">
      <pivotArea type="data" outline="0" fieldPosition="0">
        <references count="2">
          <reference field="4294967294" count="1" selected="0">
            <x v="0"/>
          </reference>
          <reference field="1" count="1" selected="0">
            <x v="9"/>
          </reference>
        </references>
      </pivotArea>
    </chartFormat>
    <chartFormat chart="2" format="1" series="1">
      <pivotArea type="data" outline="0" fieldPosition="0">
        <references count="2">
          <reference field="4294967294" count="1" selected="0">
            <x v="0"/>
          </reference>
          <reference field="1" count="1" selected="0">
            <x v="0"/>
          </reference>
        </references>
      </pivotArea>
    </chartFormat>
    <chartFormat chart="2" format="2" series="1">
      <pivotArea type="data" outline="0" fieldPosition="0">
        <references count="2">
          <reference field="4294967294" count="1" selected="0">
            <x v="0"/>
          </reference>
          <reference field="1" count="1" selected="0">
            <x v="1"/>
          </reference>
        </references>
      </pivotArea>
    </chartFormat>
    <chartFormat chart="2" format="3">
      <pivotArea type="data" outline="0" fieldPosition="0">
        <references count="2">
          <reference field="4294967294" count="1" selected="0">
            <x v="0"/>
          </reference>
          <reference field="1" count="1" selected="0">
            <x v="0"/>
          </reference>
        </references>
      </pivotArea>
    </chartFormat>
    <chartFormat chart="2" format="4">
      <pivotArea type="data" outline="0" fieldPosition="0">
        <references count="2">
          <reference field="4294967294" count="1" selected="0">
            <x v="1"/>
          </reference>
          <reference field="1" count="1" selected="0">
            <x v="0"/>
          </reference>
        </references>
      </pivotArea>
    </chartFormat>
    <chartFormat chart="2" format="5">
      <pivotArea type="data" outline="0" fieldPosition="0">
        <references count="2">
          <reference field="4294967294" count="1" selected="0">
            <x v="2"/>
          </reference>
          <reference field="1" count="1" selected="0">
            <x v="0"/>
          </reference>
        </references>
      </pivotArea>
    </chartFormat>
    <chartFormat chart="2" format="6">
      <pivotArea type="data" outline="0" fieldPosition="0">
        <references count="2">
          <reference field="4294967294" count="1" selected="0">
            <x v="3"/>
          </reference>
          <reference field="1" count="1" selected="0">
            <x v="0"/>
          </reference>
        </references>
      </pivotArea>
    </chartFormat>
    <chartFormat chart="2" format="7" series="1">
      <pivotArea type="data" outline="0" fieldPosition="0">
        <references count="2">
          <reference field="4294967294" count="1" selected="0">
            <x v="0"/>
          </reference>
          <reference field="1" count="1" selected="0">
            <x v="2"/>
          </reference>
        </references>
      </pivotArea>
    </chartFormat>
    <chartFormat chart="2" format="8" series="1">
      <pivotArea type="data" outline="0" fieldPosition="0">
        <references count="2">
          <reference field="4294967294" count="1" selected="0">
            <x v="0"/>
          </reference>
          <reference field="1" count="1" selected="0">
            <x v="3"/>
          </reference>
        </references>
      </pivotArea>
    </chartFormat>
    <chartFormat chart="2" format="9" series="1">
      <pivotArea type="data" outline="0" fieldPosition="0">
        <references count="2">
          <reference field="4294967294" count="1" selected="0">
            <x v="0"/>
          </reference>
          <reference field="1" count="1" selected="0">
            <x v="4"/>
          </reference>
        </references>
      </pivotArea>
    </chartFormat>
    <chartFormat chart="2" format="10" series="1">
      <pivotArea type="data" outline="0" fieldPosition="0">
        <references count="2">
          <reference field="4294967294" count="1" selected="0">
            <x v="0"/>
          </reference>
          <reference field="1" count="1" selected="0">
            <x v="5"/>
          </reference>
        </references>
      </pivotArea>
    </chartFormat>
    <chartFormat chart="2" format="11" series="1">
      <pivotArea type="data" outline="0" fieldPosition="0">
        <references count="2">
          <reference field="4294967294" count="1" selected="0">
            <x v="0"/>
          </reference>
          <reference field="1" count="1" selected="0">
            <x v="6"/>
          </reference>
        </references>
      </pivotArea>
    </chartFormat>
    <chartFormat chart="2" format="12" series="1">
      <pivotArea type="data" outline="0" fieldPosition="0">
        <references count="2">
          <reference field="4294967294" count="1" selected="0">
            <x v="0"/>
          </reference>
          <reference field="1" count="1" selected="0">
            <x v="7"/>
          </reference>
        </references>
      </pivotArea>
    </chartFormat>
    <chartFormat chart="2" format="13" series="1">
      <pivotArea type="data" outline="0" fieldPosition="0">
        <references count="2">
          <reference field="4294967294" count="1" selected="0">
            <x v="0"/>
          </reference>
          <reference field="1" count="1" selected="0">
            <x v="8"/>
          </reference>
        </references>
      </pivotArea>
    </chartFormat>
    <chartFormat chart="2" format="14" series="1">
      <pivotArea type="data" outline="0" fieldPosition="0">
        <references count="2">
          <reference field="4294967294" count="1" selected="0">
            <x v="0"/>
          </reference>
          <reference field="1" count="1" selected="0">
            <x v="10"/>
          </reference>
        </references>
      </pivotArea>
    </chartFormat>
    <chartFormat chart="2" format="15" series="1">
      <pivotArea type="data" outline="0" fieldPosition="0">
        <references count="2">
          <reference field="4294967294" count="1" selected="0">
            <x v="0"/>
          </reference>
          <reference field="1" count="1" selected="0">
            <x v="11"/>
          </reference>
        </references>
      </pivotArea>
    </chartFormat>
    <chartFormat chart="2" format="16" series="1">
      <pivotArea type="data" outline="0" fieldPosition="0">
        <references count="2">
          <reference field="4294967294" count="1" selected="0">
            <x v="0"/>
          </reference>
          <reference field="1" count="1" selected="0">
            <x v="12"/>
          </reference>
        </references>
      </pivotArea>
    </chartFormat>
    <chartFormat chart="2" format="17" series="1">
      <pivotArea type="data" outline="0" fieldPosition="0">
        <references count="2">
          <reference field="4294967294" count="1" selected="0">
            <x v="0"/>
          </reference>
          <reference field="1" count="1" selected="0">
            <x v="13"/>
          </reference>
        </references>
      </pivotArea>
    </chartFormat>
    <chartFormat chart="2" format="18" series="1">
      <pivotArea type="data" outline="0" fieldPosition="0">
        <references count="2">
          <reference field="4294967294" count="1" selected="0">
            <x v="0"/>
          </reference>
          <reference field="1" count="1" selected="0">
            <x v="14"/>
          </reference>
        </references>
      </pivotArea>
    </chartFormat>
    <chartFormat chart="2" format="19" series="1">
      <pivotArea type="data" outline="0" fieldPosition="0">
        <references count="2">
          <reference field="4294967294" count="1" selected="0">
            <x v="0"/>
          </reference>
          <reference field="1" count="1" selected="0">
            <x v="15"/>
          </reference>
        </references>
      </pivotArea>
    </chartFormat>
    <chartFormat chart="2" format="20" series="1">
      <pivotArea type="data" outline="0" fieldPosition="0">
        <references count="2">
          <reference field="4294967294" count="1" selected="0">
            <x v="0"/>
          </reference>
          <reference field="1" count="1" selected="0">
            <x v="16"/>
          </reference>
        </references>
      </pivotArea>
    </chartFormat>
    <chartFormat chart="2" format="21" series="1">
      <pivotArea type="data" outline="0" fieldPosition="0">
        <references count="2">
          <reference field="4294967294" count="1" selected="0">
            <x v="0"/>
          </reference>
          <reference field="1" count="1" selected="0">
            <x v="17"/>
          </reference>
        </references>
      </pivotArea>
    </chartFormat>
    <chartFormat chart="2" format="22" series="1">
      <pivotArea type="data" outline="0" fieldPosition="0">
        <references count="2">
          <reference field="4294967294" count="1" selected="0">
            <x v="0"/>
          </reference>
          <reference field="1" count="1" selected="0">
            <x v="18"/>
          </reference>
        </references>
      </pivotArea>
    </chartFormat>
    <chartFormat chart="2" format="23" series="1">
      <pivotArea type="data" outline="0" fieldPosition="0">
        <references count="2">
          <reference field="4294967294" count="1" selected="0">
            <x v="0"/>
          </reference>
          <reference field="1" count="1" selected="0">
            <x v="19"/>
          </reference>
        </references>
      </pivotArea>
    </chartFormat>
    <chartFormat chart="2" format="24" series="1">
      <pivotArea type="data" outline="0" fieldPosition="0">
        <references count="2">
          <reference field="4294967294" count="1" selected="0">
            <x v="0"/>
          </reference>
          <reference field="1" count="1" selected="0">
            <x v="20"/>
          </reference>
        </references>
      </pivotArea>
    </chartFormat>
    <chartFormat chart="2" format="25" series="1">
      <pivotArea type="data" outline="0" fieldPosition="0">
        <references count="2">
          <reference field="4294967294" count="1" selected="0">
            <x v="0"/>
          </reference>
          <reference field="1" count="1" selected="0">
            <x v="21"/>
          </reference>
        </references>
      </pivotArea>
    </chartFormat>
    <chartFormat chart="2" format="26" series="1">
      <pivotArea type="data" outline="0" fieldPosition="0">
        <references count="2">
          <reference field="4294967294" count="1" selected="0">
            <x v="0"/>
          </reference>
          <reference field="1" count="1" selected="0">
            <x v="22"/>
          </reference>
        </references>
      </pivotArea>
    </chartFormat>
    <chartFormat chart="2" format="27" series="1">
      <pivotArea type="data" outline="0" fieldPosition="0">
        <references count="2">
          <reference field="4294967294" count="1" selected="0">
            <x v="0"/>
          </reference>
          <reference field="1" count="1" selected="0">
            <x v="23"/>
          </reference>
        </references>
      </pivotArea>
    </chartFormat>
    <chartFormat chart="2" format="28" series="1">
      <pivotArea type="data" outline="0" fieldPosition="0">
        <references count="2">
          <reference field="4294967294" count="1" selected="0">
            <x v="0"/>
          </reference>
          <reference field="1" count="1" selected="0">
            <x v="24"/>
          </reference>
        </references>
      </pivotArea>
    </chartFormat>
    <chartFormat chart="2" format="29" series="1">
      <pivotArea type="data" outline="0" fieldPosition="0">
        <references count="2">
          <reference field="4294967294" count="1" selected="0">
            <x v="0"/>
          </reference>
          <reference field="1" count="1" selected="0">
            <x v="25"/>
          </reference>
        </references>
      </pivotArea>
    </chartFormat>
    <chartFormat chart="2" format="30" series="1">
      <pivotArea type="data" outline="0" fieldPosition="0">
        <references count="2">
          <reference field="4294967294" count="1" selected="0">
            <x v="0"/>
          </reference>
          <reference field="1" count="1" selected="0">
            <x v="26"/>
          </reference>
        </references>
      </pivotArea>
    </chartFormat>
    <chartFormat chart="2" format="31" series="1">
      <pivotArea type="data" outline="0" fieldPosition="0">
        <references count="2">
          <reference field="4294967294" count="1" selected="0">
            <x v="0"/>
          </reference>
          <reference field="1" count="1" selected="0">
            <x v="27"/>
          </reference>
        </references>
      </pivotArea>
    </chartFormat>
    <chartFormat chart="2" format="32" series="1">
      <pivotArea type="data" outline="0" fieldPosition="0">
        <references count="2">
          <reference field="4294967294" count="1" selected="0">
            <x v="0"/>
          </reference>
          <reference field="1" count="1" selected="0">
            <x v="28"/>
          </reference>
        </references>
      </pivotArea>
    </chartFormat>
    <chartFormat chart="2" format="33" series="1">
      <pivotArea type="data" outline="0" fieldPosition="0">
        <references count="2">
          <reference field="4294967294" count="1" selected="0">
            <x v="0"/>
          </reference>
          <reference field="1" count="1" selected="0">
            <x v="29"/>
          </reference>
        </references>
      </pivotArea>
    </chartFormat>
    <chartFormat chart="2" format="34" series="1">
      <pivotArea type="data" outline="0" fieldPosition="0">
        <references count="2">
          <reference field="4294967294" count="1" selected="0">
            <x v="0"/>
          </reference>
          <reference field="1" count="1" selected="0">
            <x v="30"/>
          </reference>
        </references>
      </pivotArea>
    </chartFormat>
    <chartFormat chart="2" format="35" series="1">
      <pivotArea type="data" outline="0" fieldPosition="0">
        <references count="2">
          <reference field="4294967294" count="1" selected="0">
            <x v="0"/>
          </reference>
          <reference field="1" count="1" selected="0">
            <x v="31"/>
          </reference>
        </references>
      </pivotArea>
    </chartFormat>
    <chartFormat chart="2" format="36" series="1">
      <pivotArea type="data" outline="0" fieldPosition="0">
        <references count="2">
          <reference field="4294967294" count="1" selected="0">
            <x v="0"/>
          </reference>
          <reference field="1" count="1" selected="0">
            <x v="32"/>
          </reference>
        </references>
      </pivotArea>
    </chartFormat>
    <chartFormat chart="2" format="37" series="1">
      <pivotArea type="data" outline="0" fieldPosition="0">
        <references count="2">
          <reference field="4294967294" count="1" selected="0">
            <x v="0"/>
          </reference>
          <reference field="1" count="1" selected="0">
            <x v="33"/>
          </reference>
        </references>
      </pivotArea>
    </chartFormat>
    <chartFormat chart="2" format="38" series="1">
      <pivotArea type="data" outline="0" fieldPosition="0">
        <references count="2">
          <reference field="4294967294" count="1" selected="0">
            <x v="0"/>
          </reference>
          <reference field="1" count="1" selected="0">
            <x v="34"/>
          </reference>
        </references>
      </pivotArea>
    </chartFormat>
    <chartFormat chart="2" format="39" series="1">
      <pivotArea type="data" outline="0" fieldPosition="0">
        <references count="2">
          <reference field="4294967294" count="1" selected="0">
            <x v="0"/>
          </reference>
          <reference field="1" count="1" selected="0">
            <x v="35"/>
          </reference>
        </references>
      </pivotArea>
    </chartFormat>
    <chartFormat chart="2" format="40" series="1">
      <pivotArea type="data" outline="0" fieldPosition="0">
        <references count="2">
          <reference field="4294967294" count="1" selected="0">
            <x v="0"/>
          </reference>
          <reference field="1" count="1" selected="0">
            <x v="36"/>
          </reference>
        </references>
      </pivotArea>
    </chartFormat>
    <chartFormat chart="2" format="41" series="1">
      <pivotArea type="data" outline="0" fieldPosition="0">
        <references count="2">
          <reference field="4294967294" count="1" selected="0">
            <x v="0"/>
          </reference>
          <reference field="1" count="1" selected="0">
            <x v="37"/>
          </reference>
        </references>
      </pivotArea>
    </chartFormat>
    <chartFormat chart="2" format="42" series="1">
      <pivotArea type="data" outline="0" fieldPosition="0">
        <references count="2">
          <reference field="4294967294" count="1" selected="0">
            <x v="0"/>
          </reference>
          <reference field="1" count="1" selected="0">
            <x v="38"/>
          </reference>
        </references>
      </pivotArea>
    </chartFormat>
    <chartFormat chart="2" format="43" series="1">
      <pivotArea type="data" outline="0" fieldPosition="0">
        <references count="2">
          <reference field="4294967294" count="1" selected="0">
            <x v="0"/>
          </reference>
          <reference field="1" count="1" selected="0">
            <x v="39"/>
          </reference>
        </references>
      </pivotArea>
    </chartFormat>
    <chartFormat chart="2" format="44" series="1">
      <pivotArea type="data" outline="0" fieldPosition="0">
        <references count="2">
          <reference field="4294967294" count="1" selected="0">
            <x v="0"/>
          </reference>
          <reference field="1" count="1" selected="0">
            <x v="40"/>
          </reference>
        </references>
      </pivotArea>
    </chartFormat>
    <chartFormat chart="2" format="45" series="1">
      <pivotArea type="data" outline="0" fieldPosition="0">
        <references count="2">
          <reference field="4294967294" count="1" selected="0">
            <x v="0"/>
          </reference>
          <reference field="1" count="1" selected="0">
            <x v="41"/>
          </reference>
        </references>
      </pivotArea>
    </chartFormat>
    <chartFormat chart="2" format="46" series="1">
      <pivotArea type="data" outline="0" fieldPosition="0">
        <references count="2">
          <reference field="4294967294" count="1" selected="0">
            <x v="0"/>
          </reference>
          <reference field="1" count="1" selected="0">
            <x v="42"/>
          </reference>
        </references>
      </pivotArea>
    </chartFormat>
    <chartFormat chart="2" format="47" series="1">
      <pivotArea type="data" outline="0" fieldPosition="0">
        <references count="2">
          <reference field="4294967294" count="1" selected="0">
            <x v="0"/>
          </reference>
          <reference field="1" count="1" selected="0">
            <x v="43"/>
          </reference>
        </references>
      </pivotArea>
    </chartFormat>
    <chartFormat chart="2" format="48" series="1">
      <pivotArea type="data" outline="0" fieldPosition="0">
        <references count="2">
          <reference field="4294967294" count="1" selected="0">
            <x v="0"/>
          </reference>
          <reference field="1" count="1" selected="0">
            <x v="44"/>
          </reference>
        </references>
      </pivotArea>
    </chartFormat>
    <chartFormat chart="2" format="49" series="1">
      <pivotArea type="data" outline="0" fieldPosition="0">
        <references count="2">
          <reference field="4294967294" count="1" selected="0">
            <x v="0"/>
          </reference>
          <reference field="1" count="1" selected="0">
            <x v="45"/>
          </reference>
        </references>
      </pivotArea>
    </chartFormat>
    <chartFormat chart="2" format="50" series="1">
      <pivotArea type="data" outline="0" fieldPosition="0">
        <references count="2">
          <reference field="4294967294" count="1" selected="0">
            <x v="0"/>
          </reference>
          <reference field="1" count="1" selected="0">
            <x v="46"/>
          </reference>
        </references>
      </pivotArea>
    </chartFormat>
    <chartFormat chart="2" format="51" series="1">
      <pivotArea type="data" outline="0" fieldPosition="0">
        <references count="2">
          <reference field="4294967294" count="1" selected="0">
            <x v="0"/>
          </reference>
          <reference field="1" count="1" selected="0">
            <x v="47"/>
          </reference>
        </references>
      </pivotArea>
    </chartFormat>
    <chartFormat chart="2" format="52" series="1">
      <pivotArea type="data" outline="0" fieldPosition="0">
        <references count="2">
          <reference field="4294967294" count="1" selected="0">
            <x v="0"/>
          </reference>
          <reference field="1" count="1" selected="0">
            <x v="48"/>
          </reference>
        </references>
      </pivotArea>
    </chartFormat>
    <chartFormat chart="2" format="53" series="1">
      <pivotArea type="data" outline="0" fieldPosition="0">
        <references count="2">
          <reference field="4294967294" count="1" selected="0">
            <x v="0"/>
          </reference>
          <reference field="1" count="1" selected="0">
            <x v="49"/>
          </reference>
        </references>
      </pivotArea>
    </chartFormat>
    <chartFormat chart="2" format="54" series="1">
      <pivotArea type="data" outline="0" fieldPosition="0">
        <references count="2">
          <reference field="4294967294" count="1" selected="0">
            <x v="0"/>
          </reference>
          <reference field="1" count="1" selected="0">
            <x v="50"/>
          </reference>
        </references>
      </pivotArea>
    </chartFormat>
    <chartFormat chart="2" format="55" series="1">
      <pivotArea type="data" outline="0" fieldPosition="0">
        <references count="2">
          <reference field="4294967294" count="1" selected="0">
            <x v="0"/>
          </reference>
          <reference field="1" count="1" selected="0">
            <x v="51"/>
          </reference>
        </references>
      </pivotArea>
    </chartFormat>
    <chartFormat chart="2" format="56" series="1">
      <pivotArea type="data" outline="0" fieldPosition="0">
        <references count="2">
          <reference field="4294967294" count="1" selected="0">
            <x v="0"/>
          </reference>
          <reference field="1" count="1" selected="0">
            <x v="52"/>
          </reference>
        </references>
      </pivotArea>
    </chartFormat>
    <chartFormat chart="2" format="57" series="1">
      <pivotArea type="data" outline="0" fieldPosition="0">
        <references count="2">
          <reference field="4294967294" count="1" selected="0">
            <x v="0"/>
          </reference>
          <reference field="1" count="1" selected="0">
            <x v="53"/>
          </reference>
        </references>
      </pivotArea>
    </chartFormat>
    <chartFormat chart="2" format="58" series="1">
      <pivotArea type="data" outline="0" fieldPosition="0">
        <references count="2">
          <reference field="4294967294" count="1" selected="0">
            <x v="0"/>
          </reference>
          <reference field="1" count="1" selected="0">
            <x v="54"/>
          </reference>
        </references>
      </pivotArea>
    </chartFormat>
    <chartFormat chart="2" format="59" series="1">
      <pivotArea type="data" outline="0" fieldPosition="0">
        <references count="2">
          <reference field="4294967294" count="1" selected="0">
            <x v="0"/>
          </reference>
          <reference field="1" count="1" selected="0">
            <x v="55"/>
          </reference>
        </references>
      </pivotArea>
    </chartFormat>
    <chartFormat chart="2" format="60" series="1">
      <pivotArea type="data" outline="0" fieldPosition="0">
        <references count="2">
          <reference field="4294967294" count="1" selected="0">
            <x v="0"/>
          </reference>
          <reference field="1" count="1" selected="0">
            <x v="56"/>
          </reference>
        </references>
      </pivotArea>
    </chartFormat>
    <chartFormat chart="2" format="61" series="1">
      <pivotArea type="data" outline="0" fieldPosition="0">
        <references count="2">
          <reference field="4294967294" count="1" selected="0">
            <x v="0"/>
          </reference>
          <reference field="1" count="1" selected="0">
            <x v="57"/>
          </reference>
        </references>
      </pivotArea>
    </chartFormat>
    <chartFormat chart="2" format="62" series="1">
      <pivotArea type="data" outline="0" fieldPosition="0">
        <references count="2">
          <reference field="4294967294" count="1" selected="0">
            <x v="0"/>
          </reference>
          <reference field="1" count="1" selected="0">
            <x v="58"/>
          </reference>
        </references>
      </pivotArea>
    </chartFormat>
    <chartFormat chart="2" format="63" series="1">
      <pivotArea type="data" outline="0" fieldPosition="0">
        <references count="2">
          <reference field="4294967294" count="1" selected="0">
            <x v="0"/>
          </reference>
          <reference field="1" count="1" selected="0">
            <x v="59"/>
          </reference>
        </references>
      </pivotArea>
    </chartFormat>
    <chartFormat chart="2" format="64" series="1">
      <pivotArea type="data" outline="0" fieldPosition="0">
        <references count="2">
          <reference field="4294967294" count="1" selected="0">
            <x v="0"/>
          </reference>
          <reference field="1" count="1" selected="0">
            <x v="60"/>
          </reference>
        </references>
      </pivotArea>
    </chartFormat>
    <chartFormat chart="2" format="65" series="1">
      <pivotArea type="data" outline="0" fieldPosition="0">
        <references count="2">
          <reference field="4294967294" count="1" selected="0">
            <x v="0"/>
          </reference>
          <reference field="1" count="1" selected="0">
            <x v="61"/>
          </reference>
        </references>
      </pivotArea>
    </chartFormat>
    <chartFormat chart="2" format="66" series="1">
      <pivotArea type="data" outline="0" fieldPosition="0">
        <references count="2">
          <reference field="4294967294" count="1" selected="0">
            <x v="0"/>
          </reference>
          <reference field="1" count="1" selected="0">
            <x v="62"/>
          </reference>
        </references>
      </pivotArea>
    </chartFormat>
    <chartFormat chart="2" format="67" series="1">
      <pivotArea type="data" outline="0" fieldPosition="0">
        <references count="2">
          <reference field="4294967294" count="1" selected="0">
            <x v="0"/>
          </reference>
          <reference field="1" count="1" selected="0">
            <x v="63"/>
          </reference>
        </references>
      </pivotArea>
    </chartFormat>
    <chartFormat chart="2" format="68" series="1">
      <pivotArea type="data" outline="0" fieldPosition="0">
        <references count="2">
          <reference field="4294967294" count="1" selected="0">
            <x v="0"/>
          </reference>
          <reference field="1" count="1" selected="0">
            <x v="64"/>
          </reference>
        </references>
      </pivotArea>
    </chartFormat>
    <chartFormat chart="2" format="69" series="1">
      <pivotArea type="data" outline="0" fieldPosition="0">
        <references count="2">
          <reference field="4294967294" count="1" selected="0">
            <x v="0"/>
          </reference>
          <reference field="1" count="1" selected="0">
            <x v="65"/>
          </reference>
        </references>
      </pivotArea>
    </chartFormat>
    <chartFormat chart="2" format="70" series="1">
      <pivotArea type="data" outline="0" fieldPosition="0">
        <references count="2">
          <reference field="4294967294" count="1" selected="0">
            <x v="0"/>
          </reference>
          <reference field="1" count="1" selected="0">
            <x v="66"/>
          </reference>
        </references>
      </pivotArea>
    </chartFormat>
    <chartFormat chart="2" format="71" series="1">
      <pivotArea type="data" outline="0" fieldPosition="0">
        <references count="2">
          <reference field="4294967294" count="1" selected="0">
            <x v="0"/>
          </reference>
          <reference field="1" count="1" selected="0">
            <x v="67"/>
          </reference>
        </references>
      </pivotArea>
    </chartFormat>
    <chartFormat chart="2" format="72" series="1">
      <pivotArea type="data" outline="0" fieldPosition="0">
        <references count="2">
          <reference field="4294967294" count="1" selected="0">
            <x v="0"/>
          </reference>
          <reference field="1" count="1" selected="0">
            <x v="68"/>
          </reference>
        </references>
      </pivotArea>
    </chartFormat>
    <chartFormat chart="2" format="73" series="1">
      <pivotArea type="data" outline="0" fieldPosition="0">
        <references count="2">
          <reference field="4294967294" count="1" selected="0">
            <x v="0"/>
          </reference>
          <reference field="1" count="1" selected="0">
            <x v="69"/>
          </reference>
        </references>
      </pivotArea>
    </chartFormat>
    <chartFormat chart="2" format="74" series="1">
      <pivotArea type="data" outline="0" fieldPosition="0">
        <references count="2">
          <reference field="4294967294" count="1" selected="0">
            <x v="0"/>
          </reference>
          <reference field="1" count="1" selected="0">
            <x v="70"/>
          </reference>
        </references>
      </pivotArea>
    </chartFormat>
    <chartFormat chart="2" format="75" series="1">
      <pivotArea type="data" outline="0" fieldPosition="0">
        <references count="2">
          <reference field="4294967294" count="1" selected="0">
            <x v="0"/>
          </reference>
          <reference field="1" count="1" selected="0">
            <x v="71"/>
          </reference>
        </references>
      </pivotArea>
    </chartFormat>
    <chartFormat chart="2" format="76" series="1">
      <pivotArea type="data" outline="0" fieldPosition="0">
        <references count="2">
          <reference field="4294967294" count="1" selected="0">
            <x v="0"/>
          </reference>
          <reference field="1" count="1" selected="0">
            <x v="72"/>
          </reference>
        </references>
      </pivotArea>
    </chartFormat>
    <chartFormat chart="2" format="77" series="1">
      <pivotArea type="data" outline="0" fieldPosition="0">
        <references count="2">
          <reference field="4294967294" count="1" selected="0">
            <x v="0"/>
          </reference>
          <reference field="1" count="1" selected="0">
            <x v="73"/>
          </reference>
        </references>
      </pivotArea>
    </chartFormat>
    <chartFormat chart="2" format="78" series="1">
      <pivotArea type="data" outline="0" fieldPosition="0">
        <references count="2">
          <reference field="4294967294" count="1" selected="0">
            <x v="0"/>
          </reference>
          <reference field="1" count="1" selected="0">
            <x v="74"/>
          </reference>
        </references>
      </pivotArea>
    </chartFormat>
    <chartFormat chart="2" format="79" series="1">
      <pivotArea type="data" outline="0" fieldPosition="0">
        <references count="2">
          <reference field="4294967294" count="1" selected="0">
            <x v="0"/>
          </reference>
          <reference field="1" count="1" selected="0">
            <x v="75"/>
          </reference>
        </references>
      </pivotArea>
    </chartFormat>
    <chartFormat chart="2" format="80" series="1">
      <pivotArea type="data" outline="0" fieldPosition="0">
        <references count="2">
          <reference field="4294967294" count="1" selected="0">
            <x v="0"/>
          </reference>
          <reference field="1" count="1" selected="0">
            <x v="76"/>
          </reference>
        </references>
      </pivotArea>
    </chartFormat>
    <chartFormat chart="2" format="81" series="1">
      <pivotArea type="data" outline="0" fieldPosition="0">
        <references count="2">
          <reference field="4294967294" count="1" selected="0">
            <x v="0"/>
          </reference>
          <reference field="1" count="1" selected="0">
            <x v="77"/>
          </reference>
        </references>
      </pivotArea>
    </chartFormat>
    <chartFormat chart="2" format="82" series="1">
      <pivotArea type="data" outline="0" fieldPosition="0">
        <references count="2">
          <reference field="4294967294" count="1" selected="0">
            <x v="0"/>
          </reference>
          <reference field="1" count="1" selected="0">
            <x v="78"/>
          </reference>
        </references>
      </pivotArea>
    </chartFormat>
    <chartFormat chart="2" format="83" series="1">
      <pivotArea type="data" outline="0" fieldPosition="0">
        <references count="2">
          <reference field="4294967294" count="1" selected="0">
            <x v="0"/>
          </reference>
          <reference field="1" count="1" selected="0">
            <x v="79"/>
          </reference>
        </references>
      </pivotArea>
    </chartFormat>
    <chartFormat chart="2" format="85" series="1">
      <pivotArea type="data" outline="0" fieldPosition="0">
        <references count="1">
          <reference field="4294967294" count="1" selected="0">
            <x v="0"/>
          </reference>
        </references>
      </pivotArea>
    </chartFormat>
    <chartFormat chart="2" format="86">
      <pivotArea type="data" outline="0" fieldPosition="0">
        <references count="1">
          <reference field="4294967294" count="1" selected="0">
            <x v="2"/>
          </reference>
        </references>
      </pivotArea>
    </chartFormat>
    <chartFormat chart="2" format="87">
      <pivotArea type="data" outline="0" fieldPosition="0">
        <references count="1">
          <reference field="4294967294" count="1" selected="0">
            <x v="1"/>
          </reference>
        </references>
      </pivotArea>
    </chartFormat>
    <chartFormat chart="2" format="88">
      <pivotArea type="data" outline="0" fieldPosition="0">
        <references count="1">
          <reference field="4294967294" count="1" selected="0">
            <x v="0"/>
          </reference>
        </references>
      </pivotArea>
    </chartFormat>
    <chartFormat chart="2" format="89">
      <pivotArea type="data" outline="0" fieldPosition="0">
        <references count="1">
          <reference field="4294967294" count="1" selected="0">
            <x v="3"/>
          </reference>
        </references>
      </pivotArea>
    </chartFormat>
    <chartFormat chart="4" format="95" series="1">
      <pivotArea type="data" outline="0" fieldPosition="0">
        <references count="1">
          <reference field="4294967294" count="1" selected="0">
            <x v="0"/>
          </reference>
        </references>
      </pivotArea>
    </chartFormat>
    <chartFormat chart="4" format="96">
      <pivotArea type="data" outline="0" fieldPosition="0">
        <references count="1">
          <reference field="4294967294" count="1" selected="0">
            <x v="0"/>
          </reference>
        </references>
      </pivotArea>
    </chartFormat>
    <chartFormat chart="4" format="97">
      <pivotArea type="data" outline="0" fieldPosition="0">
        <references count="1">
          <reference field="4294967294" count="1" selected="0">
            <x v="1"/>
          </reference>
        </references>
      </pivotArea>
    </chartFormat>
    <chartFormat chart="4" format="98">
      <pivotArea type="data" outline="0" fieldPosition="0">
        <references count="1">
          <reference field="4294967294" count="1" selected="0">
            <x v="2"/>
          </reference>
        </references>
      </pivotArea>
    </chartFormat>
    <chartFormat chart="4" format="99">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TEM" xr10:uid="{E8C72A28-6AB2-4088-B5FE-ABA2E888D8B4}" sourceName="ITEM">
  <pivotTables>
    <pivotTable tabId="155" name="TablaDinámica2"/>
    <pivotTable tabId="155" name="TablaDinámica6"/>
  </pivotTables>
  <data>
    <tabular pivotCacheId="432921647">
      <items count="208">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2" s="1"/>
        <i x="113" s="1"/>
        <i x="114" s="1"/>
        <i x="115" s="1"/>
        <i x="116" s="1"/>
        <i x="117" s="1"/>
        <i x="118" s="1"/>
        <i x="119" s="1"/>
        <i x="120" s="1"/>
        <i x="121" s="1"/>
        <i x="122" s="1"/>
        <i x="123" s="1"/>
        <i x="124" s="1"/>
        <i x="125" s="1"/>
        <i x="126" s="1"/>
        <i x="127" s="1"/>
        <i x="128" s="1"/>
        <i x="129" s="1"/>
        <i x="130" s="1"/>
        <i x="131" s="1"/>
        <i x="132" s="1"/>
        <i x="133" s="1"/>
        <i x="134" s="1"/>
        <i x="135" s="1"/>
        <i x="136" s="1"/>
        <i x="137" s="1"/>
        <i x="138" s="1"/>
        <i x="139" s="1"/>
        <i x="140" s="1"/>
        <i x="141" s="1"/>
        <i x="142" s="1"/>
        <i x="143" s="1"/>
        <i x="144" s="1"/>
        <i x="145" s="1"/>
        <i x="146" s="1"/>
        <i x="147" s="1"/>
        <i x="148" s="1"/>
        <i x="149" s="1"/>
        <i x="150" s="1"/>
        <i x="151" s="1"/>
        <i x="152" s="1"/>
        <i x="153" s="1"/>
        <i x="154" s="1"/>
        <i x="155" s="1"/>
        <i x="156" s="1"/>
        <i x="157" s="1"/>
        <i x="158" s="1"/>
        <i x="159" s="1"/>
        <i x="160" s="1"/>
        <i x="161" s="1"/>
        <i x="162" s="1"/>
        <i x="163" s="1"/>
        <i x="164" s="1"/>
        <i x="165" s="1"/>
        <i x="166" s="1"/>
        <i x="167" s="1"/>
        <i x="168" s="1"/>
        <i x="169" s="1"/>
        <i x="170" s="1"/>
        <i x="171" s="1"/>
        <i x="172" s="1"/>
        <i x="173" s="1"/>
        <i x="174" s="1"/>
        <i x="175" s="1"/>
        <i x="176" s="1"/>
        <i x="177" s="1"/>
        <i x="178" s="1"/>
        <i x="179" s="1"/>
        <i x="180" s="1"/>
        <i x="181" s="1"/>
        <i x="182" s="1"/>
        <i x="183" s="1"/>
        <i x="184" s="1"/>
        <i x="185" s="1"/>
        <i x="186" s="1"/>
        <i x="187" s="1"/>
        <i x="188" s="1"/>
        <i x="189" s="1"/>
        <i x="190" s="1"/>
        <i x="191" s="1"/>
        <i x="192" s="1"/>
        <i x="193" s="1"/>
        <i x="194" s="1"/>
        <i x="195" s="1"/>
        <i x="196" s="1"/>
        <i x="197" s="1"/>
        <i x="198" s="1"/>
        <i x="199" s="1"/>
        <i x="200" s="1"/>
        <i x="201" s="1"/>
        <i x="202" s="1"/>
        <i x="203" s="1"/>
        <i x="204" s="1"/>
        <i x="205" s="1"/>
        <i x="206" s="1"/>
        <i x="20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TEM2" xr10:uid="{7C43021C-B49D-418F-9BDD-9C1ABB05A5DA}" sourceName="ITEM">
  <pivotTables>
    <pivotTable tabId="155" name="TablaDinámica4"/>
  </pivotTables>
  <data>
    <tabular pivotCacheId="432921647">
      <items count="208">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2" s="1"/>
        <i x="113" s="1"/>
        <i x="114" s="1"/>
        <i x="115" s="1"/>
        <i x="116" s="1"/>
        <i x="117" s="1"/>
        <i x="118" s="1"/>
        <i x="119" s="1"/>
        <i x="120" s="1"/>
        <i x="121" s="1"/>
        <i x="122" s="1"/>
        <i x="123" s="1"/>
        <i x="124" s="1"/>
        <i x="125" s="1"/>
        <i x="126" s="1"/>
        <i x="127" s="1"/>
        <i x="128" s="1"/>
        <i x="129" s="1"/>
        <i x="130" s="1"/>
        <i x="131" s="1"/>
        <i x="132" s="1"/>
        <i x="133" s="1"/>
        <i x="134" s="1"/>
        <i x="135" s="1"/>
        <i x="136" s="1"/>
        <i x="137" s="1"/>
        <i x="138" s="1"/>
        <i x="139" s="1"/>
        <i x="140" s="1"/>
        <i x="141" s="1"/>
        <i x="142" s="1"/>
        <i x="143" s="1"/>
        <i x="144" s="1"/>
        <i x="145" s="1"/>
        <i x="146" s="1"/>
        <i x="147" s="1"/>
        <i x="148" s="1"/>
        <i x="149" s="1"/>
        <i x="150" s="1"/>
        <i x="151" s="1"/>
        <i x="152" s="1"/>
        <i x="153" s="1"/>
        <i x="154" s="1"/>
        <i x="155" s="1"/>
        <i x="156" s="1"/>
        <i x="157" s="1"/>
        <i x="158" s="1"/>
        <i x="159" s="1"/>
        <i x="160" s="1"/>
        <i x="161" s="1"/>
        <i x="162" s="1"/>
        <i x="163" s="1"/>
        <i x="164" s="1"/>
        <i x="165" s="1"/>
        <i x="166" s="1"/>
        <i x="167" s="1"/>
        <i x="168" s="1"/>
        <i x="169" s="1"/>
        <i x="170" s="1"/>
        <i x="171" s="1"/>
        <i x="172" s="1"/>
        <i x="173" s="1"/>
        <i x="174" s="1"/>
        <i x="175" s="1"/>
        <i x="176" s="1"/>
        <i x="177" s="1"/>
        <i x="178" s="1"/>
        <i x="179" s="1"/>
        <i x="180" s="1"/>
        <i x="181" s="1"/>
        <i x="182" s="1"/>
        <i x="183" s="1"/>
        <i x="184" s="1"/>
        <i x="185" s="1"/>
        <i x="186" s="1"/>
        <i x="187" s="1"/>
        <i x="188" s="1"/>
        <i x="189" s="1"/>
        <i x="190" s="1"/>
        <i x="191" s="1"/>
        <i x="192" s="1"/>
        <i x="193" s="1"/>
        <i x="194" s="1"/>
        <i x="195" s="1"/>
        <i x="196" s="1"/>
        <i x="197" s="1"/>
        <i x="198" s="1"/>
        <i x="199" s="1"/>
        <i x="200" s="1"/>
        <i x="201" s="1"/>
        <i x="202" s="1"/>
        <i x="203" s="1"/>
        <i x="204" s="1"/>
        <i x="205" s="1"/>
        <i x="206" s="1"/>
        <i x="20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PITULO1" xr10:uid="{5B5F4978-C82E-4706-9E22-200BAB0B97F1}" sourceName="CAPITULO ">
  <pivotTables>
    <pivotTable tabId="155" name="TablaDinámica2"/>
    <pivotTable tabId="155" name="TablaDinámica6"/>
  </pivotTables>
  <data>
    <tabular pivotCacheId="432921647">
      <items count="14">
        <i x="1" s="1"/>
        <i x="0" s="1"/>
        <i x="2" s="1"/>
        <i x="11" s="1" nd="1"/>
        <i x="5" s="1" nd="1"/>
        <i x="12" s="1" nd="1"/>
        <i x="7" s="1" nd="1"/>
        <i x="6" s="1" nd="1"/>
        <i x="8" s="1" nd="1"/>
        <i x="13" s="1" nd="1"/>
        <i x="10" s="1" nd="1"/>
        <i x="9" s="1" nd="1"/>
        <i x="3" s="1" nd="1"/>
        <i x="4"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PITULO" xr10:uid="{EC1923E3-88F3-4221-A666-F653B2E6E9C7}" sourceName="CAPITULO ">
  <pivotTables>
    <pivotTable tabId="155" name="TablaDinámica4"/>
  </pivotTables>
  <data>
    <tabular pivotCacheId="432921647">
      <items count="14">
        <i x="1" s="1"/>
        <i x="0" s="1"/>
        <i x="2" s="1"/>
        <i x="11" s="1" nd="1"/>
        <i x="5" s="1" nd="1"/>
        <i x="12" s="1" nd="1"/>
        <i x="7" s="1" nd="1"/>
        <i x="6" s="1" nd="1"/>
        <i x="8" s="1" nd="1"/>
        <i x="13" s="1" nd="1"/>
        <i x="10" s="1" nd="1"/>
        <i x="9" s="1" nd="1"/>
        <i x="3" s="1" nd="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3" xr10:uid="{9B2B737F-AA8C-442C-A43C-01C4F66E9B16}" cache="SegmentaciónDeDatos_ITEM" caption="ITEM DEL PRESUPUESTO" columnCount="10" style="SlicerStyleDark1 2" rowHeight="241300"/>
  <slicer name="ITEM 4" xr10:uid="{65814A2B-AC2A-438C-8EE8-F357EB05C1E7}" cache="SegmentaciónDeDatos_ITEM2" caption="ITEM DEL PRESUPUESTO" columnCount="3" style="SlicerStyleDark1 2" rowHeight="234950"/>
  <slicer name="CAPITULO  1" xr10:uid="{032D691D-061D-4875-9B18-1DA37CF2EC4E}" cache="SegmentaciónDeDatos_CAPITULO1" caption="CAPITULO DEL PRESUPUESTO" startItem="8" style="SlicerStyleDark1 2" rowHeight="234950"/>
  <slicer name="CAPITULO " xr10:uid="{3CDD107A-07AA-428C-B5FB-52F726A9F2E6}" cache="SegmentaciónDeDatos_CAPITULO" caption="CAPITULO DEL PRESUPUESTO" style="SlicerStyleDark1 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1" xr10:uid="{E9C26958-BC34-42BE-B2A6-5B011896A635}" cache="SegmentaciónDeDatos_ITEM" caption="ITEM" columnCount="7" rowHeight="241300"/>
  <slicer name="ITEM" xr10:uid="{29D39454-E4EE-472D-87A7-A4039E4B34F1}" cache="SegmentaciónDeDatos_ITEM" caption="ITEM" columnCount="7"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E9AE226-8DB7-41FB-89EF-D7880AA0CBB2}" name="Tabla1" displayName="Tabla1" ref="A4:O87" totalsRowShown="0" headerRowDxfId="1067">
  <autoFilter ref="A4:O87" xr:uid="{5E9AE226-8DB7-41FB-89EF-D7880AA0CBB2}"/>
  <tableColumns count="15">
    <tableColumn id="1" xr3:uid="{C9B3FE92-CB8F-4E2A-B84C-DD1924A20416}" name="LISTA DE MAQUINARIA">
      <calculatedColumnFormula>IF(Tabla1[[#This Row],[MAQUINARIA O EQUIPO (MACHINERY AND EQUIP)]]="","",CONCATENATE(Tabla1[[#This Row],[MAQUINARIA O EQUIPO (MACHINERY AND EQUIP)]],"-",Tabla1[[#This Row],[MODELO (MODEL)]],"-",Tabla1[[#This Row],[AÑO (YEAR)]],"-", Tabla1[[#This Row],[PROVEEDOR (SUPPLIER)]]))</calculatedColumnFormula>
    </tableColumn>
    <tableColumn id="2" xr3:uid="{BD93BE2C-5F8F-4C14-BD4C-AD25B9072ABF}" name="MAQUINARIA O EQUIPO (MACHINERY AND EQUIP)" dataDxfId="1066"/>
    <tableColumn id="3" xr3:uid="{5EB94415-7BF6-4F49-A8F5-1832D3C93839}" name="UND (UNIT)" dataDxfId="1065"/>
    <tableColumn id="4" xr3:uid="{98855EE9-E470-44A9-9C2F-72F35F56CA7C}" name="VALOR ALQUILES MES (MONTHLY RENT)" dataDxfId="1064"/>
    <tableColumn id="5" xr3:uid="{4ADBC760-100C-4EA3-BA0C-ED0DAC24FEE2}" name="TIEMPO USO AL MES (TIME OF USE MONTH)" dataDxfId="1063"/>
    <tableColumn id="6" xr3:uid="{1210FAEF-F446-4BDF-8D39-E76BF3764ACF}" name="VALOR UNITARIO HORA (UNIT HOUR VALUE)" dataDxfId="1062">
      <calculatedColumnFormula>IF(Tabla1[[#This Row],[VALOR ALQUILES MES (MONTHLY RENT)]]="","",IF(Tabla1[[#This Row],[TIEMPO USO AL MES (TIME OF USE MONTH)]]="","",Tabla1[[#This Row],[VALOR ALQUILES MES (MONTHLY RENT)]]/Tabla1[[#This Row],[TIEMPO USO AL MES (TIME OF USE MONTH)]]))</calculatedColumnFormula>
    </tableColumn>
    <tableColumn id="7" xr3:uid="{81D33873-B04B-4160-9132-EB468C8B670A}" name="CONSUMO COMBUSTIBLE HORA  (UNIT HOUR VALUE)" dataDxfId="1061"/>
    <tableColumn id="14" xr3:uid="{20800AD7-9F52-4970-A5BB-0845FF764CEE}" name="VALOR GALON COMBUSTIBLE (FUEL GALLON VALUE)" dataDxfId="1060"/>
    <tableColumn id="15" xr3:uid="{181DAE8F-FE95-4F7C-B938-2D9E6F554B5C}" name="VALOR COMBUSTIBLE POR HORA (FUEL GALLON VALUE PER HOUR)" dataDxfId="1059">
      <calculatedColumnFormula>IF(Tabla1[[#This Row],[CONSUMO COMBUSTIBLE HORA  (UNIT HOUR VALUE)]]="","",Tabla1[[#This Row],[CONSUMO COMBUSTIBLE HORA  (UNIT HOUR VALUE)]]*Tabla1[[#This Row],[VALOR GALON COMBUSTIBLE (FUEL GALLON VALUE)]])</calculatedColumnFormula>
    </tableColumn>
    <tableColumn id="8" xr3:uid="{578C5AB6-E297-49B0-84B9-E9CC4EF6E912}" name="VALOR TOTAL HORA (TOTAL HOURLY)" dataDxfId="1058">
      <calculatedColumnFormula>IF(Tabla1[[#This Row],[VALOR UNITARIO HORA (UNIT HOUR VALUE)]]="","",Tabla1[[#This Row],[VALOR UNITARIO HORA (UNIT HOUR VALUE)]]+Tabla1[[#This Row],[VALOR COMBUSTIBLE POR HORA (FUEL GALLON VALUE PER HOUR)]])</calculatedColumnFormula>
    </tableColumn>
    <tableColumn id="9" xr3:uid="{9A862F6D-2CA5-4E47-AC28-3C6F89D9964A}" name="MODELO (MODEL)" dataDxfId="1057"/>
    <tableColumn id="10" xr3:uid="{0D8E6332-5D66-41DE-BEBD-A9B733FC53F9}" name="AÑO (YEAR)" dataDxfId="1056"/>
    <tableColumn id="11" xr3:uid="{354F8207-002E-45C3-871E-3493B8F775C6}" name="PROVEEDOR (SUPPLIER)" dataDxfId="1055"/>
    <tableColumn id="12" xr3:uid="{D4ECCDA3-9364-43AC-848E-D4023F0D29CF}" name="COTIZACION" dataDxfId="1054"/>
    <tableColumn id="13" xr3:uid="{9CB831C9-8CDE-459F-B0B5-B2A7D4F7CFDD}" name="FICHA TECNICA (TECHNICAL DATA)" dataDxfId="1053"/>
  </tableColumns>
  <tableStyleInfo name="TableStyleLight1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2E19D57-A37E-41C4-B31D-2B975A54FA66}" name="Tabla8" displayName="Tabla8" ref="B7:G27" totalsRowShown="0" headerRowDxfId="1052">
  <autoFilter ref="B7:G27" xr:uid="{92E19D57-A37E-41C4-B31D-2B975A54FA66}"/>
  <tableColumns count="6">
    <tableColumn id="1" xr3:uid="{55D479CE-E54E-46D9-AB06-3A16C6F2406A}" name="ITEM" dataDxfId="1051"/>
    <tableColumn id="2" xr3:uid="{635D14E0-46CE-4C5E-AB95-0E43E0547432}" name="EPP ( PERSONAL PROTECTIVE EQUIPMENT)" dataDxfId="1050"/>
    <tableColumn id="3" xr3:uid="{C8EECEF5-FE5D-404E-BB9F-E5AFC0885541}" name="VALOR UNITARIO (UNIT VALUE)" dataDxfId="1049"/>
    <tableColumn id="4" xr3:uid="{3B531EF0-CCE7-4D09-A2AD-D4102ED04623}" name="CANTIDAD TOTAL PARA EL PROYECTO (PROJECT QUANTITY)" dataDxfId="1048"/>
    <tableColumn id="5" xr3:uid="{2880A366-F33B-4AD8-873A-CA4B094D3A1C}" name="CANTIDAD MES (QUANTITY PER MONTH)" dataDxfId="1047">
      <calculatedColumnFormula>+IF(Tabla8[[#This Row],[CANTIDAD TOTAL PARA EL PROYECTO (PROJECT QUANTITY)]]="","",Tabla8[[#This Row],[CANTIDAD TOTAL PARA EL PROYECTO (PROJECT QUANTITY)]]/DURCION_PROYECTO)</calculatedColumnFormula>
    </tableColumn>
    <tableColumn id="6" xr3:uid="{08651BEC-23D1-427D-8E23-FA3C768426BD}" name="SUBTOTAL" dataDxfId="1046">
      <calculatedColumnFormula>+IF(Tabla8[[#This Row],[CANTIDAD MES (QUANTITY PER MONTH)]]="","",Tabla8[[#This Row],[VALOR UNITARIO (UNIT VALUE)]]*Tabla8[[#This Row],[CANTIDAD MES (QUANTITY PER MONTH)]])</calculatedColumnFormula>
    </tableColumn>
  </tableColumns>
  <tableStyleInfo name="TableStyleLight1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71434EF9-797B-4CB7-8C47-88A0D2CDA087}" name="Tabla810" displayName="Tabla810" ref="I7:N27" totalsRowShown="0" headerRowDxfId="1045">
  <autoFilter ref="I7:N27" xr:uid="{71434EF9-797B-4CB7-8C47-88A0D2CDA087}"/>
  <tableColumns count="6">
    <tableColumn id="1" xr3:uid="{99AEEC1B-24FE-4DDB-AD2D-C8BFAE6EEF5B}" name="ITEM" dataDxfId="1044"/>
    <tableColumn id="2" xr3:uid="{375E2B24-DE9B-4D22-9E86-DB7B6FAC91F3}" name="EPP ( PERSONAL PROTECTIVE EQUIPMENT)" dataDxfId="1043"/>
    <tableColumn id="3" xr3:uid="{ABDA1C98-0715-4583-82FE-F1678CE01A42}" name="VALOR UNITARIO (UNIT VALUE)" dataDxfId="1042"/>
    <tableColumn id="4" xr3:uid="{A60BBEC3-55E8-4F56-A40C-F5283DB9F48B}" name="CANTIDAD TOTAL PARA EL PROYECTO (PROJECT QUANTITY)" dataDxfId="1041"/>
    <tableColumn id="5" xr3:uid="{3E79C6E0-4460-452A-BA88-3D1C919C00BB}" name="CANTIDAD MES (QUANTITY PER MONTH)" dataDxfId="1040">
      <calculatedColumnFormula>+IF(Tabla810[[#This Row],[CANTIDAD TOTAL PARA EL PROYECTO (PROJECT QUANTITY)]]="","",Tabla810[[#This Row],[CANTIDAD TOTAL PARA EL PROYECTO (PROJECT QUANTITY)]]/DURCION_PROYECTO)</calculatedColumnFormula>
    </tableColumn>
    <tableColumn id="6" xr3:uid="{23C97078-AFF1-4F6A-BA87-1137E375A90E}" name="SUBTOTAL" dataDxfId="1039">
      <calculatedColumnFormula>+IF(Tabla810[[#This Row],[CANTIDAD MES (QUANTITY PER MONTH)]]="","",Tabla810[[#This Row],[CANTIDAD MES (QUANTITY PER MONTH)]]*Tabla810[[#This Row],[VALOR UNITARIO (UNIT VALUE)]])</calculatedColumnFormula>
    </tableColumn>
  </tableColumns>
  <tableStyleInfo name="TableStyleLight13"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CAF842C-D297-44A8-8D10-324F6706C3F5}" name="Tabla2" displayName="Tabla2" ref="A4:O41" totalsRowShown="0">
  <autoFilter ref="A4:O41" xr:uid="{8CAF842C-D297-44A8-8D10-324F6706C3F5}"/>
  <tableColumns count="15">
    <tableColumn id="1" xr3:uid="{C2540F15-2A59-4D82-8E52-34921838BEC0}" name="PERSONAL" dataDxfId="1038"/>
    <tableColumn id="2" xr3:uid="{3565D2B4-81CA-4FBF-BA1D-B408F7C50AB9}" name="UNIDAD " dataDxfId="1037"/>
    <tableColumn id="3" xr3:uid="{6268BF20-3B77-4C96-8A97-AD5BB6B04D81}" name="V MENSUAL " dataDxfId="1036"/>
    <tableColumn id="14" xr3:uid="{946E398A-ED5A-445B-8833-B4C19ADBB6A6}" name="LOCAL" dataDxfId="1035"/>
    <tableColumn id="11" xr3:uid="{3DBA8DB9-F934-437E-8D22-1253E51B4F2A}" name="ADMINISTRATIVO" dataDxfId="1034"/>
    <tableColumn id="10" xr3:uid="{3670E9D5-E75C-4222-8568-0C033B6DF26A}" name="DESCUENTOS LEGALES" dataDxfId="1033">
      <calculatedColumnFormula>IF(Tabla2[[#This Row],[ADMINISTRATIVO]]="","",+DESCUENTOS_LEGALES)</calculatedColumnFormula>
    </tableColumn>
    <tableColumn id="13" xr3:uid="{DAF12D97-0057-46EF-A83A-98AC84351D52}" name="INDEMNIZACION TIEMPO SERVIDO" dataDxfId="1032">
      <calculatedColumnFormula>IF(Tabla2[[#This Row],[V MENSUAL ]]="","",IF(PAIS="CHILE",(Tabla2[[#This Row],[V MENSUAL ]]/30)*2,0))</calculatedColumnFormula>
    </tableColumn>
    <tableColumn id="12" xr3:uid="{17CD7485-92C2-461B-A8A5-A87C524D0438}" name="LIQUIDACION DE FERIADOS" dataDxfId="1031">
      <calculatedColumnFormula>+IF(Tabla2[[#This Row],[V MENSUAL ]]="","",IF(PAIS="CHILE",(Tabla2[[#This Row],[V MENSUAL ]]/30)*1.5,0))</calculatedColumnFormula>
    </tableColumn>
    <tableColumn id="15" xr3:uid="{163E4F62-45FA-405A-9DED-0E953F995049}" name="GRATIFICACION" dataDxfId="1030">
      <calculatedColumnFormula>IF(Tabla2[[#This Row],[V MENSUAL ]]="","",IF(PAIS="CHILE",IF(Tabla2[[#This Row],[V MENSUAL ]]*0.25&gt;133396,133396,Tabla2[[#This Row],[V MENSUAL ]]*0.25),0))</calculatedColumnFormula>
    </tableColumn>
    <tableColumn id="9" xr3:uid="{A20CB018-6AC4-4813-991C-58C447AEE41C}" name="OTRAS OBLIGACIONES" dataDxfId="1029">
      <calculatedColumnFormula>IF(Tabla2[[#This Row],[LOCAL]]="SI",0,1500000)</calculatedColumnFormula>
    </tableColumn>
    <tableColumn id="8" xr3:uid="{6962ABB1-167A-49EA-BA88-6B71F99FC84A}" name="% OTRAS OBLIGACIONES" dataDxfId="1028">
      <calculatedColumnFormula>IF(Tabla2[[#This Row],[ADMINISTRATIVO]]="","",Tabla2[[#This Row],[OTRAS OBLIGACIONES]]/Tabla2[[#This Row],[V MENSUAL ]])</calculatedColumnFormula>
    </tableColumn>
    <tableColumn id="4" xr3:uid="{D1B2B03E-BFBA-424B-A1CD-D577E4B47C96}" name="FACTOR PRESTACIONAL" dataDxfId="1027">
      <calculatedColumnFormula>IF(Tabla2[[#This Row],[ADMINISTRATIVO]]="","",1+Tabla2[[#This Row],[% OTRAS OBLIGACIONES]]+Tabla2[[#This Row],[DESCUENTOS LEGALES]])</calculatedColumnFormula>
    </tableColumn>
    <tableColumn id="5" xr3:uid="{F3E22345-B950-46F1-BBF8-E73873DBD933}" name="VALOR MES MAS FACTOR PRESTACIONAL " dataDxfId="1026">
      <calculatedColumnFormula>IF(Tabla2[[#This Row],[V MENSUAL ]]="","",IF(Tabla2[[#This Row],[FACTOR PRESTACIONAL]]="","",Tabla2[[#This Row],[V MENSUAL ]]*Tabla2[[#This Row],[FACTOR PRESTACIONAL]]))</calculatedColumnFormula>
    </tableColumn>
    <tableColumn id="6" xr3:uid="{362310AF-1EB7-4629-BCEB-52A2EA0353F8}" name="HORAS TRABAJO AL MES" dataDxfId="1025"/>
    <tableColumn id="7" xr3:uid="{FFF63FF8-A63E-47A4-8959-B0DD496DDF45}" name="VALOR HORA" dataDxfId="1024">
      <calculatedColumnFormula>IF(Tabla2[[#This Row],[VALOR MES MAS FACTOR PRESTACIONAL ]]="","",IF(Tabla2[[#This Row],[HORAS TRABAJO AL MES]]="","",Tabla2[[#This Row],[VALOR MES MAS FACTOR PRESTACIONAL ]]/Tabla2[[#This Row],[HORAS TRABAJO AL MES]]))</calculatedColumnFormula>
    </tableColumn>
  </tableColumns>
  <tableStyleInfo name="TableStyleLight2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38A0B1B-FF31-4B86-8795-46CA9037A3A3}" name="Tabla4" displayName="Tabla4" ref="A4:J244" totalsRowShown="0">
  <autoFilter ref="A4:J244" xr:uid="{338A0B1B-FF31-4B86-8795-46CA9037A3A3}"/>
  <sortState xmlns:xlrd2="http://schemas.microsoft.com/office/spreadsheetml/2017/richdata2" ref="A5:J203">
    <sortCondition ref="A4:A203"/>
  </sortState>
  <tableColumns count="10">
    <tableColumn id="1" xr3:uid="{A0BC0595-2DD1-46AD-8E69-BA03B28E20B9}" name="LISTA DE MATERIALES">
      <calculatedColumnFormula>IF(Tabla4[[#This Row],[MATERIAL]]="","",CONCATENATE(Tabla4[[#This Row],[MATERIAL]],"-",Tabla4[[#This Row],[MARCA ]],"-",Tabla4[[#This Row],[PROVEEDOR ]],"-",Tabla4[[#This Row],[USO-CATEGORIA]]))</calculatedColumnFormula>
    </tableColumn>
    <tableColumn id="2" xr3:uid="{A3637A63-E45D-4D61-94E2-E73C08468B98}" name="MATERIAL" dataDxfId="1023"/>
    <tableColumn id="3" xr3:uid="{55E0877A-B455-4817-BC81-5ABB2ACBFD80}" name="UND" dataDxfId="1022"/>
    <tableColumn id="4" xr3:uid="{4659011C-5291-462D-B212-E4F085CFEDDC}" name="V UNITARIO" dataDxfId="1021"/>
    <tableColumn id="5" xr3:uid="{B88C8F6C-A566-4767-8A81-B09BE1C1BA8C}" name="MARCA " dataDxfId="1020"/>
    <tableColumn id="6" xr3:uid="{531504C7-0A2A-4EE4-8413-369CB26A647D}" name="PROVEEDOR " dataDxfId="1019"/>
    <tableColumn id="7" xr3:uid="{09AEE000-4173-402F-B300-C379075E785F}" name="USO-CATEGORIA" dataDxfId="1018"/>
    <tableColumn id="8" xr3:uid="{78954831-AFDA-47BB-8490-1A06C39B2D30}" name="COTIZACION" dataDxfId="1017"/>
    <tableColumn id="9" xr3:uid="{A081A30F-367B-4848-8E35-BA1E73A329EE}" name="FICHA TECNICA " dataDxfId="1016"/>
    <tableColumn id="10" xr3:uid="{EAF095A2-7421-40DB-877D-3A817FFE4E8D}" name="OBSERVACION" dataDxfId="1015"/>
  </tableColumns>
  <tableStyleInfo name="TableStyleLight1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D60362C-74CD-478F-A7C6-53AD8EC1850E}" name="Tabla38" displayName="Tabla38" ref="B12:G30" totalsRowShown="0">
  <autoFilter ref="B12:G30" xr:uid="{AD4AF869-2F49-45EC-8818-5B0F81E6B46A}"/>
  <tableColumns count="6">
    <tableColumn id="1" xr3:uid="{DE43D748-8199-499D-8378-341FEDD5E420}" name="Personal"/>
    <tableColumn id="2" xr3:uid="{7D24ADDD-E530-4A1C-926F-8A1133D468FD}" name="Cantidad" dataDxfId="1014"/>
    <tableColumn id="3" xr3:uid="{28F39C9C-70DD-4A62-904B-3CA1C2D0BCFE}" name="Sueldo base" dataDxfId="1013">
      <calculatedColumnFormula>+IF(B13="","",INDEX(V_MANODEOBRA_MENSUAL,MATCH(B13,L_PERSONAL,0)))</calculatedColumnFormula>
    </tableColumn>
    <tableColumn id="4" xr3:uid="{DD9C2A06-49CD-40F3-B509-F67AFDB90C1B}" name="Factor prestacional">
      <calculatedColumnFormula>+IF(D13="","",INDEX(F_PRESTACIONAL,MATCH(B13,L_PERSONAL,0)))</calculatedColumnFormula>
    </tableColumn>
    <tableColumn id="5" xr3:uid="{D0CA282C-2CDA-4CAE-BB2A-3C124D44DADF}" name="Valor mas factor prestacional" dataDxfId="1012">
      <calculatedColumnFormula>+IF(D13="","",E13*D13)</calculatedColumnFormula>
    </tableColumn>
    <tableColumn id="6" xr3:uid="{B892D736-AC21-49F0-B337-E4E55FCFBB88}" name="Subtotal Mensual" dataDxfId="1011">
      <calculatedColumnFormula>+IF(F13="","",F13*C13)</calculatedColumnFormula>
    </tableColumn>
  </tableColumns>
  <tableStyleInfo name="TableStyleLight20"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D7D31A9-DB28-4225-AB0C-B0676B705507}" name="Tabla511" displayName="Tabla511" ref="A35:H52" totalsRowShown="0">
  <autoFilter ref="A35:H52" xr:uid="{D53980EC-3940-4375-8D5C-220D80DA8729}"/>
  <tableColumns count="8">
    <tableColumn id="1" xr3:uid="{5E3227AF-D635-40DF-B897-FC55ED0A4515}" name="Equipo "/>
    <tableColumn id="2" xr3:uid="{ECE5DEAB-EB13-437D-A622-2B3066AAE0D6}" name="Cantidad"/>
    <tableColumn id="3" xr3:uid="{DD1B7D5E-849C-4D78-92D1-A1442CCE30F2}" name="Valor mensual" dataDxfId="1010">
      <calculatedColumnFormula>IF(Tabla511[[#This Row],[Equipo ]]="","",INDEX(V_MENSUAL,MATCH(Tabla511[[#This Row],[Equipo ]],LISTA_MAQUINARIA,0)))</calculatedColumnFormula>
    </tableColumn>
    <tableColumn id="4" xr3:uid="{750B0019-A810-4348-B7DB-93FC8273E3A3}" name="Combustible Hora ">
      <calculatedColumnFormula>IF(Tabla511[[#This Row],[Equipo ]]="","",INDEX(CONSUMO_COMBUSTIBLE_H,MATCH(Tabla511[[#This Row],[Equipo ]],LISTA_MAQUINARIA,0)))</calculatedColumnFormula>
    </tableColumn>
    <tableColumn id="5" xr3:uid="{A4A42BAA-0BBC-4A05-AE4E-DDEB159D52C9}" name="Valor galon" dataDxfId="1009">
      <calculatedColumnFormula>IF(Tabla511[[#This Row],[Equipo ]]="","",INDEX(V_GALON,MATCH(Tabla511[[#This Row],[Equipo ]],LISTA_MAQUINARIA,0)))</calculatedColumnFormula>
    </tableColumn>
    <tableColumn id="6" xr3:uid="{9D5C11B3-5293-483C-92CF-F2AF42ED3769}" name="Horas mes" dataDxfId="1008"/>
    <tableColumn id="7" xr3:uid="{129FB08D-2012-4106-860E-623D4CA84AB4}" name="Valor mensual + Combustible" dataDxfId="1007">
      <calculatedColumnFormula>IF(Tabla511[[#This Row],[Equipo ]]="","",Tabla511[[#This Row],[Valor mensual]]+Tabla511[[#This Row],[Combustible Hora ]]*Tabla511[[#This Row],[Valor galon]]*Tabla511[[#This Row],[Horas mes]])</calculatedColumnFormula>
    </tableColumn>
    <tableColumn id="8" xr3:uid="{34FEA3EF-97C2-4304-ABE8-7670E48158C2}" name="Subtotal maquianria y equipo" dataDxfId="1006">
      <calculatedColumnFormula>IF(Tabla511[[#This Row],[Valor mensual + Combustible]]="","",Tabla511[[#This Row],[Valor mensual + Combustible]]*Tabla511[[#This Row],[Cantidad]])</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84CEC15E-CF6B-402E-825E-4B69F7335114}" name="Tabla612" displayName="Tabla612" ref="C58:F61" totalsRowShown="0">
  <autoFilter ref="C58:F61" xr:uid="{1C3AF84A-3007-4CD5-B6BF-5F5F0792E095}"/>
  <tableColumns count="4">
    <tableColumn id="1" xr3:uid="{E4768AC6-2590-495F-B468-7A33FA301356}" name="Transporte "/>
    <tableColumn id="2" xr3:uid="{CB1EF02F-E143-4609-9566-B25AE3AD5F5B}" name="cantidad " dataDxfId="1005">
      <calculatedColumnFormula>2+3</calculatedColumnFormula>
    </tableColumn>
    <tableColumn id="3" xr3:uid="{EA114756-B786-40B7-A120-D2BE9BE693BD}" name="Valor unitario "/>
    <tableColumn id="4" xr3:uid="{71F862C9-927F-4908-869D-B7E8A7AFE270}" name="Valor total">
      <calculatedColumnFormula>+Tabla612[[#This Row],[Valor unitario ]]*Tabla612[[#This Row],[cantidad ]]</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5E87EAB-95C6-4440-BE2C-929940FBC8C1}" name="Tabla34713" displayName="Tabla34713" ref="L12:Q30" totalsRowShown="0">
  <autoFilter ref="L12:Q30" xr:uid="{93F132FB-9209-475F-A171-C62F62A14B0A}"/>
  <tableColumns count="6">
    <tableColumn id="1" xr3:uid="{A13DABD4-7DF0-44BF-9F0F-A2B150305E7E}" name="Personal" dataDxfId="1004"/>
    <tableColumn id="2" xr3:uid="{67DDEFCE-8248-40A4-BBDF-D0F4D9A544D2}" name="Cantidad" dataDxfId="1003"/>
    <tableColumn id="3" xr3:uid="{2FD1CE2B-6045-4630-AF95-738C19742DB1}" name="Sueldo base" dataDxfId="1002">
      <calculatedColumnFormula>+IF(L13="","",INDEX(V_MANODEOBRA_MENSUAL,MATCH(L13,L_PERSONAL,0)))</calculatedColumnFormula>
    </tableColumn>
    <tableColumn id="4" xr3:uid="{724AB419-AC62-4CE0-B452-BD2E25CBA1B4}" name="Factor prestacional">
      <calculatedColumnFormula>+IF(N13="","",INDEX(F_PRESTACIONAL,MATCH(L13,L_PERSONAL,0)))</calculatedColumnFormula>
    </tableColumn>
    <tableColumn id="5" xr3:uid="{83667839-0810-419F-A6BB-FDE916B46703}" name="Valor mas factor prestacional">
      <calculatedColumnFormula>+IF(N13="","",O13*N13)</calculatedColumnFormula>
    </tableColumn>
    <tableColumn id="6" xr3:uid="{7552AFF2-165A-4F23-9671-E7CAAE0932EE}" name="Valor mensual">
      <calculatedColumnFormula>+IF(P13="","",P13*M13)</calculatedColumnFormula>
    </tableColumn>
  </tableColumns>
  <tableStyleInfo name="TableStyleLight20"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97BA7B81-DF79-4D45-8408-947C01A9A9BD}" name="Tabla54814" displayName="Tabla54814" ref="K35:R51" totalsRowShown="0">
  <autoFilter ref="K35:R51" xr:uid="{9B52293F-BD95-4BCF-AA93-E1D7F3B78D7D}"/>
  <tableColumns count="8">
    <tableColumn id="1" xr3:uid="{33CBFA93-9340-474E-8D20-E4E5CC48EF41}" name="Equipo " dataDxfId="1001"/>
    <tableColumn id="2" xr3:uid="{BC677423-F68F-4B1C-AE96-6F094AB89C37}" name="Cantidad" dataDxfId="1000"/>
    <tableColumn id="3" xr3:uid="{43DAB66A-B1E6-4A7B-AC78-70222A86FF64}" name="Valor mensual" dataDxfId="999">
      <calculatedColumnFormula array="1">IF(Tabla54814[[#This Row],[Equipo ]]="","",INDEX(V_MENSUAL,MATCH(Tabla54814[[#This Row],[Equipo ]],LISTA_MAQUINARIA,0)))</calculatedColumnFormula>
    </tableColumn>
    <tableColumn id="4" xr3:uid="{F811DBB1-3462-401F-81F2-7257E3B5627B}" name="Combustible Hora " dataDxfId="998">
      <calculatedColumnFormula>IF(Tabla54814[[#This Row],[Equipo ]]="","",INDEX(CONSUMO_COMBUSTIBLE_H,MATCH(Tabla54814[[#This Row],[Equipo ]],LISTA_MAQUINARIA,0)))</calculatedColumnFormula>
    </tableColumn>
    <tableColumn id="5" xr3:uid="{91FA069F-9B41-47BA-8CA7-C030835115CE}" name="Valor galon" dataDxfId="997">
      <calculatedColumnFormula>IF(Tabla54814[[#This Row],[Equipo ]]="","",INDEX(V_GALON,MATCH(Tabla54814[[#This Row],[Equipo ]],LISTA_MAQUINARIA,0)))</calculatedColumnFormula>
    </tableColumn>
    <tableColumn id="6" xr3:uid="{2185BA0C-B5A1-421E-BAA3-A238228E3D04}" name="Horas mes" dataDxfId="996"/>
    <tableColumn id="7" xr3:uid="{DC1FEC55-C9C8-4EB1-987B-419B6FDE1CC0}" name="Valor mensual + Combustible" dataDxfId="995">
      <calculatedColumnFormula>IF(Tabla54814[[#This Row],[Equipo ]]="","",Tabla54814[[#This Row],[Valor mensual]]+Tabla54814[[#This Row],[Combustible Hora ]]*Tabla54814[[#This Row],[Valor galon]]*Tabla54814[[#This Row],[Horas mes]])</calculatedColumnFormula>
    </tableColumn>
    <tableColumn id="8" xr3:uid="{560F09E8-78AA-4377-8A8D-7953B792BFB2}" name="Valor Total" dataDxfId="994">
      <calculatedColumnFormula>IF(Tabla54814[[#This Row],[Valor mensual + Combustible]]="","",Tabla54814[[#This Row],[Valor mensual + Combustible]]*Tabla54814[[#This Row],[Cantidad]])</calculatedColumn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93C8677-3E64-4F64-9F93-A57063A68859}" name="Tabla64915" displayName="Tabla64915" ref="M60:P63" totalsRowShown="0">
  <autoFilter ref="M60:P63" xr:uid="{3EDA810C-D82E-4924-ADCD-98EBE45CE2DA}"/>
  <tableColumns count="4">
    <tableColumn id="1" xr3:uid="{93A3C3DD-4283-4AA1-9752-7A2780E11849}" name="Transporte " dataDxfId="993"/>
    <tableColumn id="2" xr3:uid="{05839485-F957-4CD0-9AE4-AB268848151C}" name="cantidad "/>
    <tableColumn id="3" xr3:uid="{59D6DACE-7AFE-4083-A6CD-91DB1F369E37}" name="Valor unitario " dataDxfId="992"/>
    <tableColumn id="4" xr3:uid="{1817C96D-266D-41CE-9651-3A76E54F781A}" name="Valor total" dataDxfId="991">
      <calculatedColumnFormula>+Tabla64915[[#This Row],[Valor unitario ]]*Tabla64915[[#This Row],[cantidad ]]</calculatedColumn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1AB8281F-13D3-46C3-A9E7-7CF749BBE9CF}" name="Tabla35016" displayName="Tabla35016" ref="V12:AA30" totalsRowShown="0">
  <autoFilter ref="V12:AA30" xr:uid="{688EF152-7084-4BF8-814F-8E72B2A2391B}"/>
  <tableColumns count="6">
    <tableColumn id="1" xr3:uid="{A7769EE5-0B96-4623-B5DD-DEBC13B126C2}" name="Personal" dataDxfId="990"/>
    <tableColumn id="2" xr3:uid="{3E82341C-D623-4B30-A70A-84B893FFFD40}" name="Cantidad" dataDxfId="989"/>
    <tableColumn id="3" xr3:uid="{B03F21C3-9C69-4AF3-876B-96F6838548B0}" name="Sueldo base" dataDxfId="988">
      <calculatedColumnFormula>+IF(V13="","",INDEX(V_MANODEOBRA_MENSUAL,MATCH(V13,L_PERSONAL,0)))</calculatedColumnFormula>
    </tableColumn>
    <tableColumn id="4" xr3:uid="{58417C29-E976-4EF8-9521-34BD0687647E}" name="Factor prestacional" dataDxfId="987">
      <calculatedColumnFormula>+IF(X13="","",INDEX(F_PRESTACIONAL,MATCH(V13,L_PERSONAL,0)))</calculatedColumnFormula>
    </tableColumn>
    <tableColumn id="5" xr3:uid="{8C542DD4-0279-4A6C-8DAD-8B5EC1CC43C9}" name="Valor mas factor prestacional" dataDxfId="986">
      <calculatedColumnFormula>+IF(X13="","",Y13*X13)</calculatedColumnFormula>
    </tableColumn>
    <tableColumn id="6" xr3:uid="{30B10F0D-2D64-456C-8CC3-ABB038DB6867}" name="Valor mensual" dataDxfId="985">
      <calculatedColumnFormula>+IF(Z13="","",Z13*W13)</calculatedColumnFormula>
    </tableColumn>
  </tableColumns>
  <tableStyleInfo name="TableStyleLight20"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2825821C-DF6F-425F-8E56-520C142BF3A7}" name="Tabla55117" displayName="Tabla55117" ref="U35:AB51" totalsRowShown="0">
  <autoFilter ref="U35:AB51" xr:uid="{88674F15-B5EF-4350-AD0A-CCBAD9D7DDC5}"/>
  <tableColumns count="8">
    <tableColumn id="1" xr3:uid="{62F8052D-4477-4C95-8C99-195A9A661310}" name="Equipo " dataDxfId="984"/>
    <tableColumn id="2" xr3:uid="{CB2D9C6D-134B-4E49-90A2-6D2389CE4AF1}" name="Cantidad" dataDxfId="983"/>
    <tableColumn id="3" xr3:uid="{77D0BBF7-D1A6-4CA1-AE77-C5A931D185EB}" name="Valor mensual" dataDxfId="982">
      <calculatedColumnFormula>IF(Tabla55117[[#This Row],[Equipo ]]="","",INDEX(V_MENSUAL,MATCH(Tabla55117[[#This Row],[Equipo ]],LISTA_MAQUINARIA,0)))</calculatedColumnFormula>
    </tableColumn>
    <tableColumn id="4" xr3:uid="{1939F8B6-E5A0-4CB0-9652-041B4299BCC5}" name="Combustible Hora " dataDxfId="981">
      <calculatedColumnFormula>IF(Tabla55117[[#This Row],[Equipo ]]="","",INDEX(CONSUMO_COMBUSTIBLE_H,MATCH(Tabla55117[[#This Row],[Equipo ]],LISTA_MAQUINARIA,0)))</calculatedColumnFormula>
    </tableColumn>
    <tableColumn id="5" xr3:uid="{66563CA2-C23D-4C51-B869-9E5E85D22572}" name="Valor galon" dataDxfId="980">
      <calculatedColumnFormula>IF(Tabla55117[[#This Row],[Equipo ]]="","",INDEX(V_GALON,MATCH(Tabla55117[[#This Row],[Equipo ]],LISTA_MAQUINARIA,0)))</calculatedColumnFormula>
    </tableColumn>
    <tableColumn id="6" xr3:uid="{D43C77E3-530D-48CC-89B7-C8F4C202C991}" name="Horas mes" dataDxfId="979"/>
    <tableColumn id="7" xr3:uid="{F55DEE17-42C9-463F-A37C-8E301DD38810}" name="Valor mensual + Combustible" dataDxfId="978">
      <calculatedColumnFormula>IF(Tabla55117[[#This Row],[Equipo ]]="","",Tabla55117[[#This Row],[Valor mensual]]+Tabla55117[[#This Row],[Combustible Hora ]]*Tabla55117[[#This Row],[Valor galon]]*Tabla55117[[#This Row],[Horas mes]])</calculatedColumnFormula>
    </tableColumn>
    <tableColumn id="8" xr3:uid="{A2AD8D84-9D1A-4426-A57E-FD2251622166}" name="Valor Total" dataDxfId="977">
      <calculatedColumnFormula>IF(Tabla55117[[#This Row],[Valor mensual + Combustible]]="","",Tabla55117[[#This Row],[Valor mensual + Combustible]]*Tabla55117[[#This Row],[Cantidad]])</calculatedColumn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100B1D4C-2E29-4905-88F6-6A4D67F07CB7}" name="Tabla65218" displayName="Tabla65218" ref="W60:Z63" totalsRowShown="0">
  <autoFilter ref="W60:Z63" xr:uid="{DD5F7FF4-770B-44AC-9D86-8464318171BB}"/>
  <tableColumns count="4">
    <tableColumn id="1" xr3:uid="{D309E9B1-7D7B-4BB1-92AA-4AC750941612}" name="Transporte " dataDxfId="976"/>
    <tableColumn id="2" xr3:uid="{97DB27A2-388D-45AB-AC99-EF795F9EB030}" name="cantidad "/>
    <tableColumn id="3" xr3:uid="{F360A04B-7116-4BB3-81AB-47B307E82B2C}" name="Valor unitario " dataDxfId="975"/>
    <tableColumn id="4" xr3:uid="{D7F7C6D4-0A9C-449E-8833-6EF9AFF71944}" name="Valor total" dataDxfId="974">
      <calculatedColumnFormula>+Tabla65218[[#This Row],[Valor unitario ]]*Tabla65218[[#This Row],[cantidad ]]</calculatedColumn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7B6A73B4-5030-4750-8A89-0C5A166A7E36}" name="Tabla35319" displayName="Tabla35319" ref="AE12:AJ30" totalsRowShown="0">
  <autoFilter ref="AE12:AJ30" xr:uid="{26FF3568-73DB-44A1-94AA-36BEFFAA2F51}"/>
  <tableColumns count="6">
    <tableColumn id="1" xr3:uid="{B1D6E6B3-75D1-4FF7-8D5B-B36DD741BF39}" name="Personal" dataDxfId="973"/>
    <tableColumn id="2" xr3:uid="{BF662FFB-F588-4E7F-A04E-29FEF27EDBC1}" name="Cantidad" dataDxfId="972"/>
    <tableColumn id="3" xr3:uid="{0B1F94C8-81AD-419B-84E6-7D73BA572849}" name="Sueldo base" dataDxfId="971">
      <calculatedColumnFormula>+IF(AE13="","",INDEX(V_MANODEOBRA_MENSUAL,MATCH(AE13,L_PERSONAL,0)))</calculatedColumnFormula>
    </tableColumn>
    <tableColumn id="4" xr3:uid="{7882B7FA-AC28-4D78-881D-9C3A89D6E88E}" name="Factor prestacional" dataDxfId="970">
      <calculatedColumnFormula>+IF(AG13="","",INDEX(F_PRESTACIONAL,MATCH(AE13,L_PERSONAL,0)))</calculatedColumnFormula>
    </tableColumn>
    <tableColumn id="5" xr3:uid="{C10406A3-463E-4C5F-AE97-881D7E96D556}" name="Valor mas factor prestacional" dataDxfId="969">
      <calculatedColumnFormula>+IF(AG13="","",AH13*AG13)</calculatedColumnFormula>
    </tableColumn>
    <tableColumn id="6" xr3:uid="{E207D9AB-F3EB-4663-B077-CC0EAB649772}" name="Valor mensual" dataDxfId="968">
      <calculatedColumnFormula>+IF(AI13="","",AI13*AF13)</calculatedColumnFormula>
    </tableColumn>
  </tableColumns>
  <tableStyleInfo name="TableStyleLight20"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893E9434-C051-4438-9574-BD159A7D0F37}" name="Tabla55420" displayName="Tabla55420" ref="AD35:AK51" totalsRowShown="0">
  <autoFilter ref="AD35:AK51" xr:uid="{025ED482-3598-43C2-A48C-578275D876E8}"/>
  <tableColumns count="8">
    <tableColumn id="1" xr3:uid="{42634002-B8E9-48AA-AAB2-E8962FA4B2E1}" name="Equipo " dataDxfId="967"/>
    <tableColumn id="2" xr3:uid="{B43CA15D-D8AD-4542-AA3D-9218718A0546}" name="Cantidad" dataDxfId="966"/>
    <tableColumn id="3" xr3:uid="{EF910E35-263D-4738-AABE-71A87AB60ADF}" name="Valor mensual" dataDxfId="965">
      <calculatedColumnFormula>IF(Tabla55420[[#This Row],[Equipo ]]="","",INDEX(V_MENSUAL,MATCH(Tabla55420[[#This Row],[Equipo ]],LISTA_MAQUINARIA,0)))</calculatedColumnFormula>
    </tableColumn>
    <tableColumn id="4" xr3:uid="{177241E7-B48E-464F-BB31-89F97EE7333D}" name="Combustible Hora " dataDxfId="964">
      <calculatedColumnFormula>IF(Tabla55420[[#This Row],[Equipo ]]="","",INDEX(CONSUMO_COMBUSTIBLE_H,MATCH(Tabla55420[[#This Row],[Equipo ]],LISTA_MAQUINARIA,0)))</calculatedColumnFormula>
    </tableColumn>
    <tableColumn id="5" xr3:uid="{4B32067C-236B-4AB6-8406-945A2B47C1E0}" name="Valor galon" dataDxfId="963">
      <calculatedColumnFormula>IF(Tabla55420[[#This Row],[Equipo ]]="","",INDEX(V_GALON,MATCH(Tabla55420[[#This Row],[Equipo ]],LISTA_MAQUINARIA,0)))</calculatedColumnFormula>
    </tableColumn>
    <tableColumn id="6" xr3:uid="{BC7EBDF6-E2F2-4711-9C92-74F197D5A691}" name="Horas mes" dataDxfId="962"/>
    <tableColumn id="7" xr3:uid="{425E4300-DEAF-4F61-8BD4-01CC439B2235}" name="Valor mensual + Combustible" dataDxfId="961">
      <calculatedColumnFormula>IF(Tabla55420[[#This Row],[Equipo ]]="","",Tabla55420[[#This Row],[Valor mensual]]+Tabla55420[[#This Row],[Combustible Hora ]]*Tabla55420[[#This Row],[Valor galon]]*Tabla55420[[#This Row],[Horas mes]])</calculatedColumnFormula>
    </tableColumn>
    <tableColumn id="8" xr3:uid="{695D3EA4-EFBE-423A-A45C-A4323A54AF98}" name="Valor Total" dataDxfId="960">
      <calculatedColumnFormula>IF(Tabla55420[[#This Row],[Valor mensual + Combustible]]="","",Tabla55420[[#This Row],[Valor mensual + Combustible]]*Tabla55420[[#This Row],[Cantidad]])</calculatedColumn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E8EA17D7-D1D6-4E5F-AB90-91867F73251C}" name="Tabla65521" displayName="Tabla65521" ref="AF60:AI63" totalsRowShown="0">
  <autoFilter ref="AF60:AI63" xr:uid="{10F4C510-7E3A-4765-A4F3-6B10CDB3E588}"/>
  <tableColumns count="4">
    <tableColumn id="1" xr3:uid="{DE5D17AD-923E-42B9-91D7-82D48D6EBE7F}" name="Transporte "/>
    <tableColumn id="2" xr3:uid="{4F1409B4-2A70-4D0E-B946-B8C5BC1C0C48}" name="cantidad "/>
    <tableColumn id="3" xr3:uid="{CF2F0764-8808-4044-AEEB-F0F3F952D94B}" name="Valor unitario " dataDxfId="959"/>
    <tableColumn id="4" xr3:uid="{94C82F4D-4E9A-4DF6-9B3D-C3785A12A66F}" name="Valor total" dataDxfId="958">
      <calculatedColumnFormula>+Tabla65521[[#This Row],[Valor unitario ]]*Tabla65521[[#This Row],[cantidad ]]</calculatedColumn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A7B9DFEF-44D4-4921-9296-05A2A1DA11BE}" name="Tabla35623" displayName="Tabla35623" ref="AO12:AT30" totalsRowShown="0">
  <autoFilter ref="AO12:AT30" xr:uid="{10BCEE44-870F-49D2-A1D0-BE8F073A3DC6}"/>
  <tableColumns count="6">
    <tableColumn id="1" xr3:uid="{D5C82F6B-4EAF-4740-A616-6D63355507E9}" name="Personal" dataDxfId="957"/>
    <tableColumn id="2" xr3:uid="{F16FDD4A-2DCE-49ED-8549-56794409F546}" name="Cantidad" dataDxfId="956"/>
    <tableColumn id="3" xr3:uid="{CD72DE83-45E2-4C25-88A7-C36CB7937BBD}" name="Sueldo base" dataDxfId="955">
      <calculatedColumnFormula>+IF(AO13="","",INDEX(V_MANODEOBRA_MENSUAL,MATCH(AO13,L_PERSONAL,0)))</calculatedColumnFormula>
    </tableColumn>
    <tableColumn id="4" xr3:uid="{1F7881E1-246D-4998-8CE9-FA463391623B}" name="Factor prestacional" dataDxfId="954">
      <calculatedColumnFormula>+IF(AQ13="","",INDEX(F_PRESTACIONAL,MATCH(AO13,L_PERSONAL,0)))</calculatedColumnFormula>
    </tableColumn>
    <tableColumn id="5" xr3:uid="{FDD2BA4C-B453-4737-B9EF-3DF39440561D}" name="Valor mas factor prestacional" dataDxfId="953">
      <calculatedColumnFormula>+IF(AQ13="","",AR13*AQ13)</calculatedColumnFormula>
    </tableColumn>
    <tableColumn id="6" xr3:uid="{DFF43EB5-CFAC-4759-B9E7-C5CFAB6DE7F7}" name="Valor mensual" dataDxfId="952">
      <calculatedColumnFormula>+IF(AS13="","",AS13*AP13)</calculatedColumnFormula>
    </tableColumn>
  </tableColumns>
  <tableStyleInfo name="TableStyleLight20"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C15420C1-7828-4F5F-A213-CF2355D7766F}" name="Tabla55724" displayName="Tabla55724" ref="AN35:AU49" totalsRowShown="0">
  <autoFilter ref="AN35:AU49" xr:uid="{1CE81462-C4C2-4378-BD00-8A55D7FA95AC}"/>
  <tableColumns count="8">
    <tableColumn id="1" xr3:uid="{AAFD0A9E-4F57-474C-AD4D-80A5DF15CD3A}" name="Equipo " dataDxfId="951"/>
    <tableColumn id="2" xr3:uid="{1C811708-9D4E-41C6-A3BC-462420E8620C}" name="Cantidad" dataDxfId="950"/>
    <tableColumn id="3" xr3:uid="{E530C5EA-FADD-4ED8-9F25-CA6A689275A1}" name="Valor mensual" dataDxfId="949">
      <calculatedColumnFormula>IF(Tabla55724[[#This Row],[Equipo ]]="","",INDEX(V_MENSUAL,MATCH(Tabla55724[[#This Row],[Equipo ]],LISTA_MAQUINARIA,0)))</calculatedColumnFormula>
    </tableColumn>
    <tableColumn id="4" xr3:uid="{796EAC4E-DFE0-4F9A-BE4F-F7CD899D9349}" name="Combustible Hora " dataDxfId="948">
      <calculatedColumnFormula>IF(Tabla55724[[#This Row],[Equipo ]]="","",INDEX(CONSUMO_COMBUSTIBLE_H,MATCH(Tabla55724[[#This Row],[Equipo ]],LISTA_MAQUINARIA,0)))</calculatedColumnFormula>
    </tableColumn>
    <tableColumn id="5" xr3:uid="{862015D7-5CAA-43B3-8D9C-F6A154CB875A}" name="Valor galon" dataDxfId="947">
      <calculatedColumnFormula>IF(Tabla55724[[#This Row],[Equipo ]]="","",INDEX(V_GALON,MATCH(Tabla55724[[#This Row],[Equipo ]],LISTA_MAQUINARIA,0)))</calculatedColumnFormula>
    </tableColumn>
    <tableColumn id="6" xr3:uid="{35726288-D70D-46C2-9492-66E94685858F}" name="Horas mes" dataDxfId="946"/>
    <tableColumn id="7" xr3:uid="{9767F763-2711-4C33-903E-74DBD9F5AAF2}" name="Valor mensual + Combustible" dataDxfId="945">
      <calculatedColumnFormula>IF(Tabla55724[[#This Row],[Equipo ]]="","",Tabla55724[[#This Row],[Valor mensual]]+Tabla55724[[#This Row],[Combustible Hora ]]*Tabla55724[[#This Row],[Valor galon]]*Tabla55724[[#This Row],[Horas mes]])</calculatedColumnFormula>
    </tableColumn>
    <tableColumn id="8" xr3:uid="{AE71EE47-B03B-4887-BD38-9C7C6A0BCA89}" name="Valor Total" dataDxfId="944">
      <calculatedColumnFormula>IF(Tabla55724[[#This Row],[Valor mensual + Combustible]]="","",Tabla55724[[#This Row],[Valor mensual + Combustible]]*Tabla55724[[#This Row],[Cantidad]])</calculatedColumnFormula>
    </tableColumn>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9" xr:uid="{D8845F4C-0240-4E7E-93AB-341AB5269665}" name="Tabla658110" displayName="Tabla658110" ref="AP58:AS61" totalsRowShown="0">
  <autoFilter ref="AP58:AS61" xr:uid="{818297B6-7909-4909-B413-B38401FE3EB9}"/>
  <tableColumns count="4">
    <tableColumn id="1" xr3:uid="{DF1CC632-4B93-48D1-895A-0D76AEAC1EE2}" name="Transporte "/>
    <tableColumn id="2" xr3:uid="{CABE3FE7-5594-48C6-918D-3E9E8C5769F8}" name="cantidad "/>
    <tableColumn id="3" xr3:uid="{E2809A0C-2C5E-4EC4-9D75-C60721F15A72}" name="Valor unitario " dataDxfId="943"/>
    <tableColumn id="4" xr3:uid="{02CA04E4-61EF-4A95-873D-37C90EAF2E4B}" name="Valor total" dataDxfId="942">
      <calculatedColumnFormula>+Tabla658110[[#This Row],[Valor unitario ]]*Tabla658110[[#This Row],[cantidad ]]</calculatedColumnFormula>
    </tableColumn>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9" xr:uid="{AA51F7E4-F25F-48D6-A160-2271C1769F93}" name="Tabla359120" displayName="Tabla359120" ref="AY12:BD30" totalsRowShown="0">
  <autoFilter ref="AY12:BD30" xr:uid="{9E02BF38-2147-4445-ABE4-64F0E7A547F3}"/>
  <tableColumns count="6">
    <tableColumn id="1" xr3:uid="{44E7CA01-6E4C-4959-AA89-20BD0C6E6AEB}" name="Personal" dataDxfId="941"/>
    <tableColumn id="2" xr3:uid="{101ABBAF-08BD-4E6B-9381-DD1C7214543A}" name="Cantidad" dataDxfId="940"/>
    <tableColumn id="3" xr3:uid="{E8699233-B889-4D6D-A9C8-FC6C99671433}" name="Sueldo base" dataDxfId="939">
      <calculatedColumnFormula>+IF(AY13="","",INDEX(V_MANODEOBRA_MENSUAL,MATCH(AY13,L_PERSONAL,0)))</calculatedColumnFormula>
    </tableColumn>
    <tableColumn id="4" xr3:uid="{B1ACBA83-2568-4FE1-BAC5-3C213AD29EEA}" name="Factor prestacional" dataDxfId="938">
      <calculatedColumnFormula>+IF(BA13="","",INDEX(F_PRESTACIONAL,MATCH(AY13,L_PERSONAL,0)))</calculatedColumnFormula>
    </tableColumn>
    <tableColumn id="5" xr3:uid="{6B2FD83F-8B20-48F4-94C2-5461C4955649}" name="Valor mas factor prestacional" dataDxfId="937">
      <calculatedColumnFormula>+IF(BA13="","",BB13*BA13)</calculatedColumnFormula>
    </tableColumn>
    <tableColumn id="6" xr3:uid="{DA28D6CB-FD7B-478A-B555-4B550F7A0945}" name="Valor mensual" dataDxfId="936">
      <calculatedColumnFormula>+IF(BC13="","",BC13*AZ13)</calculatedColumnFormula>
    </tableColumn>
  </tableColumns>
  <tableStyleInfo name="TableStyleLight20"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0" xr:uid="{66C6713F-93F2-4459-8F58-0A86383A587A}" name="Tabla560121" displayName="Tabla560121" ref="AX35:BE49" totalsRowShown="0">
  <autoFilter ref="AX35:BE49" xr:uid="{60F83B09-42F5-4D2C-A9CA-F0A2F25DF456}"/>
  <tableColumns count="8">
    <tableColumn id="1" xr3:uid="{E9890056-3908-4500-AF3D-6A3098CF937C}" name="Equipo " dataDxfId="935"/>
    <tableColumn id="2" xr3:uid="{EBE70D96-053F-4853-B690-A6301F2E79F7}" name="Cantidad" dataDxfId="934"/>
    <tableColumn id="3" xr3:uid="{13056556-6CA2-440F-A8A2-F1FBF51CF590}" name="Valor mensual" dataDxfId="933">
      <calculatedColumnFormula>IF(Tabla560121[[#This Row],[Equipo ]]="","",INDEX(V_MENSUAL,MATCH(Tabla560121[[#This Row],[Equipo ]],LISTA_MAQUINARIA,0)))</calculatedColumnFormula>
    </tableColumn>
    <tableColumn id="4" xr3:uid="{00339D86-84DC-4502-9701-82261EB176AD}" name="Combustible Hora " dataDxfId="932">
      <calculatedColumnFormula>IF(Tabla560121[[#This Row],[Equipo ]]="","",INDEX(CONSUMO_COMBUSTIBLE_H,MATCH(Tabla560121[[#This Row],[Equipo ]],LISTA_MAQUINARIA,0)))</calculatedColumnFormula>
    </tableColumn>
    <tableColumn id="5" xr3:uid="{7C0AB6D8-3784-4714-AF5D-8C80CFBFDB7F}" name="Valor galon" dataDxfId="931">
      <calculatedColumnFormula>IF(Tabla560121[[#This Row],[Equipo ]]="","",INDEX(V_GALON,MATCH(Tabla560121[[#This Row],[Equipo ]],LISTA_MAQUINARIA,0)))</calculatedColumnFormula>
    </tableColumn>
    <tableColumn id="6" xr3:uid="{739EC61B-DA7D-4378-AF4D-90D15563158E}" name="Horas mes" dataDxfId="930"/>
    <tableColumn id="7" xr3:uid="{12A99F90-0107-4E9B-8A3D-859D32377808}" name="Valor mensual + Combustible" dataDxfId="929">
      <calculatedColumnFormula>IF(Tabla560121[[#This Row],[Equipo ]]="","",Tabla560121[[#This Row],[Valor mensual]]+Tabla560121[[#This Row],[Combustible Hora ]]*Tabla560121[[#This Row],[Valor galon]]*Tabla560121[[#This Row],[Horas mes]])</calculatedColumnFormula>
    </tableColumn>
    <tableColumn id="8" xr3:uid="{1866DACB-EF5F-4DAA-B5A3-550F3C203042}" name="Valor Total" dataDxfId="928">
      <calculatedColumnFormula>IF(Tabla560121[[#This Row],[Valor mensual + Combustible]]="","",Tabla560121[[#This Row],[Valor mensual + Combustible]]*Tabla560121[[#This Row],[Cantidad]])</calculatedColumnFormula>
    </tableColumn>
  </tableColumns>
  <tableStyleInfo name="TableStyleMedium2"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1" xr:uid="{21829FEF-1D5F-4E87-9A72-84AD93581A77}" name="Tabla661122" displayName="Tabla661122" ref="AZ58:BC61" totalsRowShown="0">
  <autoFilter ref="AZ58:BC61" xr:uid="{9E4EFFC3-0D92-44E7-8923-F1231B24FBF1}"/>
  <tableColumns count="4">
    <tableColumn id="1" xr3:uid="{8EF777EB-947E-41EA-921C-B564A51677E6}" name="Transporte "/>
    <tableColumn id="2" xr3:uid="{EC144C57-2556-4E12-BFA5-BFF90F3197F5}" name="cantidad "/>
    <tableColumn id="3" xr3:uid="{D1A731ED-4A48-43A1-9845-6BCC9B883BD9}" name="Valor unitario " dataDxfId="927"/>
    <tableColumn id="4" xr3:uid="{A17266FB-16A2-431D-8D1C-BAB7BB3CA551}" name="Valor total" dataDxfId="926">
      <calculatedColumnFormula>+Tabla661122[[#This Row],[Valor unitario ]]*Tabla661122[[#This Row],[cantidad ]]</calculatedColumnFormula>
    </tableColumn>
  </tableColumns>
  <tableStyleInfo name="TableStyleMedium2"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2" xr:uid="{04185E33-556B-4124-A29E-0D1BC83D02EC}" name="Tabla362163" displayName="Tabla362163" ref="BI12:BN30" totalsRowShown="0">
  <autoFilter ref="BI12:BN30" xr:uid="{B3AF7D3B-4CB5-4734-97C5-E8F078A4887D}"/>
  <tableColumns count="6">
    <tableColumn id="1" xr3:uid="{06AAE5C0-4363-4110-9117-73DEDB89620A}" name="Personal" dataDxfId="925"/>
    <tableColumn id="2" xr3:uid="{C1F215B5-1DF9-4C37-BEB4-183A53C6EF02}" name="Cantidad" dataDxfId="924"/>
    <tableColumn id="3" xr3:uid="{4E16753B-71A9-481F-814C-307690DBD9F5}" name="Sueldo base" dataDxfId="923">
      <calculatedColumnFormula>+IF(BI13="","",INDEX(V_MANODEOBRA_MENSUAL,MATCH(BI13,L_PERSONAL,0)))</calculatedColumnFormula>
    </tableColumn>
    <tableColumn id="4" xr3:uid="{07CE39F2-7EFE-4534-9996-6A3B6C34C938}" name="Factor prestacional" dataDxfId="922">
      <calculatedColumnFormula>+IF(BK13="","",INDEX(F_PRESTACIONAL,MATCH(BI13,L_PERSONAL,0)))</calculatedColumnFormula>
    </tableColumn>
    <tableColumn id="5" xr3:uid="{820C9AE0-974D-49B7-9E40-43F7E6497E86}" name="Valor mas factor prestacional" dataDxfId="921">
      <calculatedColumnFormula>+IF(BK13="","",BL13*BK13)</calculatedColumnFormula>
    </tableColumn>
    <tableColumn id="6" xr3:uid="{B7BD7C00-90DF-4E60-9B19-25AAA67CCC07}" name="Valor mensual" dataDxfId="920">
      <calculatedColumnFormula>+IF(BM13="","",BM13*BJ13)</calculatedColumnFormula>
    </tableColumn>
  </tableColumns>
  <tableStyleInfo name="TableStyleLight20"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3" xr:uid="{602E1259-4D0C-40D3-97D4-11758E0A8AAB}" name="Tabla563164" displayName="Tabla563164" ref="BH35:BO49" totalsRowShown="0">
  <autoFilter ref="BH35:BO49" xr:uid="{C431813B-ACDA-45A9-9ADA-EC3E3C9236ED}"/>
  <tableColumns count="8">
    <tableColumn id="1" xr3:uid="{D99EFE85-32DE-47B6-8C37-F55E6AF5A1C8}" name="Equipo " dataDxfId="919"/>
    <tableColumn id="2" xr3:uid="{E7024C32-8501-47CB-ABCB-7A011F859079}" name="Cantidad" dataDxfId="918"/>
    <tableColumn id="3" xr3:uid="{0B43CFF1-BF84-43A6-ABB3-61213A7CF1F4}" name="Valor mensual" dataDxfId="917">
      <calculatedColumnFormula>IF(Tabla563164[[#This Row],[Equipo ]]="","",INDEX(V_MENSUAL,MATCH(Tabla563164[[#This Row],[Equipo ]],LISTA_MAQUINARIA,0)))</calculatedColumnFormula>
    </tableColumn>
    <tableColumn id="4" xr3:uid="{2A11AC8A-7F12-4210-BE42-4C4A061B5816}" name="Combustible Hora " dataDxfId="916">
      <calculatedColumnFormula>IF(Tabla563164[[#This Row],[Equipo ]]="","",INDEX(CONSUMO_COMBUSTIBLE_H,MATCH(Tabla563164[[#This Row],[Equipo ]],LISTA_MAQUINARIA,0)))</calculatedColumnFormula>
    </tableColumn>
    <tableColumn id="5" xr3:uid="{F7AA1C13-6D63-43C7-A034-DBC27185F405}" name="Valor galon" dataDxfId="915">
      <calculatedColumnFormula>IF(Tabla563164[[#This Row],[Equipo ]]="","",INDEX(V_GALON,MATCH(Tabla563164[[#This Row],[Equipo ]],LISTA_MAQUINARIA,0)))</calculatedColumnFormula>
    </tableColumn>
    <tableColumn id="6" xr3:uid="{99264AD7-0E10-493B-A95B-7FFB32B332BC}" name="Horas mes" dataDxfId="914"/>
    <tableColumn id="7" xr3:uid="{1698055C-857C-4993-9702-D947CB3564C7}" name="Valor mensual + Combustible" dataDxfId="913">
      <calculatedColumnFormula>IF(Tabla563164[[#This Row],[Equipo ]]="","",Tabla563164[[#This Row],[Valor mensual]]+Tabla563164[[#This Row],[Combustible Hora ]]*Tabla563164[[#This Row],[Valor galon]]*Tabla563164[[#This Row],[Horas mes]])</calculatedColumnFormula>
    </tableColumn>
    <tableColumn id="8" xr3:uid="{ED77DB51-511E-4555-947D-8881A3613BC2}" name="Valor Total" dataDxfId="912">
      <calculatedColumnFormula>IF(Tabla563164[[#This Row],[Valor mensual + Combustible]]="","",Tabla563164[[#This Row],[Valor mensual + Combustible]]*Tabla563164[[#This Row],[Cantidad]])</calculatedColumnFormula>
    </tableColumn>
  </tableColumns>
  <tableStyleInfo name="TableStyleMedium2"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4" xr:uid="{5E88BE71-DC93-4F2E-ABD5-FD09341628DA}" name="Tabla664165" displayName="Tabla664165" ref="BJ58:BM61" totalsRowShown="0">
  <autoFilter ref="BJ58:BM61" xr:uid="{BF4E5513-0A9C-4BE3-8114-9FFA6F6ABD5E}"/>
  <tableColumns count="4">
    <tableColumn id="1" xr3:uid="{2C9C5DC0-D334-4E94-A9FC-5CC8B48D2ED2}" name="Transporte "/>
    <tableColumn id="2" xr3:uid="{513A3177-A4EE-4127-AF86-526F4E27DE67}" name="cantidad "/>
    <tableColumn id="3" xr3:uid="{EA0B4411-C877-4673-BCBF-501D074462B2}" name="Valor unitario " dataDxfId="911"/>
    <tableColumn id="4" xr3:uid="{3289380A-E107-401B-97AC-BC2F581DDB40}" name="Valor total" dataDxfId="910">
      <calculatedColumnFormula>+Tabla664165[[#This Row],[cantidad ]]*Tabla664165[[#This Row],[Valor unitario ]]</calculatedColumnFormula>
    </tableColumn>
  </tableColumns>
  <tableStyleInfo name="TableStyleMedium2"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5" xr:uid="{AE039614-6D85-4D0D-A340-C69577FEA11D}" name="Tabla365166" displayName="Tabla365166" ref="BS12:BX30" totalsRowShown="0">
  <autoFilter ref="BS12:BX30" xr:uid="{8B4FA59E-AB5D-4031-B2B5-A93BC56CD7FC}"/>
  <tableColumns count="6">
    <tableColumn id="1" xr3:uid="{CDFD1A21-05E1-48CA-A729-9D109D926897}" name="Personal" dataDxfId="909"/>
    <tableColumn id="2" xr3:uid="{1D2EBE0C-3B3E-4658-B896-CBF33D02D646}" name="Cantidad" dataDxfId="908"/>
    <tableColumn id="3" xr3:uid="{93ADC323-98F1-49FA-AE38-C357FD804565}" name="Sueldo base" dataDxfId="907">
      <calculatedColumnFormula>+IF(BS13="","",INDEX(V_MANODEOBRA_MENSUAL,MATCH(BS13,L_PERSONAL,0)))</calculatedColumnFormula>
    </tableColumn>
    <tableColumn id="4" xr3:uid="{5B861B06-A19A-42BA-9D0A-7123EA6BCC9C}" name="Factor prestacional" dataDxfId="906">
      <calculatedColumnFormula>+IF(BU13="","",INDEX(F_PRESTACIONAL,MATCH(BS13,L_PERSONAL,0)))</calculatedColumnFormula>
    </tableColumn>
    <tableColumn id="5" xr3:uid="{12CDF9D0-7CCE-4AE7-8A65-91BE3EA23551}" name="Valor mas factor prestacional" dataDxfId="905">
      <calculatedColumnFormula>+IF(BU13="","",BV13*BU13)</calculatedColumnFormula>
    </tableColumn>
    <tableColumn id="6" xr3:uid="{A72AE9F3-4270-4417-A100-02760A08667D}" name="Valor mensual" dataDxfId="904">
      <calculatedColumnFormula>+IF(BW13="","",BW13*BT13)</calculatedColumnFormula>
    </tableColumn>
  </tableColumns>
  <tableStyleInfo name="TableStyleLight20"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6" xr:uid="{5883083F-2D90-425D-8625-417069309232}" name="Tabla566167" displayName="Tabla566167" ref="BR35:BY49" totalsRowShown="0">
  <autoFilter ref="BR35:BY49" xr:uid="{8373D82E-0E51-4A38-B877-573A8C009E2F}"/>
  <tableColumns count="8">
    <tableColumn id="1" xr3:uid="{B3E785B9-C18B-47DA-BE56-260749F15278}" name="Equipo " dataDxfId="903"/>
    <tableColumn id="2" xr3:uid="{BA83E1B8-661B-4ADF-AAB0-8C2998EB551B}" name="Cantidad" dataDxfId="902"/>
    <tableColumn id="3" xr3:uid="{CBFAB431-C169-46B7-BD43-FB0C3D99AFC3}" name="Valor mensual" dataDxfId="901">
      <calculatedColumnFormula>IF(Tabla566167[[#This Row],[Equipo ]]="","",INDEX(V_MENSUAL,MATCH(Tabla566167[[#This Row],[Equipo ]],LISTA_MAQUINARIA,0)))</calculatedColumnFormula>
    </tableColumn>
    <tableColumn id="4" xr3:uid="{52D74BAC-F8A4-4F8E-81C8-1B44F2E1F769}" name="Combustible Hora " dataDxfId="900">
      <calculatedColumnFormula>IF(Tabla566167[[#This Row],[Equipo ]]="","",INDEX(CONSUMO_COMBUSTIBLE_H,MATCH(Tabla566167[[#This Row],[Equipo ]],LISTA_MAQUINARIA,0)))</calculatedColumnFormula>
    </tableColumn>
    <tableColumn id="5" xr3:uid="{24B43BCA-1D54-4EDE-A15D-B6503D0A091B}" name="Valor galon" dataDxfId="899">
      <calculatedColumnFormula>IF(Tabla566167[[#This Row],[Equipo ]]="","",INDEX(V_GALON,MATCH(Tabla566167[[#This Row],[Equipo ]],LISTA_MAQUINARIA,0)))</calculatedColumnFormula>
    </tableColumn>
    <tableColumn id="6" xr3:uid="{E0BD2BF6-5FE2-4C38-9EAD-F5670BBE6BCC}" name="Horas mes" dataDxfId="898"/>
    <tableColumn id="7" xr3:uid="{4B670939-979C-44AD-827E-2AD8DB5AB5ED}" name="Valor mensual + Combustible" dataDxfId="897">
      <calculatedColumnFormula>IF(Tabla566167[[#This Row],[Equipo ]]="","",Tabla566167[[#This Row],[Valor mensual]]+Tabla566167[[#This Row],[Combustible Hora ]]*Tabla566167[[#This Row],[Valor galon]]*Tabla566167[[#This Row],[Horas mes]])</calculatedColumnFormula>
    </tableColumn>
    <tableColumn id="8" xr3:uid="{F5160C61-E806-48C6-A403-653BF5EA8D3D}" name="Valor Total" dataDxfId="896">
      <calculatedColumnFormula>IF(Tabla566167[[#This Row],[Valor mensual + Combustible]]="","",Tabla566167[[#This Row],[Valor mensual + Combustible]]*Tabla566167[[#This Row],[Cantidad]])</calculatedColumnFormula>
    </tableColumn>
  </tableColumns>
  <tableStyleInfo name="TableStyleMedium2"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7" xr:uid="{5AD67196-B66E-4346-9BD2-0DC07F6940E0}" name="Tabla667168" displayName="Tabla667168" ref="BT58:BW61" totalsRowShown="0">
  <autoFilter ref="BT58:BW61" xr:uid="{AE8011B5-BB5D-4BB9-94F6-8BF32DE8439F}"/>
  <tableColumns count="4">
    <tableColumn id="1" xr3:uid="{D03DE723-ED27-495D-B462-3D2D67720BB6}" name="Transporte "/>
    <tableColumn id="2" xr3:uid="{2A2B6ECA-444C-4ECC-967C-A1A2F31B9EDB}" name="cantidad "/>
    <tableColumn id="3" xr3:uid="{E6304503-A092-478A-B242-B7337635B186}" name="Valor unitario " dataDxfId="895"/>
    <tableColumn id="4" xr3:uid="{C1BF9A6B-0D66-446A-9B03-B3D61723C60A}" name="Valor total" dataDxfId="894">
      <calculatedColumnFormula>+Tabla667168[[#This Row],[Valor unitario ]]*Tabla667168[[#This Row],[cantidad ]]</calculatedColumnFormula>
    </tableColumn>
  </tableColumns>
  <tableStyleInfo name="TableStyleMedium2"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8" xr:uid="{BACD7CDF-2129-4885-AFFA-A8FEF887ED50}" name="Tabla368169" displayName="Tabla368169" ref="CC12:CH30" totalsRowShown="0">
  <autoFilter ref="CC12:CH30" xr:uid="{B8897577-BD84-4124-A953-706CBB23F73F}"/>
  <tableColumns count="6">
    <tableColumn id="1" xr3:uid="{B362AE1B-70B2-42D8-AA52-4814ABE5EA52}" name="Personal" dataDxfId="893"/>
    <tableColumn id="2" xr3:uid="{4F75F85C-256F-4CC3-A2D5-505DB692B765}" name="Cantidad" dataDxfId="892"/>
    <tableColumn id="3" xr3:uid="{CE546E84-9F18-43EE-B153-EAFCFA9C1783}" name="Sueldo base" dataDxfId="891">
      <calculatedColumnFormula>+IF(CC13="","",INDEX(V_MANODEOBRA_MENSUAL,MATCH(CC13,L_PERSONAL,0)))</calculatedColumnFormula>
    </tableColumn>
    <tableColumn id="4" xr3:uid="{32798AC1-D5CA-4B62-8F97-2408D92CA334}" name="Factor prestacional" dataDxfId="890">
      <calculatedColumnFormula>+IF(CE13="","",INDEX(F_PRESTACIONAL,MATCH(CC13,L_PERSONAL,0)))</calculatedColumnFormula>
    </tableColumn>
    <tableColumn id="5" xr3:uid="{39914762-23A1-4A3A-B373-6D57B6FA99E5}" name="Valor mas factor prestacional" dataDxfId="889">
      <calculatedColumnFormula>+IF(CE13="","",CF13*CE13)</calculatedColumnFormula>
    </tableColumn>
    <tableColumn id="6" xr3:uid="{3422D3FB-9BC3-4ACA-A056-3E32C1920318}" name="Valor mensual" dataDxfId="888">
      <calculatedColumnFormula>+IF(CG13="","",CG13*CD13)</calculatedColumnFormula>
    </tableColumn>
  </tableColumns>
  <tableStyleInfo name="TableStyleLight20"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9" xr:uid="{622798D8-E817-4F25-A968-508F04DA6975}" name="Tabla569170" displayName="Tabla569170" ref="CB35:CI49" totalsRowShown="0">
  <autoFilter ref="CB35:CI49" xr:uid="{86384B47-A968-4DB2-A1AF-FFD98EE8B268}"/>
  <tableColumns count="8">
    <tableColumn id="1" xr3:uid="{EF816CFE-78AE-448A-8E3E-1D750C1509CB}" name="Equipo " dataDxfId="887"/>
    <tableColumn id="2" xr3:uid="{0ED70039-27F3-421F-BCCF-C9C0CDF5E8E3}" name="Cantidad" dataDxfId="886"/>
    <tableColumn id="3" xr3:uid="{F2945DBE-5B69-4858-8C26-5F5C79B3F382}" name="Valor mensual" dataDxfId="885">
      <calculatedColumnFormula>IF(Tabla569170[[#This Row],[Equipo ]]="","",INDEX(V_MENSUAL,MATCH(Tabla569170[[#This Row],[Equipo ]],LISTA_MAQUINARIA,0)))</calculatedColumnFormula>
    </tableColumn>
    <tableColumn id="4" xr3:uid="{C394C45A-847A-4D65-894A-DAB29A830DD8}" name="Combustible Hora " dataDxfId="884">
      <calculatedColumnFormula>IF(Tabla569170[[#This Row],[Equipo ]]="","",INDEX(CONSUMO_COMBUSTIBLE_H,MATCH(Tabla569170[[#This Row],[Equipo ]],LISTA_MAQUINARIA,0)))</calculatedColumnFormula>
    </tableColumn>
    <tableColumn id="5" xr3:uid="{1348B7C1-27B2-47F4-AE4B-FBB4010FB4ED}" name="Valor galon" dataDxfId="883">
      <calculatedColumnFormula>IF(Tabla569170[[#This Row],[Equipo ]]="","",INDEX(V_GALON,MATCH(Tabla569170[[#This Row],[Equipo ]],LISTA_MAQUINARIA,0)))</calculatedColumnFormula>
    </tableColumn>
    <tableColumn id="6" xr3:uid="{B66E0DEA-C485-49EB-B1A5-EEF8B93BCAF7}" name="Horas mes" dataDxfId="882"/>
    <tableColumn id="7" xr3:uid="{06B012D2-F616-47D4-95CE-6AA0A56EA4DE}" name="Valor mensual + Combustible" dataDxfId="881">
      <calculatedColumnFormula>IF(Tabla569170[[#This Row],[Equipo ]]="","",Tabla569170[[#This Row],[Valor mensual]]+Tabla569170[[#This Row],[Combustible Hora ]]*Tabla569170[[#This Row],[Valor galon]]*Tabla569170[[#This Row],[Horas mes]])</calculatedColumnFormula>
    </tableColumn>
    <tableColumn id="8" xr3:uid="{BECF7640-7B99-43E7-A6EB-C5DED259AE14}" name="Valor Total" dataDxfId="880">
      <calculatedColumnFormula>IF(Tabla569170[[#This Row],[Valor mensual + Combustible]]="","",Tabla569170[[#This Row],[Valor mensual + Combustible]]*Tabla569170[[#This Row],[Cantidad]])</calculatedColumnFormula>
    </tableColumn>
  </tableColumns>
  <tableStyleInfo name="TableStyleMedium2"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0" xr:uid="{D331351D-2A8C-4C3C-8FEC-0ED61183EF69}" name="Tabla670171" displayName="Tabla670171" ref="CD58:CG61" totalsRowShown="0">
  <autoFilter ref="CD58:CG61" xr:uid="{891907CA-C77A-42FA-9C90-55DCE2173770}"/>
  <tableColumns count="4">
    <tableColumn id="1" xr3:uid="{6CEFFD92-0AC6-4CB0-88DE-EC97D1FC7BAA}" name="Transporte "/>
    <tableColumn id="2" xr3:uid="{34F922BB-D73A-4902-8603-4982E02615C0}" name="cantidad "/>
    <tableColumn id="3" xr3:uid="{3FAE0FB7-7DA6-4C1F-A114-341E6B841919}" name="Valor unitario " dataDxfId="879"/>
    <tableColumn id="4" xr3:uid="{A6DFC879-B85A-43E7-A27E-92D4E853F619}" name="Valor total" dataDxfId="878">
      <calculatedColumnFormula>+Tabla670171[[#This Row],[cantidad ]]*Tabla670171[[#This Row],[Valor unitario ]]</calculatedColumnFormula>
    </tableColumn>
  </tableColumns>
  <tableStyleInfo name="TableStyleMedium2"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1" xr:uid="{C7DBAAF7-8EB5-4F34-9B91-D03D9693858C}" name="Tabla371172" displayName="Tabla371172" ref="CM12:CR30" totalsRowShown="0">
  <autoFilter ref="CM12:CR30" xr:uid="{FCF12397-F0AF-4365-91A1-FCDEFC3A834E}"/>
  <tableColumns count="6">
    <tableColumn id="1" xr3:uid="{57EB8C43-4FB5-4C6B-8FC7-ED263B560275}" name="Personal" dataDxfId="877"/>
    <tableColumn id="2" xr3:uid="{8D797A41-2F7D-4029-8AFC-A5AFD9A601FA}" name="Cantidad" dataDxfId="876"/>
    <tableColumn id="3" xr3:uid="{231B5587-26AA-4A73-A21D-824918CB096B}" name="Sueldo base" dataDxfId="875">
      <calculatedColumnFormula>+IF(CM13="","",INDEX(V_MANODEOBRA_MENSUAL,MATCH(CM13,L_PERSONAL,0)))</calculatedColumnFormula>
    </tableColumn>
    <tableColumn id="4" xr3:uid="{F3FD9C13-BA33-4967-A499-67B16A268BB8}" name="Factor prestacional" dataDxfId="874">
      <calculatedColumnFormula>+IF(CO13="","",INDEX(F_PRESTACIONAL,MATCH(CM13,L_PERSONAL,0)))</calculatedColumnFormula>
    </tableColumn>
    <tableColumn id="5" xr3:uid="{0A73D6B1-89B8-41BF-ABAF-5A77EFB246F0}" name="Valor mas factor prestacional" dataDxfId="873">
      <calculatedColumnFormula>+IF(CO13="","",CP13*CO13)</calculatedColumnFormula>
    </tableColumn>
    <tableColumn id="6" xr3:uid="{232817F6-46B0-46D1-8AA1-D8510B1331A4}" name="Valor mensual" dataDxfId="872">
      <calculatedColumnFormula>+IF(CQ13="","",CQ13*CN13)</calculatedColumnFormula>
    </tableColumn>
  </tableColumns>
  <tableStyleInfo name="TableStyleLight20"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2" xr:uid="{4C5E6F90-E63A-4CF4-A4BF-76F25BC69DD9}" name="Tabla572173" displayName="Tabla572173" ref="CL35:CS49" totalsRowShown="0">
  <autoFilter ref="CL35:CS49" xr:uid="{B414D221-43DA-4213-A3AC-EA1096304E51}"/>
  <tableColumns count="8">
    <tableColumn id="1" xr3:uid="{2E482247-FA2B-4F89-9D60-3629290F9D6A}" name="Equipo " dataDxfId="871"/>
    <tableColumn id="2" xr3:uid="{552EE7B0-FBD8-4949-A67C-2270F2F926AD}" name="Cantidad" dataDxfId="870"/>
    <tableColumn id="3" xr3:uid="{F719D8BA-1C86-4475-8939-B25507E27AAC}" name="Valor mensual" dataDxfId="869">
      <calculatedColumnFormula>IF(Tabla572173[[#This Row],[Equipo ]]="","",INDEX(V_MENSUAL,MATCH(Tabla572173[[#This Row],[Equipo ]],LISTA_MAQUINARIA,0)))</calculatedColumnFormula>
    </tableColumn>
    <tableColumn id="4" xr3:uid="{49F6D8D8-1099-4DF5-895C-8206C4D6BCCA}" name="Combustible Hora " dataDxfId="868">
      <calculatedColumnFormula>IF(Tabla572173[[#This Row],[Equipo ]]="","",INDEX(CONSUMO_COMBUSTIBLE_H,MATCH(Tabla572173[[#This Row],[Equipo ]],LISTA_MAQUINARIA,0)))</calculatedColumnFormula>
    </tableColumn>
    <tableColumn id="5" xr3:uid="{E6BCCC59-9CCF-4E43-8425-983D9679FCEE}" name="Valor galon" dataDxfId="867">
      <calculatedColumnFormula>IF(Tabla572173[[#This Row],[Equipo ]]="","",INDEX(V_GALON,MATCH(Tabla572173[[#This Row],[Equipo ]],LISTA_MAQUINARIA,0)))</calculatedColumnFormula>
    </tableColumn>
    <tableColumn id="6" xr3:uid="{AD792E6A-CAB3-491C-8A61-4185830E83DF}" name="Horas mes" dataDxfId="866"/>
    <tableColumn id="7" xr3:uid="{D1335CD8-B54F-48D2-B3E8-D2DC2BBF3DF3}" name="Valor mensual + Combustible" dataDxfId="865">
      <calculatedColumnFormula>IF(Tabla572173[[#This Row],[Equipo ]]="","",Tabla572173[[#This Row],[Valor mensual]]+Tabla572173[[#This Row],[Combustible Hora ]]*Tabla572173[[#This Row],[Valor galon]]*Tabla572173[[#This Row],[Horas mes]])</calculatedColumnFormula>
    </tableColumn>
    <tableColumn id="8" xr3:uid="{E35E71D0-E097-461E-BE63-C08675FC9355}" name="Valor Total" dataDxfId="864">
      <calculatedColumnFormula>IF(Tabla572173[[#This Row],[Valor mensual + Combustible]]="","",Tabla572173[[#This Row],[Valor mensual + Combustible]]*Tabla572173[[#This Row],[Cantidad]])</calculatedColumnFormula>
    </tableColumn>
  </tableColumns>
  <tableStyleInfo name="TableStyleMedium2"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3" xr:uid="{70DA3D9E-166A-4354-BAC9-88D059F67BD0}" name="Tabla673174" displayName="Tabla673174" ref="CN58:CQ61" totalsRowShown="0">
  <autoFilter ref="CN58:CQ61" xr:uid="{DD920346-5F97-481E-8815-D84BABCA3576}"/>
  <tableColumns count="4">
    <tableColumn id="1" xr3:uid="{E724FCBE-EECB-4D59-BAED-422977F93AAE}" name="Transporte "/>
    <tableColumn id="2" xr3:uid="{0949A73E-FF13-4EC8-A718-F4C7C06A01BC}" name="cantidad "/>
    <tableColumn id="3" xr3:uid="{FDBFA1B7-327F-474B-966A-36BEBA465151}" name="Valor unitario " dataDxfId="863"/>
    <tableColumn id="4" xr3:uid="{7B934110-6828-4CBC-949E-2570BEB037F9}" name="Valor total" dataDxfId="862">
      <calculatedColumnFormula>+Tabla673174[[#This Row],[cantidad ]]*Tabla673174[[#This Row],[Valor unitario ]]</calculatedColumnFormula>
    </tableColumn>
  </tableColumns>
  <tableStyleInfo name="TableStyleMedium2"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4" xr:uid="{1A02939C-8924-4A19-BC4C-93D460AD0424}" name="Tabla374175" displayName="Tabla374175" ref="CW12:DB30" totalsRowShown="0">
  <autoFilter ref="CW12:DB30" xr:uid="{49D3EA53-2362-4387-9B0B-8C35F34635C1}"/>
  <tableColumns count="6">
    <tableColumn id="1" xr3:uid="{11BEBE29-DB6C-44FF-90F1-3F396F3A9C35}" name="Personal" dataDxfId="861"/>
    <tableColumn id="2" xr3:uid="{901AB5C2-24B9-4F40-9273-19DD2FB06F61}" name="Cantidad" dataDxfId="860"/>
    <tableColumn id="3" xr3:uid="{8C8374C5-3B48-4DF8-9D3E-FBC5F4D3B8C6}" name="Sueldo base" dataDxfId="859">
      <calculatedColumnFormula>+IF(CW13="","",INDEX(V_MANODEOBRA_MENSUAL,MATCH(CW13,L_PERSONAL,0)))</calculatedColumnFormula>
    </tableColumn>
    <tableColumn id="4" xr3:uid="{11EEAA77-E2AF-4AD7-9E97-E907039164EE}" name="Factor prestacional" dataDxfId="858">
      <calculatedColumnFormula>+IF(CY13="","",INDEX(F_PRESTACIONAL,MATCH(CW13,L_PERSONAL,0)))</calculatedColumnFormula>
    </tableColumn>
    <tableColumn id="5" xr3:uid="{82F9C60F-9BD5-49A6-A4AD-FED2073EFD45}" name="Valor mas factor prestacional" dataDxfId="857">
      <calculatedColumnFormula>+IF(CY13="","",CZ13*CY13)</calculatedColumnFormula>
    </tableColumn>
    <tableColumn id="6" xr3:uid="{649BFE2B-1416-4338-8E50-E1BB7DC0B3D7}" name="Valor mensual" dataDxfId="856">
      <calculatedColumnFormula>+IF(DA13="","",DA13*CX13)</calculatedColumnFormula>
    </tableColumn>
  </tableColumns>
  <tableStyleInfo name="TableStyleLight20"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5" xr:uid="{49F4C79F-9E5D-4A48-AA6B-70A495730D97}" name="Tabla575176" displayName="Tabla575176" ref="CV35:DC49" totalsRowShown="0">
  <autoFilter ref="CV35:DC49" xr:uid="{83B48CAC-C7CE-422C-9237-BD458CD40305}"/>
  <tableColumns count="8">
    <tableColumn id="1" xr3:uid="{F8A247DE-F1B9-49F9-9C67-CC8CADA85710}" name="Equipo " dataDxfId="855"/>
    <tableColumn id="2" xr3:uid="{F13D6AF7-8B7D-476C-9DEE-45C1A790F176}" name="Cantidad" dataDxfId="854"/>
    <tableColumn id="3" xr3:uid="{B72F6489-9064-4EA2-9C63-67717CB5E5BA}" name="Valor mensual" dataDxfId="853">
      <calculatedColumnFormula>IF(Tabla575176[[#This Row],[Equipo ]]="","",INDEX(V_MENSUAL,MATCH(Tabla575176[[#This Row],[Equipo ]],LISTA_MAQUINARIA,0)))</calculatedColumnFormula>
    </tableColumn>
    <tableColumn id="4" xr3:uid="{B577D8C7-C370-40A5-B6D7-9FEB8876D99E}" name="Combustible Hora " dataDxfId="852">
      <calculatedColumnFormula>IF(Tabla575176[[#This Row],[Equipo ]]="","",INDEX(CONSUMO_COMBUSTIBLE_H,MATCH(Tabla575176[[#This Row],[Equipo ]],LISTA_MAQUINARIA,0)))</calculatedColumnFormula>
    </tableColumn>
    <tableColumn id="5" xr3:uid="{59AE33D5-F5F6-40F3-97D0-673B32B01249}" name="Valor galon" dataDxfId="851">
      <calculatedColumnFormula>IF(Tabla575176[[#This Row],[Equipo ]]="","",INDEX(V_GALON,MATCH(Tabla575176[[#This Row],[Equipo ]],LISTA_MAQUINARIA,0)))</calculatedColumnFormula>
    </tableColumn>
    <tableColumn id="6" xr3:uid="{CBD298AE-51E5-4E97-8E3B-6F89542289BE}" name="Horas mes" dataDxfId="850"/>
    <tableColumn id="7" xr3:uid="{BB90B8B2-E201-4C75-8751-1BD1DBB0581D}" name="Valor mensual + Combustible" dataDxfId="849">
      <calculatedColumnFormula>IF(Tabla575176[[#This Row],[Equipo ]]="","",Tabla575176[[#This Row],[Valor mensual]]+Tabla575176[[#This Row],[Combustible Hora ]]*Tabla575176[[#This Row],[Valor galon]]*Tabla575176[[#This Row],[Horas mes]])</calculatedColumnFormula>
    </tableColumn>
    <tableColumn id="8" xr3:uid="{E9007933-E86C-4B6A-91D5-7666BD4B1DDF}" name="Valor Total" dataDxfId="848">
      <calculatedColumnFormula>IF(Tabla575176[[#This Row],[Valor mensual + Combustible]]="","",Tabla575176[[#This Row],[Valor mensual + Combustible]]*Tabla575176[[#This Row],[Cantidad]])</calculatedColumnFormula>
    </tableColumn>
  </tableColumns>
  <tableStyleInfo name="TableStyleMedium2"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6" xr:uid="{8189ABC1-62E5-46A4-BB93-3D2333B0CFA7}" name="Tabla676177" displayName="Tabla676177" ref="CX58:DA61" totalsRowShown="0">
  <autoFilter ref="CX58:DA61" xr:uid="{45BE5B34-D514-4789-B653-08531BB9BBD5}"/>
  <tableColumns count="4">
    <tableColumn id="1" xr3:uid="{06720E34-9029-4BE1-BD1F-F3FE97213358}" name="Transporte "/>
    <tableColumn id="2" xr3:uid="{CAE0FEB1-AB5B-4C19-9377-A9B3E621FF6F}" name="cantidad "/>
    <tableColumn id="3" xr3:uid="{16E81506-BF7E-44F6-AEAA-5C84A6B6BE6C}" name="Valor unitario " dataDxfId="847"/>
    <tableColumn id="4" xr3:uid="{D029FF50-64F1-452E-819C-C6FAEB4D640C}" name="Valor total" dataDxfId="846">
      <calculatedColumnFormula>+Tabla676177[[#This Row],[Valor unitario ]]*Tabla676177[[#This Row],[cantidad ]]</calculatedColumnFormula>
    </tableColumn>
  </tableColumns>
  <tableStyleInfo name="TableStyleMedium2"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7" xr:uid="{47FAE80F-62D3-461F-B6DA-97842CB7459B}" name="Tabla377178" displayName="Tabla377178" ref="DG12:DL30" totalsRowShown="0">
  <autoFilter ref="DG12:DL30" xr:uid="{AEDA3AE6-8ED2-4FB5-9D2C-7BE5D362558E}"/>
  <tableColumns count="6">
    <tableColumn id="1" xr3:uid="{992BFBBD-5FBB-4267-8571-929073CAA1BD}" name="Personal" dataDxfId="845"/>
    <tableColumn id="2" xr3:uid="{30B95FAC-3047-4EB4-9FB7-E1338587C240}" name="Cantidad" dataDxfId="844"/>
    <tableColumn id="3" xr3:uid="{9225716F-40CC-4EF4-A446-ACA15C456FC3}" name="Sueldo base" dataDxfId="843">
      <calculatedColumnFormula>+IF(DG13="","",INDEX(V_MANODEOBRA_MENSUAL,MATCH(DG13,L_PERSONAL,0)))</calculatedColumnFormula>
    </tableColumn>
    <tableColumn id="4" xr3:uid="{B404D903-48AB-4913-8647-CA1B4FA1C6FD}" name="Factor prestacional" dataDxfId="842">
      <calculatedColumnFormula>+IF(DI13="","",INDEX(F_PRESTACIONAL,MATCH(DG13,L_PERSONAL,0)))</calculatedColumnFormula>
    </tableColumn>
    <tableColumn id="5" xr3:uid="{9C23601C-66E8-4473-A624-D4298340A574}" name="Valor mas factor prestacional" dataDxfId="841">
      <calculatedColumnFormula>+IF(DI13="","",DJ13*DI13)</calculatedColumnFormula>
    </tableColumn>
    <tableColumn id="6" xr3:uid="{D41AE0D6-9DB2-4434-9FF4-33DB6EBB112D}" name="Valor mensual" dataDxfId="840">
      <calculatedColumnFormula>+IF(DK13="","",DK13*DH13)</calculatedColumnFormula>
    </tableColumn>
  </tableColumns>
  <tableStyleInfo name="TableStyleLight20"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8" xr:uid="{3E0DC8D1-2ED0-437C-93EC-EC31BCCC1DE9}" name="Tabla578179" displayName="Tabla578179" ref="DF35:DM49" totalsRowShown="0">
  <autoFilter ref="DF35:DM49" xr:uid="{780AD4D3-BD58-4CE2-8204-188B211A0603}"/>
  <tableColumns count="8">
    <tableColumn id="1" xr3:uid="{4D1BE574-51AB-48C9-8F73-B9F48D3215BA}" name="Equipo " dataDxfId="839"/>
    <tableColumn id="2" xr3:uid="{7B6B5CBC-3457-4D74-8C4E-86B1D09BC8E8}" name="Cantidad" dataDxfId="838"/>
    <tableColumn id="3" xr3:uid="{8CB45321-3D26-4F19-97BD-1015750BCF33}" name="Valor mensual" dataDxfId="837">
      <calculatedColumnFormula>IF(Tabla578179[[#This Row],[Equipo ]]="","",INDEX(V_MENSUAL,MATCH(Tabla578179[[#This Row],[Equipo ]],LISTA_MAQUINARIA,0)))</calculatedColumnFormula>
    </tableColumn>
    <tableColumn id="4" xr3:uid="{195DDC9A-6501-4F0F-A891-9489CEBC3EF7}" name="Combustible Hora " dataDxfId="836">
      <calculatedColumnFormula>IF(Tabla578179[[#This Row],[Equipo ]]="","",INDEX(CONSUMO_COMBUSTIBLE_H,MATCH(Tabla578179[[#This Row],[Equipo ]],LISTA_MAQUINARIA,0)))</calculatedColumnFormula>
    </tableColumn>
    <tableColumn id="5" xr3:uid="{AB0342CB-1D5D-443B-AE23-2852A41C07C7}" name="Valor galon" dataDxfId="835">
      <calculatedColumnFormula>IF(Tabla578179[[#This Row],[Equipo ]]="","",INDEX(V_GALON,MATCH(Tabla578179[[#This Row],[Equipo ]],LISTA_MAQUINARIA,0)))</calculatedColumnFormula>
    </tableColumn>
    <tableColumn id="6" xr3:uid="{15744B4E-1AB0-4523-ABE5-4E47DEA0BE01}" name="Horas mes" dataDxfId="834"/>
    <tableColumn id="7" xr3:uid="{47380079-84A4-4F93-A581-71FA89D81C8E}" name="Valor mensual + Combustible" dataDxfId="833">
      <calculatedColumnFormula>IF(Tabla578179[[#This Row],[Equipo ]]="","",Tabla578179[[#This Row],[Valor mensual]]+Tabla578179[[#This Row],[Combustible Hora ]]*Tabla578179[[#This Row],[Valor galon]]*Tabla578179[[#This Row],[Horas mes]])</calculatedColumnFormula>
    </tableColumn>
    <tableColumn id="8" xr3:uid="{55E274FF-CB44-483B-A1FE-654C0F379E92}" name="Valor Total" dataDxfId="832">
      <calculatedColumnFormula>IF(Tabla578179[[#This Row],[Valor mensual + Combustible]]="","",Tabla578179[[#This Row],[Valor mensual + Combustible]]*Tabla578179[[#This Row],[Cantidad]])</calculatedColumnFormula>
    </tableColumn>
  </tableColumns>
  <tableStyleInfo name="TableStyleMedium2"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9" xr:uid="{6B4B5E1F-466D-40F7-A367-9A6772E96780}" name="Tabla679180" displayName="Tabla679180" ref="DH58:DK61" totalsRowShown="0">
  <autoFilter ref="DH58:DK61" xr:uid="{DE60DD9B-01D8-4D24-B9AA-5710096E2B30}"/>
  <tableColumns count="4">
    <tableColumn id="1" xr3:uid="{D7DDBB0A-6393-48A8-8CB7-54553F26BE1B}" name="Transporte "/>
    <tableColumn id="2" xr3:uid="{5942173D-ED98-4E17-9DF5-7F7B2C2BA372}" name="cantidad "/>
    <tableColumn id="3" xr3:uid="{DB79E380-EA81-4CAF-A104-0E6D5A12B477}" name="Valor unitario " dataDxfId="831"/>
    <tableColumn id="4" xr3:uid="{A307E476-C313-4CE9-AAC9-065E7BC191D7}" name="Valor total" dataDxfId="830">
      <calculatedColumnFormula>+Tabla679180[[#This Row],[Valor unitario ]]*Tabla679180[[#This Row],[cantidad ]]</calculatedColumnFormula>
    </tableColumn>
  </tableColumns>
  <tableStyleInfo name="TableStyleMedium2"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0" xr:uid="{D5CCE2FB-E444-4BA8-8658-8D7671117C59}" name="Tabla380181" displayName="Tabla380181" ref="DQ12:DV30" totalsRowShown="0">
  <autoFilter ref="DQ12:DV30" xr:uid="{9CB1DCE8-7EDD-4B58-9573-2C446FC6D0F6}"/>
  <tableColumns count="6">
    <tableColumn id="1" xr3:uid="{09472713-FFC3-4CD5-B520-EDD8C648C4DD}" name="Personal" dataDxfId="829"/>
    <tableColumn id="2" xr3:uid="{9262F6AA-AC00-4F5E-8168-31B82A0373E9}" name="Cantidad" dataDxfId="828"/>
    <tableColumn id="3" xr3:uid="{D85167AA-0E44-4614-92D0-A391FB7FC73F}" name="Sueldo base" dataDxfId="827">
      <calculatedColumnFormula>+IF(DQ13="","",INDEX(V_MANODEOBRA_MENSUAL,MATCH(DQ13,L_PERSONAL,0)))</calculatedColumnFormula>
    </tableColumn>
    <tableColumn id="4" xr3:uid="{3E1341D1-2D90-4590-B8EE-0EA816B6C61B}" name="Factor prestacional" dataDxfId="826">
      <calculatedColumnFormula>+IF(DS13="","",INDEX(F_PRESTACIONAL,MATCH(DQ13,L_PERSONAL,0)))</calculatedColumnFormula>
    </tableColumn>
    <tableColumn id="5" xr3:uid="{D8A46679-5949-4924-9DAA-BF3C07CD2F93}" name="Valor mas factor prestacional" dataDxfId="825">
      <calculatedColumnFormula>+IF(DS13="","",DT13*DS13)</calculatedColumnFormula>
    </tableColumn>
    <tableColumn id="6" xr3:uid="{9A1FECB1-9264-473F-AB5A-F3F44F64A484}" name="Valor mensual" dataDxfId="824">
      <calculatedColumnFormula>+IF(DU13="","",DU13*DR13)</calculatedColumnFormula>
    </tableColumn>
  </tableColumns>
  <tableStyleInfo name="TableStyleLight20"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1" xr:uid="{E8649768-09D0-472A-A069-E9EBE042CCB5}" name="Tabla581182" displayName="Tabla581182" ref="DP35:DW49" totalsRowShown="0">
  <autoFilter ref="DP35:DW49" xr:uid="{AA3483D1-CACC-4336-B482-2AF13F62CD22}"/>
  <tableColumns count="8">
    <tableColumn id="1" xr3:uid="{2280C274-2C2E-432A-943A-37CB880EED62}" name="Equipo " dataDxfId="823"/>
    <tableColumn id="2" xr3:uid="{CD7D386C-8F59-453D-B626-3906D6B5ECF7}" name="Cantidad" dataDxfId="822"/>
    <tableColumn id="3" xr3:uid="{105F23A0-F5D1-4B34-B013-F1149CFC2E7B}" name="Valor mensual" dataDxfId="821">
      <calculatedColumnFormula>IF(Tabla581182[[#This Row],[Equipo ]]="","",INDEX(V_MENSUAL,MATCH(Tabla581182[[#This Row],[Equipo ]],LISTA_MAQUINARIA,0)))</calculatedColumnFormula>
    </tableColumn>
    <tableColumn id="4" xr3:uid="{AEA6097D-5C8C-4A55-9DB5-2C21A96555A2}" name="Combustible Hora " dataDxfId="820">
      <calculatedColumnFormula>IF(Tabla581182[[#This Row],[Equipo ]]="","",INDEX(CONSUMO_COMBUSTIBLE_H,MATCH(Tabla581182[[#This Row],[Equipo ]],LISTA_MAQUINARIA,0)))</calculatedColumnFormula>
    </tableColumn>
    <tableColumn id="5" xr3:uid="{0687B78B-A37F-4EB2-9637-6BF38F4012F4}" name="Valor galon" dataDxfId="819">
      <calculatedColumnFormula>IF(Tabla581182[[#This Row],[Equipo ]]="","",INDEX(V_GALON,MATCH(Tabla581182[[#This Row],[Equipo ]],LISTA_MAQUINARIA,0)))</calculatedColumnFormula>
    </tableColumn>
    <tableColumn id="6" xr3:uid="{03433528-95F8-4DBA-93C7-6DDE829D4E15}" name="Horas mes" dataDxfId="818"/>
    <tableColumn id="7" xr3:uid="{7DB9A54B-1595-4DE1-AB07-D0F5C876E0EC}" name="Valor mensual + Combustible" dataDxfId="817">
      <calculatedColumnFormula>IF(Tabla581182[[#This Row],[Equipo ]]="","",Tabla581182[[#This Row],[Valor mensual]]+Tabla581182[[#This Row],[Combustible Hora ]]*Tabla581182[[#This Row],[Valor galon]]*Tabla581182[[#This Row],[Horas mes]])</calculatedColumnFormula>
    </tableColumn>
    <tableColumn id="8" xr3:uid="{1BAF88EB-0B71-48B3-8190-D3D1B9DD3CAD}" name="Valor Total" dataDxfId="816">
      <calculatedColumnFormula>IF(Tabla581182[[#This Row],[Valor mensual + Combustible]]="","",Tabla581182[[#This Row],[Valor mensual + Combustible]]*Tabla581182[[#This Row],[Cantidad]])</calculatedColumnFormula>
    </tableColumn>
  </tableColumns>
  <tableStyleInfo name="TableStyleMedium2"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2" xr:uid="{CB7E2081-A40F-4958-8285-C2FFA53BB944}" name="Tabla682183" displayName="Tabla682183" ref="DR58:DU61" totalsRowShown="0">
  <autoFilter ref="DR58:DU61" xr:uid="{5B376FC1-46B3-40EC-AA4F-69B6B648574B}"/>
  <tableColumns count="4">
    <tableColumn id="1" xr3:uid="{A44D7714-8401-490D-B6AB-6715D9231BAF}" name="Transporte "/>
    <tableColumn id="2" xr3:uid="{96CD5C55-F095-4C62-B3F3-2629459A1F81}" name="cantidad "/>
    <tableColumn id="3" xr3:uid="{1270D625-E745-47E9-B77C-B396485B7F3D}" name="Valor unitario " dataDxfId="815"/>
    <tableColumn id="4" xr3:uid="{F1AE69F1-EBA0-4419-810B-2882CC4C097E}" name="Valor total" dataDxfId="814">
      <calculatedColumnFormula>+Tabla682183[[#This Row],[Valor unitario ]]*Tabla682183[[#This Row],[cantidad ]]</calculatedColumnFormula>
    </tableColumn>
  </tableColumns>
  <tableStyleInfo name="TableStyleMedium2"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3" xr:uid="{38362499-A24F-464C-AF2F-1181F75C8C2B}" name="Tabla383184" displayName="Tabla383184" ref="EA12:EF30" totalsRowShown="0">
  <autoFilter ref="EA12:EF30" xr:uid="{ED004EC7-4BDD-4857-9BD5-2DAC2CD12950}"/>
  <tableColumns count="6">
    <tableColumn id="1" xr3:uid="{0F99E051-8E4E-4604-BEC4-4B5C0BEC7BFD}" name="Personal" dataDxfId="813"/>
    <tableColumn id="2" xr3:uid="{3180E9EF-73F1-43D0-8F08-FED5128B95C3}" name="Cantidad" dataDxfId="812"/>
    <tableColumn id="3" xr3:uid="{17A4EFDE-9190-4093-A45C-97D97C6195E3}" name="Sueldo base" dataDxfId="811">
      <calculatedColumnFormula>+IF(EA13="","",INDEX(V_MANODEOBRA_MENSUAL,MATCH(EA13,L_PERSONAL,0)))</calculatedColumnFormula>
    </tableColumn>
    <tableColumn id="4" xr3:uid="{E32A7EA4-E24E-49B8-9F28-244F74234589}" name="Factor prestacional" dataDxfId="810">
      <calculatedColumnFormula>+IF(EC13="","",INDEX(F_PRESTACIONAL,MATCH(EA13,L_PERSONAL,0)))</calculatedColumnFormula>
    </tableColumn>
    <tableColumn id="5" xr3:uid="{03F2E170-07DA-4B92-84FA-9580C0D6EEC8}" name="Valor mas factor prestacional" dataDxfId="809">
      <calculatedColumnFormula>+IF(EC13="","",ED13*EC13)</calculatedColumnFormula>
    </tableColumn>
    <tableColumn id="6" xr3:uid="{C4A6F69D-90E0-4D7F-92DF-BCD72D4D2A90}" name="Valor mensual" dataDxfId="808">
      <calculatedColumnFormula>+IF(EE13="","",EE13*EB13)</calculatedColumnFormula>
    </tableColumn>
  </tableColumns>
  <tableStyleInfo name="TableStyleLight20"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4" xr:uid="{ABFAD487-855F-47E7-8FCB-6CE2716D1AE1}" name="Tabla584185" displayName="Tabla584185" ref="DZ35:EG49" totalsRowShown="0">
  <autoFilter ref="DZ35:EG49" xr:uid="{E89E4401-DE30-42A1-A94A-BE90A998B9F3}"/>
  <tableColumns count="8">
    <tableColumn id="1" xr3:uid="{0A2ADD24-57A3-483D-8E72-1FD9F1E31A15}" name="Equipo " dataDxfId="807"/>
    <tableColumn id="2" xr3:uid="{6971BA81-7A0A-4FA2-A786-9E1AFFCD9EE0}" name="Cantidad" dataDxfId="806"/>
    <tableColumn id="3" xr3:uid="{5AE7A43E-A482-4BC9-98C6-A01347DDF602}" name="Valor mensual" dataDxfId="805">
      <calculatedColumnFormula>IF(Tabla584185[[#This Row],[Equipo ]]="","",INDEX(V_MENSUAL,MATCH(Tabla584185[[#This Row],[Equipo ]],LISTA_MAQUINARIA,0)))</calculatedColumnFormula>
    </tableColumn>
    <tableColumn id="4" xr3:uid="{229B844B-5CBB-403F-B60B-D05F442E7DBC}" name="Combustible Hora " dataDxfId="804">
      <calculatedColumnFormula>IF(Tabla584185[[#This Row],[Equipo ]]="","",INDEX(CONSUMO_COMBUSTIBLE_H,MATCH(Tabla584185[[#This Row],[Equipo ]],LISTA_MAQUINARIA,0)))</calculatedColumnFormula>
    </tableColumn>
    <tableColumn id="5" xr3:uid="{5B91AD3A-5601-4F2E-91BF-CF3E804BD602}" name="Valor galon" dataDxfId="803">
      <calculatedColumnFormula>IF(Tabla584185[[#This Row],[Equipo ]]="","",INDEX(V_GALON,MATCH(Tabla584185[[#This Row],[Equipo ]],LISTA_MAQUINARIA,0)))</calculatedColumnFormula>
    </tableColumn>
    <tableColumn id="6" xr3:uid="{5251F720-C2D8-4415-A0DE-B17C9433FF5C}" name="Horas mes" dataDxfId="802"/>
    <tableColumn id="7" xr3:uid="{0B1205DB-4065-4ADF-8330-CDB4AAF336E9}" name="Valor mensual + Combustible" dataDxfId="801">
      <calculatedColumnFormula>IF(Tabla584185[[#This Row],[Equipo ]]="","",Tabla584185[[#This Row],[Valor mensual]]+Tabla584185[[#This Row],[Combustible Hora ]]*Tabla584185[[#This Row],[Valor galon]]*Tabla584185[[#This Row],[Horas mes]])</calculatedColumnFormula>
    </tableColumn>
    <tableColumn id="8" xr3:uid="{74393D76-5FD1-4C8A-93D4-AD5BE701EC4F}" name="Valor Total" dataDxfId="800">
      <calculatedColumnFormula>IF(Tabla584185[[#This Row],[Valor mensual + Combustible]]="","",Tabla584185[[#This Row],[Valor mensual + Combustible]]*Tabla584185[[#This Row],[Cantidad]])</calculatedColumnFormula>
    </tableColumn>
  </tableColumns>
  <tableStyleInfo name="TableStyleMedium2"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5" xr:uid="{6E0F995B-22A8-4ABC-8A32-96597EC187FF}" name="Tabla685186" displayName="Tabla685186" ref="EB58:EE61" totalsRowShown="0">
  <autoFilter ref="EB58:EE61" xr:uid="{6E7456A7-CB39-42E8-A5D8-1817DE45691C}"/>
  <tableColumns count="4">
    <tableColumn id="1" xr3:uid="{44C32373-F8D1-47D5-9ED5-1A007C537030}" name="Transporte "/>
    <tableColumn id="2" xr3:uid="{BFA77CD6-4730-4C79-B163-9505333195AB}" name="cantidad "/>
    <tableColumn id="3" xr3:uid="{E483AA97-C064-49ED-9A4C-8B1558F4F61E}" name="Valor unitario " dataDxfId="799"/>
    <tableColumn id="4" xr3:uid="{7564D5D2-2284-467F-BB1C-EE7F54A0BB94}" name="Valor total" dataDxfId="798">
      <calculatedColumnFormula>+Tabla685186[[#This Row],[Valor unitario ]]*Tabla685186[[#This Row],[cantidad ]]</calculatedColumnFormula>
    </tableColumn>
  </tableColumns>
  <tableStyleInfo name="TableStyleMedium2"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6" xr:uid="{C271C2C7-53F4-40F1-9199-747AC4C00854}" name="Tabla386187" displayName="Tabla386187" ref="EK12:EP30" totalsRowShown="0">
  <autoFilter ref="EK12:EP30" xr:uid="{65004DCF-9CE9-49C4-A137-712D96D5D8CB}"/>
  <tableColumns count="6">
    <tableColumn id="1" xr3:uid="{EB82A9A7-6462-4B88-BA09-9B9826903FED}" name="Personal" dataDxfId="797"/>
    <tableColumn id="2" xr3:uid="{B2DF8C66-CBF1-4164-AFC3-48979E9D2C5E}" name="Cantidad" dataDxfId="796"/>
    <tableColumn id="3" xr3:uid="{9F0561F7-FD6E-4D3E-AF82-E5A13DE01B02}" name="Sueldo base" dataDxfId="795">
      <calculatedColumnFormula>+IF(EK13="","",INDEX(V_MANODEOBRA_MENSUAL,MATCH(EK13,L_PERSONAL,0)))</calculatedColumnFormula>
    </tableColumn>
    <tableColumn id="4" xr3:uid="{72B712AF-95FF-4977-9455-1EC2C88816E6}" name="Factor prestacional" dataDxfId="794">
      <calculatedColumnFormula>+IF(EM13="","",INDEX(F_PRESTACIONAL,MATCH(EK13,L_PERSONAL,0)))</calculatedColumnFormula>
    </tableColumn>
    <tableColumn id="5" xr3:uid="{6B2B2F80-AAC7-4BF1-914B-131B551C2E09}" name="Valor mas factor prestacional" dataDxfId="793">
      <calculatedColumnFormula>+IF(EM13="","",EN13*EM13)</calculatedColumnFormula>
    </tableColumn>
    <tableColumn id="6" xr3:uid="{93C67C2D-71DB-4B0C-BF40-33DB90A93D05}" name="Valor mensual" dataDxfId="792">
      <calculatedColumnFormula>+IF(EO13="","",EO13*EL13)</calculatedColumnFormula>
    </tableColumn>
  </tableColumns>
  <tableStyleInfo name="TableStyleLight20"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7" xr:uid="{ADF0AAE2-6888-4BAE-977C-8CC28593F1D8}" name="Tabla587188" displayName="Tabla587188" ref="EJ35:EQ49" totalsRowShown="0">
  <autoFilter ref="EJ35:EQ49" xr:uid="{13673BD3-7989-44D5-B789-4CD128F4ACFB}"/>
  <tableColumns count="8">
    <tableColumn id="1" xr3:uid="{FFCDF916-9FBB-41EC-A695-8DBDEE38FAA8}" name="Equipo " dataDxfId="791"/>
    <tableColumn id="2" xr3:uid="{D0606261-6C74-4B41-AC5B-D871C1664300}" name="Cantidad" dataDxfId="790"/>
    <tableColumn id="3" xr3:uid="{7FEC73E0-A7AC-4AFE-B6B7-D0D3754EB69B}" name="Valor mensual" dataDxfId="789">
      <calculatedColumnFormula>IF(Tabla587188[[#This Row],[Equipo ]]="","",INDEX(V_MENSUAL,MATCH(Tabla587188[[#This Row],[Equipo ]],LISTA_MAQUINARIA,0)))</calculatedColumnFormula>
    </tableColumn>
    <tableColumn id="4" xr3:uid="{1FC615C0-4E67-4B46-98BF-C1816655E3EC}" name="Combustible Hora " dataDxfId="788">
      <calculatedColumnFormula>IF(Tabla587188[[#This Row],[Equipo ]]="","",INDEX(CONSUMO_COMBUSTIBLE_H,MATCH(Tabla587188[[#This Row],[Equipo ]],LISTA_MAQUINARIA,0)))</calculatedColumnFormula>
    </tableColumn>
    <tableColumn id="5" xr3:uid="{701126C7-EBD4-48ED-94CC-49C19828B658}" name="Valor galon" dataDxfId="787">
      <calculatedColumnFormula>IF(Tabla587188[[#This Row],[Equipo ]]="","",INDEX(V_GALON,MATCH(Tabla587188[[#This Row],[Equipo ]],LISTA_MAQUINARIA,0)))</calculatedColumnFormula>
    </tableColumn>
    <tableColumn id="6" xr3:uid="{CD036C09-CBD2-4C9C-A472-A513C24C0CC8}" name="Horas mes" dataDxfId="786"/>
    <tableColumn id="7" xr3:uid="{E25D4410-7624-4923-9C1A-572DFFF7DBFC}" name="Valor mensual + Combustible" dataDxfId="785">
      <calculatedColumnFormula>IF(Tabla587188[[#This Row],[Equipo ]]="","",Tabla587188[[#This Row],[Valor mensual]]+Tabla587188[[#This Row],[Combustible Hora ]]*Tabla587188[[#This Row],[Valor galon]]*Tabla587188[[#This Row],[Horas mes]])</calculatedColumnFormula>
    </tableColumn>
    <tableColumn id="8" xr3:uid="{393367E5-BA6C-4CFD-8959-9687E88952AA}" name="Valor Total" dataDxfId="784">
      <calculatedColumnFormula>IF(Tabla587188[[#This Row],[Valor mensual + Combustible]]="","",Tabla587188[[#This Row],[Valor mensual + Combustible]]*Tabla587188[[#This Row],[Cantidad]])</calculatedColumnFormula>
    </tableColumn>
  </tableColumns>
  <tableStyleInfo name="TableStyleMedium2"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8" xr:uid="{1780A303-9179-458C-B059-FF57AEC4DE9A}" name="Tabla688189" displayName="Tabla688189" ref="EL58:EO61" totalsRowShown="0">
  <autoFilter ref="EL58:EO61" xr:uid="{D41B8F61-568A-4533-A0A9-04754A149BEF}"/>
  <tableColumns count="4">
    <tableColumn id="1" xr3:uid="{42C970A1-1FA8-460D-9DD2-5DA0C0A202B3}" name="Transporte "/>
    <tableColumn id="2" xr3:uid="{155474E4-A330-4FA8-BA9F-10AB93A6F88F}" name="cantidad "/>
    <tableColumn id="3" xr3:uid="{B5CF5D7E-77E8-4798-9DD9-E06C4E36E4B1}" name="Valor unitario " dataDxfId="783"/>
    <tableColumn id="4" xr3:uid="{51D3DDC7-2E67-4AEC-BBB7-2EDC97F6FBDB}" name="Valor total" dataDxfId="782">
      <calculatedColumnFormula>+Tabla688189[[#This Row],[Valor unitario ]]*Tabla688189[[#This Row],[cantidad ]]</calculatedColumnFormula>
    </tableColumn>
  </tableColumns>
  <tableStyleInfo name="TableStyleMedium2"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9" xr:uid="{DD23C4BF-9D00-4573-8137-389418506B0E}" name="Tabla389190" displayName="Tabla389190" ref="EU12:EZ30" totalsRowShown="0">
  <autoFilter ref="EU12:EZ30" xr:uid="{8729F7BE-2BFD-43FC-80A3-93DE06C2220E}"/>
  <tableColumns count="6">
    <tableColumn id="1" xr3:uid="{AAA2998F-4F49-43FA-BF16-172539C0A9B8}" name="Personal" dataDxfId="781"/>
    <tableColumn id="2" xr3:uid="{2047B63D-3043-49DE-9E50-464C53F3E71B}" name="Cantidad" dataDxfId="780"/>
    <tableColumn id="3" xr3:uid="{FB8A0FDE-00D2-429F-A1AF-E20A519ED297}" name="Sueldo base" dataDxfId="779">
      <calculatedColumnFormula>+IF(EU13="","",INDEX(V_MANODEOBRA_MENSUAL,MATCH(EU13,L_PERSONAL,0)))</calculatedColumnFormula>
    </tableColumn>
    <tableColumn id="4" xr3:uid="{79D23C7E-FD29-4F8D-B4BB-A6623B5ABA4E}" name="Factor prestacional" dataDxfId="778">
      <calculatedColumnFormula>+IF(EW13="","",INDEX(F_PRESTACIONAL,MATCH(EU13,L_PERSONAL,0)))</calculatedColumnFormula>
    </tableColumn>
    <tableColumn id="5" xr3:uid="{8E8D3730-1634-40FE-B6E8-EE2AAE459F64}" name="Valor mas factor prestacional" dataDxfId="777">
      <calculatedColumnFormula>+IF(EW13="","",EX13*EW13)</calculatedColumnFormula>
    </tableColumn>
    <tableColumn id="6" xr3:uid="{591D5D9D-2056-47A7-8E33-82A23AE78301}" name="Valor mensual" dataDxfId="776">
      <calculatedColumnFormula>+IF(EY13="","",EY13*EV13)</calculatedColumnFormula>
    </tableColumn>
  </tableColumns>
  <tableStyleInfo name="TableStyleLight20"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0" xr:uid="{18CF5F37-CFFA-49FB-8961-2CF0E76A760C}" name="Tabla590191" displayName="Tabla590191" ref="ET35:FA49" totalsRowShown="0">
  <autoFilter ref="ET35:FA49" xr:uid="{0F9DED29-87C3-431A-A945-D331F285E3F0}"/>
  <tableColumns count="8">
    <tableColumn id="1" xr3:uid="{CADCF06F-1595-431B-847E-EAE11BA33C3B}" name="Equipo " dataDxfId="775"/>
    <tableColumn id="2" xr3:uid="{47AAF098-8C3A-4C8D-B7D9-BF60D02714C7}" name="Cantidad" dataDxfId="774"/>
    <tableColumn id="3" xr3:uid="{896A073A-8104-4063-910A-37AA58AA5F2D}" name="Valor mensual" dataDxfId="773">
      <calculatedColumnFormula>IF(Tabla590191[[#This Row],[Equipo ]]="","",INDEX(V_MENSUAL,MATCH(Tabla590191[[#This Row],[Equipo ]],LISTA_MAQUINARIA,0)))</calculatedColumnFormula>
    </tableColumn>
    <tableColumn id="4" xr3:uid="{1D74F8E2-5ABF-4FD3-A909-FD3B6AB6B7F0}" name="Combustible Hora " dataDxfId="772">
      <calculatedColumnFormula>IF(Tabla590191[[#This Row],[Equipo ]]="","",INDEX(CONSUMO_COMBUSTIBLE_H,MATCH(Tabla590191[[#This Row],[Equipo ]],LISTA_MAQUINARIA,0)))</calculatedColumnFormula>
    </tableColumn>
    <tableColumn id="5" xr3:uid="{85AAAB19-9C95-46DA-AED1-4450E34D4D0F}" name="Valor galon" dataDxfId="771">
      <calculatedColumnFormula>IF(Tabla590191[[#This Row],[Equipo ]]="","",INDEX(V_GALON,MATCH(Tabla590191[[#This Row],[Equipo ]],LISTA_MAQUINARIA,0)))</calculatedColumnFormula>
    </tableColumn>
    <tableColumn id="6" xr3:uid="{F61F4292-B135-40A5-A8A9-51914DA8DE59}" name="Horas mes" dataDxfId="770"/>
    <tableColumn id="7" xr3:uid="{21013455-0789-45A7-932C-F9E1F63B52CF}" name="Valor mensual + Combustible" dataDxfId="769">
      <calculatedColumnFormula>IF(Tabla590191[[#This Row],[Equipo ]]="","",Tabla590191[[#This Row],[Valor mensual]]+Tabla590191[[#This Row],[Combustible Hora ]]*Tabla590191[[#This Row],[Valor galon]]*Tabla590191[[#This Row],[Horas mes]])</calculatedColumnFormula>
    </tableColumn>
    <tableColumn id="8" xr3:uid="{EB816A27-CBEA-41D5-B13E-9EC51E534F77}" name="Valor Total" dataDxfId="768">
      <calculatedColumnFormula>IF(Tabla590191[[#This Row],[Valor mensual + Combustible]]="","",Tabla590191[[#This Row],[Valor mensual + Combustible]]*Tabla590191[[#This Row],[Cantidad]])</calculatedColumnFormula>
    </tableColumn>
  </tableColumns>
  <tableStyleInfo name="TableStyleMedium2"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1" xr:uid="{F5667BAE-D184-489F-8127-299BD0A02247}" name="Tabla691192" displayName="Tabla691192" ref="EV58:EY61" totalsRowShown="0">
  <autoFilter ref="EV58:EY61" xr:uid="{7F11E60E-1C19-456B-BDD3-C7C7A04FA5A3}"/>
  <tableColumns count="4">
    <tableColumn id="1" xr3:uid="{2D8021D6-10D8-4504-87D6-C7DB5BA4AE30}" name="Transporte "/>
    <tableColumn id="2" xr3:uid="{157884C8-4856-49E1-8C2B-8BDC13DD52E0}" name="cantidad "/>
    <tableColumn id="3" xr3:uid="{C1C8AC4B-5FC0-45A6-B7C1-0A5693982720}" name="Valor unitario " dataDxfId="767"/>
    <tableColumn id="4" xr3:uid="{A243B361-1A05-4401-9F54-4C04F14BBDEA}" name="Valor total" dataDxfId="766">
      <calculatedColumnFormula>+Tabla691192[[#This Row],[Valor unitario ]]*Tabla691192[[#This Row],[cantidad ]]</calculatedColumnFormula>
    </tableColumn>
  </tableColumns>
  <tableStyleInfo name="TableStyleMedium2"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2" xr:uid="{4BA5F914-590A-43F6-AFF9-0BBCB783C588}" name="Tabla392193" displayName="Tabla392193" ref="FE12:FJ30" totalsRowShown="0">
  <autoFilter ref="FE12:FJ30" xr:uid="{CE9E0C81-5E8B-44CB-B0C5-AE2BDB269C05}"/>
  <tableColumns count="6">
    <tableColumn id="1" xr3:uid="{7DEF95CC-5C91-4BB2-8DB2-883540F017FA}" name="Personal" dataDxfId="765"/>
    <tableColumn id="2" xr3:uid="{E20D0F60-76DB-4707-9BB4-F090D009DB5D}" name="Cantidad" dataDxfId="764"/>
    <tableColumn id="3" xr3:uid="{6C60649C-6FED-46E4-924D-DACF8A637F07}" name="Sueldo base" dataDxfId="763">
      <calculatedColumnFormula>+IF(FE13="","",INDEX(V_MANODEOBRA_MENSUAL,MATCH(FE13,L_PERSONAL,0)))</calculatedColumnFormula>
    </tableColumn>
    <tableColumn id="4" xr3:uid="{7039BBBB-CD78-4CE0-AAC2-D43131106880}" name="Factor prestacional" dataDxfId="762">
      <calculatedColumnFormula>+IF(FG13="","",INDEX(F_PRESTACIONAL,MATCH(FE13,L_PERSONAL,0)))</calculatedColumnFormula>
    </tableColumn>
    <tableColumn id="5" xr3:uid="{9E8D7DB7-A385-4213-A05E-E0EF0C422FEC}" name="Valor mas factor prestacional" dataDxfId="761">
      <calculatedColumnFormula>+IF(FG13="","",FH13*FG13)</calculatedColumnFormula>
    </tableColumn>
    <tableColumn id="6" xr3:uid="{E9DFECF5-FF2F-43C5-927B-02C5FB24B6A5}" name="Valor mensual" dataDxfId="760">
      <calculatedColumnFormula>+IF(FI13="","",FI13*FF13)</calculatedColumnFormula>
    </tableColumn>
  </tableColumns>
  <tableStyleInfo name="TableStyleLight20"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3" xr:uid="{29E021BE-AB5B-49C8-BAA0-8381CABA7D0D}" name="Tabla593194" displayName="Tabla593194" ref="FD35:FK49" totalsRowShown="0">
  <autoFilter ref="FD35:FK49" xr:uid="{3622343E-DD88-4868-B4DC-2142742EBB2B}"/>
  <tableColumns count="8">
    <tableColumn id="1" xr3:uid="{0D063289-894D-4017-ADC0-BA5C9E38AA3F}" name="Equipo " dataDxfId="759"/>
    <tableColumn id="2" xr3:uid="{61FFE3D2-26EF-4761-B5CE-1339F9E1E8E9}" name="Cantidad" dataDxfId="758"/>
    <tableColumn id="3" xr3:uid="{6BEF7806-BFD4-4588-BC1E-1F3872B6FC3D}" name="Valor mensual" dataDxfId="757">
      <calculatedColumnFormula>IF(Tabla593194[[#This Row],[Equipo ]]="","",INDEX(V_MENSUAL,MATCH(Tabla593194[[#This Row],[Equipo ]],LISTA_MAQUINARIA,0)))</calculatedColumnFormula>
    </tableColumn>
    <tableColumn id="4" xr3:uid="{3AB5CCE6-8E5A-4C0C-A7B6-02E396ACD626}" name="Combustible Hora " dataDxfId="756">
      <calculatedColumnFormula>IF(Tabla593194[[#This Row],[Equipo ]]="","",INDEX(CONSUMO_COMBUSTIBLE_H,MATCH(Tabla593194[[#This Row],[Equipo ]],LISTA_MAQUINARIA,0)))</calculatedColumnFormula>
    </tableColumn>
    <tableColumn id="5" xr3:uid="{5419B347-7228-485F-BAA2-A5CA07ECA0A0}" name="Valor galon" dataDxfId="755">
      <calculatedColumnFormula>IF(Tabla593194[[#This Row],[Equipo ]]="","",INDEX(V_GALON,MATCH(Tabla593194[[#This Row],[Equipo ]],LISTA_MAQUINARIA,0)))</calculatedColumnFormula>
    </tableColumn>
    <tableColumn id="6" xr3:uid="{8D7154A9-2E08-4A0D-8B02-63A9C84F5A24}" name="Horas mes" dataDxfId="754"/>
    <tableColumn id="7" xr3:uid="{A06CDC84-FF6B-414C-A486-4151384C856B}" name="Valor mensual + Combustible" dataDxfId="753">
      <calculatedColumnFormula>IF(Tabla593194[[#This Row],[Equipo ]]="","",Tabla593194[[#This Row],[Valor mensual]]+Tabla593194[[#This Row],[Combustible Hora ]]*Tabla593194[[#This Row],[Valor galon]]*Tabla593194[[#This Row],[Horas mes]])</calculatedColumnFormula>
    </tableColumn>
    <tableColumn id="8" xr3:uid="{C4F62B26-77A0-44F9-B5D9-96B68A8A3715}" name="Valor Total" dataDxfId="752">
      <calculatedColumnFormula>IF(Tabla593194[[#This Row],[Valor mensual + Combustible]]="","",Tabla593194[[#This Row],[Valor mensual + Combustible]]*Tabla593194[[#This Row],[Cantidad]])</calculatedColumnFormula>
    </tableColumn>
  </tableColumns>
  <tableStyleInfo name="TableStyleMedium2"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4" xr:uid="{E784F480-D2D3-4093-8044-46D7B44D8DC1}" name="Tabla694195" displayName="Tabla694195" ref="FF58:FI61" totalsRowShown="0">
  <autoFilter ref="FF58:FI61" xr:uid="{426485F5-97B8-4681-BE48-A75E3EB4492C}"/>
  <tableColumns count="4">
    <tableColumn id="1" xr3:uid="{6328F8E1-466B-43F4-B691-9F6D7D70BF69}" name="Transporte "/>
    <tableColumn id="2" xr3:uid="{F072FE19-A185-44AC-A785-0273AF727516}" name="cantidad "/>
    <tableColumn id="3" xr3:uid="{4223A346-E625-4995-BCB6-58269268F715}" name="Valor unitario " dataDxfId="751"/>
    <tableColumn id="4" xr3:uid="{F13D4C34-7B87-4DD1-8BE3-E0F0E13B3729}" name="Valor total" dataDxfId="750">
      <calculatedColumnFormula>+Tabla694195[[#This Row],[cantidad ]]*Tabla694195[[#This Row],[Valor unitario ]]</calculatedColumnFormula>
    </tableColumn>
  </tableColumns>
  <tableStyleInfo name="TableStyleMedium2" showFirstColumn="0" showLastColumn="0"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5" xr:uid="{E3963F9B-0F36-46CD-B883-429D92BE538C}" name="Tabla395196" displayName="Tabla395196" ref="FO12:FT30" totalsRowShown="0">
  <autoFilter ref="FO12:FT30" xr:uid="{F4C5B4CD-4BC2-4AC5-9153-C8615829529F}"/>
  <tableColumns count="6">
    <tableColumn id="1" xr3:uid="{561B59B9-E5CF-4BDE-92B4-B0BF38BDBDCF}" name="Personal" dataDxfId="749"/>
    <tableColumn id="2" xr3:uid="{D89DE309-C426-4578-976D-C4D849CF13BE}" name="Cantidad" dataDxfId="748"/>
    <tableColumn id="3" xr3:uid="{3802F996-084F-43B8-A3B4-EDC2A1B1C8EF}" name="Sueldo base" dataDxfId="747">
      <calculatedColumnFormula>+IF(FO13="","",INDEX(V_MANODEOBRA_MENSUAL,MATCH(FO13,L_PERSONAL,0)))</calculatedColumnFormula>
    </tableColumn>
    <tableColumn id="4" xr3:uid="{1B59C38F-7BA9-425F-B2F7-DBD4AA6E42BB}" name="Factor prestacional" dataDxfId="746">
      <calculatedColumnFormula>+IF(FQ13="","",INDEX(F_PRESTACIONAL,MATCH(FO13,L_PERSONAL,0)))</calculatedColumnFormula>
    </tableColumn>
    <tableColumn id="5" xr3:uid="{95D92C78-2282-49FC-ADE9-BF1F27CDE662}" name="Valor mas factor prestacional" dataDxfId="745">
      <calculatedColumnFormula>+IF(FQ13="","",FR13*FQ13)</calculatedColumnFormula>
    </tableColumn>
    <tableColumn id="6" xr3:uid="{200188C3-1368-4192-AC6D-2D09A82F13A9}" name="Valor mensual" dataDxfId="744">
      <calculatedColumnFormula>+IF(FS13="","",FS13*FP13)</calculatedColumnFormula>
    </tableColumn>
  </tableColumns>
  <tableStyleInfo name="TableStyleLight20" showFirstColumn="0" showLastColumn="0"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6" xr:uid="{CAD1CF8D-1CE0-4C3E-BA34-C5F5F8088C94}" name="Tabla596197" displayName="Tabla596197" ref="FN35:FU49" totalsRowShown="0">
  <autoFilter ref="FN35:FU49" xr:uid="{5B3B367B-C8CC-45F7-A755-8737C968397D}"/>
  <tableColumns count="8">
    <tableColumn id="1" xr3:uid="{2EB2B3EB-DAF2-4956-8399-6BC6732F4D6D}" name="Equipo " dataDxfId="743"/>
    <tableColumn id="2" xr3:uid="{A54D6FB7-C6A1-4E00-8677-87AD450D4055}" name="Cantidad" dataDxfId="742"/>
    <tableColumn id="3" xr3:uid="{D41B40B9-C130-4E89-A25D-08AEC55EE4E3}" name="Valor mensual" dataDxfId="741">
      <calculatedColumnFormula>IF(Tabla596197[[#This Row],[Equipo ]]="","",INDEX(V_MENSUAL,MATCH(Tabla596197[[#This Row],[Equipo ]],LISTA_MAQUINARIA,0)))</calculatedColumnFormula>
    </tableColumn>
    <tableColumn id="4" xr3:uid="{125C43F1-E934-4F5C-AD94-56E1DB57D9DA}" name="Combustible Hora " dataDxfId="740">
      <calculatedColumnFormula>IF(Tabla596197[[#This Row],[Equipo ]]="","",INDEX(CONSUMO_COMBUSTIBLE_H,MATCH(Tabla596197[[#This Row],[Equipo ]],LISTA_MAQUINARIA,0)))</calculatedColumnFormula>
    </tableColumn>
    <tableColumn id="5" xr3:uid="{7754AB6C-7D4A-41AC-ACB7-D8A8C5F29798}" name="Valor galon" dataDxfId="739">
      <calculatedColumnFormula>IF(Tabla596197[[#This Row],[Equipo ]]="","",INDEX(V_GALON,MATCH(Tabla596197[[#This Row],[Equipo ]],LISTA_MAQUINARIA,0)))</calculatedColumnFormula>
    </tableColumn>
    <tableColumn id="6" xr3:uid="{321AB4D8-E946-4AB3-8B6A-2B6101DF2548}" name="Horas mes" dataDxfId="738"/>
    <tableColumn id="7" xr3:uid="{AFF29858-C739-491E-9839-045185394529}" name="Valor mensual + Combustible" dataDxfId="737">
      <calculatedColumnFormula>IF(Tabla596197[[#This Row],[Equipo ]]="","",Tabla596197[[#This Row],[Valor mensual]]+Tabla596197[[#This Row],[Combustible Hora ]]*Tabla596197[[#This Row],[Valor galon]]*Tabla596197[[#This Row],[Horas mes]])</calculatedColumnFormula>
    </tableColumn>
    <tableColumn id="8" xr3:uid="{31A1091C-1076-44EB-AF61-6037E228249C}" name="Valor Total" dataDxfId="736">
      <calculatedColumnFormula>IF(Tabla596197[[#This Row],[Valor mensual + Combustible]]="","",Tabla596197[[#This Row],[Valor mensual + Combustible]]*Tabla596197[[#This Row],[Cantidad]])</calculatedColumnFormula>
    </tableColumn>
  </tableColumns>
  <tableStyleInfo name="TableStyleMedium2" showFirstColumn="0" showLastColumn="0" showRowStripes="1" showColumnStripes="0"/>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7" xr:uid="{B733D0D9-BA00-4385-9D60-E3083A9DE830}" name="Tabla697198" displayName="Tabla697198" ref="FP58:FS61" totalsRowShown="0">
  <autoFilter ref="FP58:FS61" xr:uid="{50624B96-8A1F-415A-AF98-593A1957F17A}"/>
  <tableColumns count="4">
    <tableColumn id="1" xr3:uid="{23B75DD5-08CC-4895-BC50-FB03D644DE5A}" name="Transporte "/>
    <tableColumn id="2" xr3:uid="{7576A4E6-CD0E-465E-9B5B-EA2A5E07A886}" name="cantidad "/>
    <tableColumn id="3" xr3:uid="{407E4173-E259-4E52-AFBD-F507638E01FA}" name="Valor unitario " dataDxfId="735"/>
    <tableColumn id="4" xr3:uid="{7B1EC62E-7BBE-420B-A1FA-EDE60B162DFB}" name="Valor total" dataDxfId="734">
      <calculatedColumnFormula>+Tabla697198[[#This Row],[Valor unitario ]]*Tabla697198[[#This Row],[cantidad ]]</calculatedColumnFormula>
    </tableColumn>
  </tableColumns>
  <tableStyleInfo name="TableStyleMedium2" showFirstColumn="0" showLastColumn="0" showRowStripes="1" showColumnStripes="0"/>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8" xr:uid="{340C115A-DF82-4AC6-A669-708AE3EB5454}" name="Tabla97199" displayName="Tabla97199" ref="B66:F86" totalsRowCount="1">
  <autoFilter ref="B66:F85" xr:uid="{64904568-17F1-4B54-AFA4-8B67D5B45D8D}"/>
  <tableColumns count="5">
    <tableColumn id="1" xr3:uid="{295B6DB5-69C8-4D37-8FC0-1E5ECF7E25DD}" name="MES" dataDxfId="733" totalsRowDxfId="732"/>
    <tableColumn id="2" xr3:uid="{2C7D5D1C-CC2B-47BC-9F07-16F1D88E984D}" name="SUBTOTAL PERSONAL" dataDxfId="731" totalsRowDxfId="730"/>
    <tableColumn id="3" xr3:uid="{18F7F78B-2B18-42D3-AB01-87AF2294D6B9}" name="SUBTOTAL EQUIPO" dataDxfId="729" totalsRowDxfId="728"/>
    <tableColumn id="4" xr3:uid="{9B25A970-B2A1-40BC-B980-60D726211482}" name="SUBTOTAL TRANSPORTE" dataDxfId="727" totalsRowDxfId="726"/>
    <tableColumn id="5" xr3:uid="{4346E2E5-C3BC-493B-A636-1E9A06534EA4}" name="TOTAL MES" dataDxfId="725" totalsRowDxfId="724">
      <calculatedColumnFormula>SUM(Tabla97199[[#This Row],[SUBTOTAL PERSONAL]:[SUBTOTAL TRANSPORTE]])</calculatedColumnFormula>
    </tableColumn>
  </tableColumns>
  <tableStyleInfo name="TableStyleMedium2" showFirstColumn="0" showLastColumn="0" showRowStripes="1" showColumnStripes="0"/>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9" xr:uid="{169BFB3E-5D5E-4C18-9233-103244D18A09}" name="Tabla100200" displayName="Tabla100200" ref="B89:E94" totalsRowShown="0">
  <autoFilter ref="B89:E94" xr:uid="{262B0C0C-0C54-48A1-8009-179D120C066D}"/>
  <tableColumns count="4">
    <tableColumn id="1" xr3:uid="{E54B446C-6C90-4FA6-8526-3BC5241F9EAD}" name="CONCEPTO"/>
    <tableColumn id="2" xr3:uid="{A0C6E632-F9CB-487F-A6DE-845B108989A4}" name="VALOR BASE LIQUIDACION" dataDxfId="723">
      <calculatedColumnFormula>+COSTO_DIRECTO_OPTIMO</calculatedColumnFormula>
    </tableColumn>
    <tableColumn id="3" xr3:uid="{A2A831E5-BB58-4BDC-8D95-197B59D40F95}" name="TARIFA" dataDxfId="722"/>
    <tableColumn id="4" xr3:uid="{80643199-5CA5-427D-9A4B-C36A6560957C}" name="VALOR TOTAL" dataDxfId="721">
      <calculatedColumnFormula>IF(Tabla100200[[#This Row],[VALOR BASE LIQUIDACION]]="","",Tabla100200[[#This Row],[TARIFA]]*Tabla100200[[#This Row],[VALOR BASE LIQUIDACION]])</calculatedColumnFormula>
    </tableColumn>
  </tableColumns>
  <tableStyleInfo name="TableStyleMedium2" showFirstColumn="0" showLastColumn="0" showRowStripes="1" showColumnStripes="0"/>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0" xr:uid="{8B1D1DC0-B333-491B-9FE7-5CED05E12192}" name="Tabla101201" displayName="Tabla101201" ref="B99:G104" totalsRowShown="0">
  <autoFilter ref="B99:G104" xr:uid="{6E5C2612-9444-45A0-9510-168BE325583B}"/>
  <tableColumns count="6">
    <tableColumn id="1" xr3:uid="{1F7619E7-194D-47F0-BAAE-A791C9501D07}" name="AMPARO"/>
    <tableColumn id="2" xr3:uid="{699147F7-0373-4245-8A11-B711A9846132}" name="VALOR BASE LIQUIDACIÓN" dataDxfId="720"/>
    <tableColumn id="3" xr3:uid="{44B7F6EE-0C36-4740-ACE5-9E04B762079B}" name="% ASEGURADO" dataDxfId="719"/>
    <tableColumn id="4" xr3:uid="{175A5DF1-FCBF-4779-ABA4-62893D6AA6EF}" name="VIGENCIA (MES)" dataDxfId="718"/>
    <tableColumn id="5" xr3:uid="{1FD70C99-B76C-465C-98E5-4C1212B20E23}" name="TASA" dataDxfId="717"/>
    <tableColumn id="6" xr3:uid="{7F5716AB-AF14-4158-A321-B1E0D9FD3D4D}" name="VALOR TOTAL" dataDxfId="716">
      <calculatedColumnFormula>IF(Tabla101201[[#This Row],[VALOR BASE LIQUIDACIÓN]]="","",Tabla101201[[#This Row],[VALOR BASE LIQUIDACIÓN]]*Tabla101201[[#This Row],[% ASEGURADO]]*(Tabla101201[[#This Row],[VIGENCIA (MES)]]/12)*Tabla101201[[#This Row],[TASA]]*1.19)</calculatedColumnFormula>
    </tableColumn>
  </tableColumns>
  <tableStyleInfo name="TableStyleMedium2" showFirstColumn="0" showLastColumn="0" showRowStripes="1" showColumnStripes="0"/>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1" xr:uid="{58CEB23C-BA3A-42B9-B494-B02B3FA995EF}" name="Tabla3202" displayName="Tabla3202" ref="B12:G34" totalsRowShown="0">
  <autoFilter ref="B12:G34" xr:uid="{AD4AF869-2F49-45EC-8818-5B0F81E6B46A}"/>
  <tableColumns count="6">
    <tableColumn id="1" xr3:uid="{DAEB9731-4E86-4B5D-884F-E01145609CA1}" name="Personal"/>
    <tableColumn id="2" xr3:uid="{0466E0CE-FB04-452B-96BE-2E8525C62723}" name="Cantidad" dataDxfId="715"/>
    <tableColumn id="3" xr3:uid="{7F3F37B0-8EA8-46D8-8793-BD8ECC04A797}" name="Sueldo base" dataDxfId="714">
      <calculatedColumnFormula>+IF(B13="","",INDEX(V_MANODEOBRA_MENSUAL,MATCH(B13,L_PERSONAL,0)))</calculatedColumnFormula>
    </tableColumn>
    <tableColumn id="4" xr3:uid="{DC8786A6-C262-41ED-B290-BC7F82D0EE28}" name="Factor prestacional">
      <calculatedColumnFormula>+IF(D13="","",INDEX(F_PRESTACIONAL,MATCH(B13,L_PERSONAL,0)))</calculatedColumnFormula>
    </tableColumn>
    <tableColumn id="5" xr3:uid="{197A7292-9B29-4834-8FAA-9746C62D122E}" name="Valor mas factor prestacional" dataDxfId="713">
      <calculatedColumnFormula>+IF(D13="","",E13*D13)</calculatedColumnFormula>
    </tableColumn>
    <tableColumn id="6" xr3:uid="{46944E79-0153-44A5-9AD1-C4A0F91819B2}" name="Subtotal Mensual" dataDxfId="712">
      <calculatedColumnFormula>+IF(F13="","",F13*C13)</calculatedColumnFormula>
    </tableColumn>
  </tableColumns>
  <tableStyleInfo name="TableStyleLight20" showFirstColumn="0" showLastColumn="0" showRowStripes="1" showColumnStripes="0"/>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2" xr:uid="{D7595ED5-8FB5-471F-BB9E-DF2B5DDC002A}" name="Tabla5203" displayName="Tabla5203" ref="A39:H57" totalsRowShown="0">
  <autoFilter ref="A39:H57" xr:uid="{D53980EC-3940-4375-8D5C-220D80DA8729}"/>
  <tableColumns count="8">
    <tableColumn id="1" xr3:uid="{C46AB9AD-7DD5-42D2-BCF6-F27C8535814D}" name="Equipo "/>
    <tableColumn id="2" xr3:uid="{1289A696-2755-4F63-8601-DD045E1F3605}" name="Cantidad"/>
    <tableColumn id="3" xr3:uid="{B8B5D019-3A13-4028-B96B-248E7880FAFD}" name="Valor mensual" dataDxfId="711">
      <calculatedColumnFormula>IF(Tabla5203[[#This Row],[Equipo ]]="","",INDEX(V_MENSUAL,MATCH(Tabla5203[[#This Row],[Equipo ]],LISTA_MAQUINARIA,0)))</calculatedColumnFormula>
    </tableColumn>
    <tableColumn id="4" xr3:uid="{AB20D872-75E1-4779-9A93-D9072E037661}" name="Combustible Hora ">
      <calculatedColumnFormula>IF(Tabla5203[[#This Row],[Equipo ]]="","",INDEX(CONSUMO_COMBUSTIBLE_H,MATCH(Tabla5203[[#This Row],[Equipo ]],LISTA_MAQUINARIA,0)))</calculatedColumnFormula>
    </tableColumn>
    <tableColumn id="5" xr3:uid="{C083BB33-75CB-4B39-8FF8-3850AC5DA549}" name="Valor galon" dataDxfId="710">
      <calculatedColumnFormula>IF(Tabla5203[[#This Row],[Equipo ]]="","",INDEX(V_GALON,MATCH(Tabla5203[[#This Row],[Equipo ]],LISTA_MAQUINARIA,0)))</calculatedColumnFormula>
    </tableColumn>
    <tableColumn id="6" xr3:uid="{3BEE360F-7E89-412D-8791-DC7AAB915786}" name="Horas mes" dataDxfId="709"/>
    <tableColumn id="7" xr3:uid="{24AC1C60-039B-4446-B7C6-EAEB2CC61B43}" name="Valor mensual + Combustible" dataDxfId="708">
      <calculatedColumnFormula>IF(Tabla5203[[#This Row],[Equipo ]]="","",Tabla5203[[#This Row],[Valor mensual]]+Tabla5203[[#This Row],[Combustible Hora ]]*Tabla5203[[#This Row],[Valor galon]]*Tabla5203[[#This Row],[Horas mes]])</calculatedColumnFormula>
    </tableColumn>
    <tableColumn id="8" xr3:uid="{8097B0AE-F490-4E1D-B992-02F38B0A538C}" name="Subtotal maquianria y equipo" dataDxfId="707">
      <calculatedColumnFormula>IF(Tabla5203[[#This Row],[Valor mensual + Combustible]]="","",Tabla5203[[#This Row],[Valor mensual + Combustible]]*Tabla5203[[#This Row],[Cantidad]])</calculatedColumnFormula>
    </tableColumn>
  </tableColumns>
  <tableStyleInfo name="TableStyleMedium2" showFirstColumn="0" showLastColumn="0" showRowStripes="1" showColumnStripes="0"/>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3" xr:uid="{1CABD33B-5C18-4B61-8674-A114544E11AF}" name="Tabla6204" displayName="Tabla6204" ref="C63:F66" totalsRowShown="0">
  <autoFilter ref="C63:F66" xr:uid="{1C3AF84A-3007-4CD5-B6BF-5F5F0792E095}"/>
  <tableColumns count="4">
    <tableColumn id="1" xr3:uid="{B8171895-D0BD-454E-B538-A78DC687A8A2}" name="Transporte "/>
    <tableColumn id="2" xr3:uid="{B67DCAF2-96EA-4F2C-B899-880F1B821634}" name="cantidad " dataDxfId="706">
      <calculatedColumnFormula>2+3</calculatedColumnFormula>
    </tableColumn>
    <tableColumn id="3" xr3:uid="{AEED7FE3-41E3-4756-86EC-5171DBB33A40}" name="Valor unitario "/>
    <tableColumn id="4" xr3:uid="{811A5ACA-3A92-47D0-BCBB-3E65281441DB}" name="Valor total">
      <calculatedColumnFormula>+Tabla6204[[#This Row],[Valor unitario ]]*Tabla6204[[#This Row],[cantidad ]]</calculatedColumnFormula>
    </tableColumn>
  </tableColumns>
  <tableStyleInfo name="TableStyleMedium2" showFirstColumn="0" showLastColumn="0" showRowStripes="1" showColumnStripes="0"/>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4" xr:uid="{2CA166C1-6023-444A-A3CA-688FC7E875F0}" name="Tabla347205" displayName="Tabla347205" ref="L12:Q34" totalsRowShown="0">
  <autoFilter ref="L12:Q34" xr:uid="{93F132FB-9209-475F-A171-C62F62A14B0A}"/>
  <tableColumns count="6">
    <tableColumn id="1" xr3:uid="{58B3A717-339F-4D3C-BD3A-0A2199571A35}" name="Personal" dataDxfId="705"/>
    <tableColumn id="2" xr3:uid="{09679CBC-4703-4790-B1F0-77D304281EC5}" name="Cantidad" dataDxfId="704"/>
    <tableColumn id="3" xr3:uid="{00418409-B56E-4B92-8E6F-CD25F6601730}" name="Sueldo base" dataDxfId="703">
      <calculatedColumnFormula>+IF(L13="","",INDEX(V_MANODEOBRA_MENSUAL,MATCH(L13,L_PERSONAL,0)))</calculatedColumnFormula>
    </tableColumn>
    <tableColumn id="4" xr3:uid="{D73FE02D-C14C-48AC-83D2-0AFF82049B5F}" name="Factor prestacional">
      <calculatedColumnFormula>+IF(N13="","",INDEX(F_PRESTACIONAL,MATCH(L13,L_PERSONAL,0)))</calculatedColumnFormula>
    </tableColumn>
    <tableColumn id="5" xr3:uid="{7202006F-48D0-45BF-B97B-A45306F504F2}" name="Valor mas factor prestacional">
      <calculatedColumnFormula>+IF(N13="","",O13*N13)</calculatedColumnFormula>
    </tableColumn>
    <tableColumn id="6" xr3:uid="{25E8D6A9-7468-4569-AA8D-4B24D4FD5F7C}" name="Valor mensual">
      <calculatedColumnFormula>+IF(P13="","",P13*M13)</calculatedColumnFormula>
    </tableColumn>
  </tableColumns>
  <tableStyleInfo name="TableStyleLight20" showFirstColumn="0" showLastColumn="0" showRowStripes="1" showColumnStripes="0"/>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5" xr:uid="{CD5F30C7-8607-4CDC-B8CE-106364D8DA98}" name="Tabla548206" displayName="Tabla548206" ref="K39:R57" totalsRowShown="0">
  <autoFilter ref="K39:R57" xr:uid="{9B52293F-BD95-4BCF-AA93-E1D7F3B78D7D}"/>
  <tableColumns count="8">
    <tableColumn id="1" xr3:uid="{24018836-5A27-4BDF-BA9E-A70F354096C7}" name="Equipo " dataDxfId="702"/>
    <tableColumn id="2" xr3:uid="{94963D3E-FEBF-4F10-931A-33F8C9D32462}" name="Cantidad" dataDxfId="701"/>
    <tableColumn id="3" xr3:uid="{D415EBB1-9319-4811-9AA1-3FE51971CB3E}" name="Valor mensual" dataDxfId="700">
      <calculatedColumnFormula array="1">IF(Tabla548206[[#This Row],[Equipo ]]="","",INDEX(V_MENSUAL,MATCH(Tabla548206[[#This Row],[Equipo ]],LISTA_MAQUINARIA,0)))</calculatedColumnFormula>
    </tableColumn>
    <tableColumn id="4" xr3:uid="{33B9462F-06A1-4BD9-91B5-5C3E4648B130}" name="Combustible Hora " dataDxfId="699">
      <calculatedColumnFormula>IF(Tabla548206[[#This Row],[Equipo ]]="","",INDEX(CONSUMO_COMBUSTIBLE_H,MATCH(Tabla548206[[#This Row],[Equipo ]],LISTA_MAQUINARIA,0)))</calculatedColumnFormula>
    </tableColumn>
    <tableColumn id="5" xr3:uid="{3244ED00-6F62-4DBE-9A7C-F2FC4243DD7D}" name="Valor galon" dataDxfId="698">
      <calculatedColumnFormula>IF(Tabla548206[[#This Row],[Equipo ]]="","",INDEX(V_GALON,MATCH(Tabla548206[[#This Row],[Equipo ]],LISTA_MAQUINARIA,0)))</calculatedColumnFormula>
    </tableColumn>
    <tableColumn id="6" xr3:uid="{8699E695-43E8-48B0-83C4-D1BC547A43F3}" name="Horas mes" dataDxfId="697"/>
    <tableColumn id="7" xr3:uid="{B481C285-EE9B-4908-81C7-46164D5CF262}" name="Valor mensual + Combustible" dataDxfId="696">
      <calculatedColumnFormula>IF(Tabla548206[[#This Row],[Equipo ]]="","",Tabla548206[[#This Row],[Valor mensual]]+Tabla548206[[#This Row],[Combustible Hora ]]*Tabla548206[[#This Row],[Valor galon]]*Tabla548206[[#This Row],[Horas mes]])</calculatedColumnFormula>
    </tableColumn>
    <tableColumn id="8" xr3:uid="{0F1A111D-4DE7-476C-BBDE-E65B06D27B54}" name="Valor Total" dataDxfId="695">
      <calculatedColumnFormula>IF(Tabla548206[[#This Row],[Valor mensual + Combustible]]="","",Tabla548206[[#This Row],[Valor mensual + Combustible]]*Tabla548206[[#This Row],[Cantidad]])</calculatedColumnFormula>
    </tableColumn>
  </tableColumns>
  <tableStyleInfo name="TableStyleMedium2" showFirstColumn="0" showLastColumn="0" showRowStripes="1" showColumnStripes="0"/>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6" xr:uid="{20F7E9EA-F6C6-480D-BE6D-0F6C9D6FB031}" name="Tabla649207" displayName="Tabla649207" ref="M67:P70" totalsRowShown="0">
  <autoFilter ref="M67:P70" xr:uid="{3EDA810C-D82E-4924-ADCD-98EBE45CE2DA}"/>
  <tableColumns count="4">
    <tableColumn id="1" xr3:uid="{C8B6FA39-1273-40DB-8F1F-E43AEBB42572}" name="Transporte " dataDxfId="694"/>
    <tableColumn id="2" xr3:uid="{FD75D061-7B09-467E-8282-A5453E58A0D6}" name="cantidad "/>
    <tableColumn id="3" xr3:uid="{807B008D-9B0B-4B81-9982-856CF7926CE6}" name="Valor unitario " dataDxfId="693"/>
    <tableColumn id="4" xr3:uid="{8DA9B88C-6439-45D8-8A9D-EA28DDE84694}" name="Valor total" dataDxfId="692">
      <calculatedColumnFormula>+Tabla649207[[#This Row],[Valor unitario ]]*Tabla649207[[#This Row],[cantidad ]]</calculatedColumnFormula>
    </tableColumn>
  </tableColumns>
  <tableStyleInfo name="TableStyleMedium2" showFirstColumn="0" showLastColumn="0" showRowStripes="1" showColumnStripes="0"/>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7" xr:uid="{4B662E57-C81D-4A54-85F8-73C18EC7D0DA}" name="Tabla350208" displayName="Tabla350208" ref="V12:AA34" totalsRowShown="0">
  <autoFilter ref="V12:AA34" xr:uid="{688EF152-7084-4BF8-814F-8E72B2A2391B}"/>
  <tableColumns count="6">
    <tableColumn id="1" xr3:uid="{FD868E6C-8CF2-4E68-836B-70DE968F5853}" name="Personal" dataDxfId="691"/>
    <tableColumn id="2" xr3:uid="{789C7EE9-FA5B-4591-94C9-480BCA8854F1}" name="Cantidad" dataDxfId="690"/>
    <tableColumn id="3" xr3:uid="{C90C1B9B-67D2-49BE-8F07-F63F434658DA}" name="Sueldo base" dataDxfId="689">
      <calculatedColumnFormula>+IF(V13="","",INDEX(V_MANODEOBRA_MENSUAL,MATCH(V13,L_PERSONAL,0)))</calculatedColumnFormula>
    </tableColumn>
    <tableColumn id="4" xr3:uid="{BB49F6C0-E52D-4DF4-A626-539695BB5B5C}" name="Factor prestacional" dataDxfId="688">
      <calculatedColumnFormula>+IF(X13="","",INDEX(F_PRESTACIONAL,MATCH(V13,L_PERSONAL,0)))</calculatedColumnFormula>
    </tableColumn>
    <tableColumn id="5" xr3:uid="{4B8CF391-814F-4F67-9D92-94BB69DD7A19}" name="Valor mas factor prestacional" dataDxfId="687">
      <calculatedColumnFormula>+IF(X13="","",Y13*X13)</calculatedColumnFormula>
    </tableColumn>
    <tableColumn id="6" xr3:uid="{A9B02553-EF1A-426F-8A6C-F56AC318E16C}" name="Valor mensual" dataDxfId="686">
      <calculatedColumnFormula>+IF(Z13="","",Z13*W13)</calculatedColumnFormula>
    </tableColumn>
  </tableColumns>
  <tableStyleInfo name="TableStyleLight20" showFirstColumn="0" showLastColumn="0" showRowStripes="1" showColumnStripes="0"/>
</table>
</file>

<file path=xl/tables/table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8" xr:uid="{B61ED2D5-4688-42CA-A418-F15E749BB703}" name="Tabla551209" displayName="Tabla551209" ref="U39:AB57" totalsRowShown="0">
  <autoFilter ref="U39:AB57" xr:uid="{88674F15-B5EF-4350-AD0A-CCBAD9D7DDC5}"/>
  <tableColumns count="8">
    <tableColumn id="1" xr3:uid="{C1207066-1AE7-46A5-9DD3-B240AF0AE8A4}" name="Equipo " dataDxfId="685"/>
    <tableColumn id="2" xr3:uid="{A5DA176A-9B12-461F-93FF-F2558EBBFB34}" name="Cantidad" dataDxfId="684"/>
    <tableColumn id="3" xr3:uid="{697EB644-B3B1-49CC-B95F-01CE5BBD1A21}" name="Valor mensual" dataDxfId="683">
      <calculatedColumnFormula>IF(Tabla551209[[#This Row],[Equipo ]]="","",INDEX(V_MENSUAL,MATCH(Tabla551209[[#This Row],[Equipo ]],LISTA_MAQUINARIA,0)))</calculatedColumnFormula>
    </tableColumn>
    <tableColumn id="4" xr3:uid="{4054A445-8C69-47C0-84D9-E9DA5FEBC9E8}" name="Combustible Hora " dataDxfId="682">
      <calculatedColumnFormula>IF(Tabla551209[[#This Row],[Equipo ]]="","",INDEX(CONSUMO_COMBUSTIBLE_H,MATCH(Tabla551209[[#This Row],[Equipo ]],LISTA_MAQUINARIA,0)))</calculatedColumnFormula>
    </tableColumn>
    <tableColumn id="5" xr3:uid="{787228B7-3CD5-4FF7-9567-111B36DD1007}" name="Valor galon" dataDxfId="681">
      <calculatedColumnFormula>IF(Tabla551209[[#This Row],[Equipo ]]="","",INDEX(V_GALON,MATCH(Tabla551209[[#This Row],[Equipo ]],LISTA_MAQUINARIA,0)))</calculatedColumnFormula>
    </tableColumn>
    <tableColumn id="6" xr3:uid="{CF1BF3C7-5F3B-42A5-889E-FF7CBC0D81E4}" name="Horas mes" dataDxfId="680"/>
    <tableColumn id="7" xr3:uid="{A605BD0A-ABD9-4B44-A0D9-170D40519E7C}" name="Valor mensual + Combustible" dataDxfId="679">
      <calculatedColumnFormula>IF(Tabla551209[[#This Row],[Equipo ]]="","",Tabla551209[[#This Row],[Valor mensual]]+Tabla551209[[#This Row],[Combustible Hora ]]*Tabla551209[[#This Row],[Valor galon]]*Tabla551209[[#This Row],[Horas mes]])</calculatedColumnFormula>
    </tableColumn>
    <tableColumn id="8" xr3:uid="{5AD43D68-B44E-485B-93F4-BEC73E173B31}" name="Valor Total" dataDxfId="678">
      <calculatedColumnFormula>IF(Tabla551209[[#This Row],[Valor mensual + Combustible]]="","",Tabla551209[[#This Row],[Valor mensual + Combustible]]*Tabla551209[[#This Row],[Cantidad]])</calculatedColumnFormula>
    </tableColumn>
  </tableColumns>
  <tableStyleInfo name="TableStyleMedium2" showFirstColumn="0" showLastColumn="0" showRowStripes="1" showColumnStripes="0"/>
</table>
</file>

<file path=xl/tables/table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9" xr:uid="{AF243E8D-94A2-4CC8-94FA-509CB7CD43FF}" name="Tabla652210" displayName="Tabla652210" ref="W67:Z70" totalsRowShown="0">
  <autoFilter ref="W67:Z70" xr:uid="{DD5F7FF4-770B-44AC-9D86-8464318171BB}"/>
  <tableColumns count="4">
    <tableColumn id="1" xr3:uid="{FFB15D06-AB3F-4955-A5FF-F2A38F84CE41}" name="Transporte " dataDxfId="677"/>
    <tableColumn id="2" xr3:uid="{BC78C31C-FE9B-4DFD-B221-9C97542AEF42}" name="cantidad "/>
    <tableColumn id="3" xr3:uid="{B846E835-6373-4061-BA52-96898EBC1313}" name="Valor unitario " dataDxfId="676"/>
    <tableColumn id="4" xr3:uid="{CB72E804-976E-450E-B481-7BF436AB8F31}" name="Valor total" dataDxfId="675">
      <calculatedColumnFormula>+Tabla652210[[#This Row],[Valor unitario ]]*Tabla652210[[#This Row],[cantidad ]]</calculatedColumnFormula>
    </tableColumn>
  </tableColumns>
  <tableStyleInfo name="TableStyleMedium2" showFirstColumn="0" showLastColumn="0" showRowStripes="1" showColumnStripes="0"/>
</table>
</file>

<file path=xl/tables/table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0" xr:uid="{3BD0DA97-1E54-4DE4-99CC-3609E229AD43}" name="Tabla353211" displayName="Tabla353211" ref="AE12:AJ34" totalsRowShown="0">
  <autoFilter ref="AE12:AJ34" xr:uid="{26FF3568-73DB-44A1-94AA-36BEFFAA2F51}"/>
  <tableColumns count="6">
    <tableColumn id="1" xr3:uid="{50B22A22-8DDB-4409-AE88-07306A99EE9B}" name="Personal" dataDxfId="674"/>
    <tableColumn id="2" xr3:uid="{A9123B28-94A6-415A-9426-85F5A54FB71B}" name="Cantidad" dataDxfId="673"/>
    <tableColumn id="3" xr3:uid="{73C489CD-8AEC-4259-8C12-6418EB6EE938}" name="Sueldo base" dataDxfId="672">
      <calculatedColumnFormula>+IF(AE13="","",INDEX(V_MANODEOBRA_MENSUAL,MATCH(AE13,L_PERSONAL,0)))</calculatedColumnFormula>
    </tableColumn>
    <tableColumn id="4" xr3:uid="{3CBD4454-A9A7-4CD8-AD3D-2FE6CE277F6F}" name="Factor prestacional" dataDxfId="671">
      <calculatedColumnFormula>+IF(AG13="","",INDEX(F_PRESTACIONAL,MATCH(AE13,L_PERSONAL,0)))</calculatedColumnFormula>
    </tableColumn>
    <tableColumn id="5" xr3:uid="{7EEB8D1E-3188-4A9F-B87C-FEB22EB1AC40}" name="Valor mas factor prestacional" dataDxfId="670">
      <calculatedColumnFormula>+IF(AG13="","",AH13*AG13)</calculatedColumnFormula>
    </tableColumn>
    <tableColumn id="6" xr3:uid="{B9298CBB-AF56-4A3F-9CC7-92242554E8E1}" name="Valor mensual" dataDxfId="669">
      <calculatedColumnFormula>+IF(AI13="","",AI13*AF13)</calculatedColumnFormula>
    </tableColumn>
  </tableColumns>
  <tableStyleInfo name="TableStyleLight20" showFirstColumn="0" showLastColumn="0" showRowStripes="1" showColumnStripes="0"/>
</table>
</file>

<file path=xl/tables/table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1" xr:uid="{C13B5ABB-5FF7-4B6B-B734-20EA5898A33C}" name="Tabla554212" displayName="Tabla554212" ref="AD39:AK57" totalsRowShown="0">
  <autoFilter ref="AD39:AK57" xr:uid="{025ED482-3598-43C2-A48C-578275D876E8}"/>
  <tableColumns count="8">
    <tableColumn id="1" xr3:uid="{580F9877-2A17-48B4-9A2E-7236F13DC81E}" name="Equipo " dataDxfId="668"/>
    <tableColumn id="2" xr3:uid="{1A7BAC88-869C-4FC2-95AC-2D53773A50CE}" name="Cantidad" dataDxfId="667"/>
    <tableColumn id="3" xr3:uid="{E643F0BC-458B-402B-A92A-62D00F1FB636}" name="Valor mensual" dataDxfId="666">
      <calculatedColumnFormula>IF(Tabla554212[[#This Row],[Equipo ]]="","",INDEX(V_MENSUAL,MATCH(Tabla554212[[#This Row],[Equipo ]],LISTA_MAQUINARIA,0)))</calculatedColumnFormula>
    </tableColumn>
    <tableColumn id="4" xr3:uid="{B1F88D38-D54E-4E77-8C88-73B351095473}" name="Combustible Hora " dataDxfId="665">
      <calculatedColumnFormula>IF(Tabla554212[[#This Row],[Equipo ]]="","",INDEX(CONSUMO_COMBUSTIBLE_H,MATCH(Tabla554212[[#This Row],[Equipo ]],LISTA_MAQUINARIA,0)))</calculatedColumnFormula>
    </tableColumn>
    <tableColumn id="5" xr3:uid="{99F60A31-FB5E-40A3-AE04-A902561DD8DD}" name="Valor galon" dataDxfId="664">
      <calculatedColumnFormula>IF(Tabla554212[[#This Row],[Equipo ]]="","",INDEX(V_GALON,MATCH(Tabla554212[[#This Row],[Equipo ]],LISTA_MAQUINARIA,0)))</calculatedColumnFormula>
    </tableColumn>
    <tableColumn id="6" xr3:uid="{38E4F230-D442-41E2-BB7B-AF6FD8663A6E}" name="Horas mes" dataDxfId="663"/>
    <tableColumn id="7" xr3:uid="{6DB35DAC-579B-420A-97A1-39C2E29F07AB}" name="Valor mensual + Combustible" dataDxfId="662">
      <calculatedColumnFormula>IF(Tabla554212[[#This Row],[Equipo ]]="","",Tabla554212[[#This Row],[Valor mensual]]+Tabla554212[[#This Row],[Combustible Hora ]]*Tabla554212[[#This Row],[Valor galon]]*Tabla554212[[#This Row],[Horas mes]])</calculatedColumnFormula>
    </tableColumn>
    <tableColumn id="8" xr3:uid="{323B0A9F-6666-4E67-B6AE-DA0040D79C33}" name="Valor Total" dataDxfId="661">
      <calculatedColumnFormula>IF(Tabla554212[[#This Row],[Valor mensual + Combustible]]="","",Tabla554212[[#This Row],[Valor mensual + Combustible]]*Tabla554212[[#This Row],[Cantidad]])</calculatedColumnFormula>
    </tableColumn>
  </tableColumns>
  <tableStyleInfo name="TableStyleMedium2" showFirstColumn="0" showLastColumn="0" showRowStripes="1" showColumnStripes="0"/>
</table>
</file>

<file path=xl/tables/table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2" xr:uid="{4B7B9D99-C38D-499A-B31A-DE82312171FC}" name="Tabla655213" displayName="Tabla655213" ref="AF67:AI70" totalsRowShown="0">
  <autoFilter ref="AF67:AI70" xr:uid="{10F4C510-7E3A-4765-A4F3-6B10CDB3E588}"/>
  <tableColumns count="4">
    <tableColumn id="1" xr3:uid="{642E6623-65C2-4C2E-B963-8591FA6E99E8}" name="Transporte "/>
    <tableColumn id="2" xr3:uid="{E9815F37-3A8C-4B19-8A39-33C0409CD46D}" name="cantidad "/>
    <tableColumn id="3" xr3:uid="{5A7CE3B1-0454-4022-B1AB-90BEF783F455}" name="Valor unitario " dataDxfId="660"/>
    <tableColumn id="4" xr3:uid="{2CB0A227-498E-4212-B697-85315F2BCB66}" name="Valor total" dataDxfId="659">
      <calculatedColumnFormula>+Tabla655213[[#This Row],[Valor unitario ]]*Tabla655213[[#This Row],[cantidad ]]</calculatedColumnFormula>
    </tableColumn>
  </tableColumns>
  <tableStyleInfo name="TableStyleMedium2" showFirstColumn="0" showLastColumn="0" showRowStripes="1" showColumnStripes="0"/>
</table>
</file>

<file path=xl/tables/table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3" xr:uid="{70BA54C4-B971-4CFE-933B-AAD454023914}" name="Tabla356214" displayName="Tabla356214" ref="AO12:AT30" totalsRowShown="0">
  <autoFilter ref="AO12:AT30" xr:uid="{10BCEE44-870F-49D2-A1D0-BE8F073A3DC6}"/>
  <tableColumns count="6">
    <tableColumn id="1" xr3:uid="{1F56D7CA-25F3-4172-968C-169679417D1F}" name="Personal" dataDxfId="658"/>
    <tableColumn id="2" xr3:uid="{10058940-0FEB-45B5-9438-C6F3AEC413B6}" name="Cantidad" dataDxfId="657"/>
    <tableColumn id="3" xr3:uid="{4A661449-D969-435E-B730-4B736776A293}" name="Sueldo base" dataDxfId="656">
      <calculatedColumnFormula>+IF(AO13="","",INDEX(V_MANODEOBRA_MENSUAL,MATCH(AO13,L_PERSONAL,0)))</calculatedColumnFormula>
    </tableColumn>
    <tableColumn id="4" xr3:uid="{D69962B9-61CA-4078-B43B-4FE53CE4EB76}" name="Factor prestacional" dataDxfId="655">
      <calculatedColumnFormula>+IF(AQ13="","",INDEX(F_PRESTACIONAL,MATCH(AO13,L_PERSONAL,0)))</calculatedColumnFormula>
    </tableColumn>
    <tableColumn id="5" xr3:uid="{174F194D-4483-46E5-A5E4-1D87FCFAD39D}" name="Valor mas factor prestacional" dataDxfId="654">
      <calculatedColumnFormula>+IF(AQ13="","",AR13*AQ13)</calculatedColumnFormula>
    </tableColumn>
    <tableColumn id="6" xr3:uid="{5124E5E2-1FC6-4985-88BF-00A3B5490179}" name="Valor mensual" dataDxfId="653">
      <calculatedColumnFormula>+IF(AS13="","",AS13*AP13)</calculatedColumnFormula>
    </tableColumn>
  </tableColumns>
  <tableStyleInfo name="TableStyleLight20" showFirstColumn="0" showLastColumn="0" showRowStripes="1" showColumnStripes="0"/>
</table>
</file>

<file path=xl/tables/table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4" xr:uid="{FF45D364-0478-4518-BBBF-7A7BE70CF765}" name="Tabla557215" displayName="Tabla557215" ref="AN39:AU53" totalsRowShown="0">
  <autoFilter ref="AN39:AU53" xr:uid="{1CE81462-C4C2-4378-BD00-8A55D7FA95AC}"/>
  <tableColumns count="8">
    <tableColumn id="1" xr3:uid="{39D4515F-5F0C-4C23-9AD6-8895FF67D876}" name="Equipo " dataDxfId="652"/>
    <tableColumn id="2" xr3:uid="{1E656134-1DFC-498C-9DFE-69708AEEB0D5}" name="Cantidad" dataDxfId="651"/>
    <tableColumn id="3" xr3:uid="{F9765017-EF94-4593-82D2-C2681C917E8E}" name="Valor mensual" dataDxfId="650">
      <calculatedColumnFormula>IF(Tabla557215[[#This Row],[Equipo ]]="","",INDEX(V_MENSUAL,MATCH(Tabla557215[[#This Row],[Equipo ]],LISTA_MAQUINARIA,0)))</calculatedColumnFormula>
    </tableColumn>
    <tableColumn id="4" xr3:uid="{B321FB3E-9684-49DF-9863-DCCE3142831A}" name="Combustible Hora " dataDxfId="649">
      <calculatedColumnFormula>IF(Tabla557215[[#This Row],[Equipo ]]="","",INDEX(CONSUMO_COMBUSTIBLE_H,MATCH(Tabla557215[[#This Row],[Equipo ]],LISTA_MAQUINARIA,0)))</calculatedColumnFormula>
    </tableColumn>
    <tableColumn id="5" xr3:uid="{D73FF221-4640-4CBB-B8E6-CB91DA5C9A12}" name="Valor galon" dataDxfId="648">
      <calculatedColumnFormula>IF(Tabla557215[[#This Row],[Equipo ]]="","",INDEX(V_GALON,MATCH(Tabla557215[[#This Row],[Equipo ]],LISTA_MAQUINARIA,0)))</calculatedColumnFormula>
    </tableColumn>
    <tableColumn id="6" xr3:uid="{E09044B2-FBCD-400B-935C-62182A91AAA8}" name="Horas mes" dataDxfId="647"/>
    <tableColumn id="7" xr3:uid="{CE85E059-7A3B-400F-A573-CC4BEA09BE63}" name="Valor mensual + Combustible" dataDxfId="646">
      <calculatedColumnFormula>IF(Tabla557215[[#This Row],[Equipo ]]="","",Tabla557215[[#This Row],[Valor mensual]]+Tabla557215[[#This Row],[Combustible Hora ]]*Tabla557215[[#This Row],[Valor galon]]*Tabla557215[[#This Row],[Horas mes]])</calculatedColumnFormula>
    </tableColumn>
    <tableColumn id="8" xr3:uid="{EEFB002C-CAEB-4530-AC29-7EC20CEA1F3F}" name="Valor Total" dataDxfId="645">
      <calculatedColumnFormula>IF(Tabla557215[[#This Row],[Valor mensual + Combustible]]="","",Tabla557215[[#This Row],[Valor mensual + Combustible]]*Tabla557215[[#This Row],[Cantidad]])</calculatedColumnFormula>
    </tableColumn>
  </tableColumns>
  <tableStyleInfo name="TableStyleMedium2" showFirstColumn="0" showLastColumn="0" showRowStripes="1" showColumnStripes="0"/>
</table>
</file>

<file path=xl/tables/table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5" xr:uid="{9F026A7D-09DC-462F-A0C2-5F4A42CB5422}" name="Tabla658216" displayName="Tabla658216" ref="AP63:AS66" totalsRowShown="0">
  <autoFilter ref="AP63:AS66" xr:uid="{818297B6-7909-4909-B413-B38401FE3EB9}"/>
  <tableColumns count="4">
    <tableColumn id="1" xr3:uid="{E65A3F84-B156-4C6B-89B7-8BE0EBE2E408}" name="Transporte "/>
    <tableColumn id="2" xr3:uid="{98722E8B-DF1C-4517-B124-45581501C15A}" name="cantidad "/>
    <tableColumn id="3" xr3:uid="{083A2548-B29A-4033-A232-115A4BFC6C0F}" name="Valor unitario " dataDxfId="644"/>
    <tableColumn id="4" xr3:uid="{B1B733F4-F95B-4FCF-9824-E1F527CCA43B}" name="Valor total" dataDxfId="643">
      <calculatedColumnFormula>+Tabla658216[[#This Row],[Valor unitario ]]*Tabla658216[[#This Row],[cantidad ]]</calculatedColumnFormula>
    </tableColumn>
  </tableColumns>
  <tableStyleInfo name="TableStyleMedium2" showFirstColumn="0" showLastColumn="0" showRowStripes="1" showColumnStripes="0"/>
</table>
</file>

<file path=xl/tables/table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6" xr:uid="{D7DC439F-99F6-4A90-8AC4-09BCBE0CD0C3}" name="Tabla359217" displayName="Tabla359217" ref="AY12:BD30" totalsRowShown="0">
  <autoFilter ref="AY12:BD30" xr:uid="{9E02BF38-2147-4445-ABE4-64F0E7A547F3}"/>
  <tableColumns count="6">
    <tableColumn id="1" xr3:uid="{00F98342-929C-4461-B7C3-EEDF5DA2B364}" name="Personal" dataDxfId="642"/>
    <tableColumn id="2" xr3:uid="{867D59C9-11C5-4ABE-81C5-1EAE23739A2D}" name="Cantidad" dataDxfId="641"/>
    <tableColumn id="3" xr3:uid="{42725923-B869-4BA1-92F3-391E609A8107}" name="Sueldo base" dataDxfId="640">
      <calculatedColumnFormula>+IF(AY13="","",INDEX(V_MANODEOBRA_MENSUAL,MATCH(AY13,L_PERSONAL,0)))</calculatedColumnFormula>
    </tableColumn>
    <tableColumn id="4" xr3:uid="{ECEB5A9B-6924-47FC-A8A4-5EB662A15FA8}" name="Factor prestacional" dataDxfId="639">
      <calculatedColumnFormula>+IF(BA13="","",INDEX(F_PRESTACIONAL,MATCH(AY13,L_PERSONAL,0)))</calculatedColumnFormula>
    </tableColumn>
    <tableColumn id="5" xr3:uid="{6B438783-9773-47B9-AA3C-A8BC9C1B970E}" name="Valor mas factor prestacional" dataDxfId="638">
      <calculatedColumnFormula>+IF(BA13="","",BB13*BA13)</calculatedColumnFormula>
    </tableColumn>
    <tableColumn id="6" xr3:uid="{23642C39-7834-4834-ABEC-7B3DAA1EE066}" name="Valor mensual" dataDxfId="637">
      <calculatedColumnFormula>+IF(BC13="","",BC13*AZ13)</calculatedColumnFormula>
    </tableColumn>
  </tableColumns>
  <tableStyleInfo name="TableStyleLight20" showFirstColumn="0" showLastColumn="0" showRowStripes="1" showColumnStripes="0"/>
</table>
</file>

<file path=xl/tables/table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7" xr:uid="{2530CBEC-FE76-43F8-AA1B-DA6457EE3652}" name="Tabla560218" displayName="Tabla560218" ref="AX39:BE53" totalsRowShown="0">
  <autoFilter ref="AX39:BE53" xr:uid="{60F83B09-42F5-4D2C-A9CA-F0A2F25DF456}"/>
  <tableColumns count="8">
    <tableColumn id="1" xr3:uid="{6E03E184-DDF5-4CEC-B2B2-D708E4794A84}" name="Equipo " dataDxfId="636"/>
    <tableColumn id="2" xr3:uid="{15D3A138-402C-4276-B1D4-4ADA2532E6D8}" name="Cantidad" dataDxfId="635"/>
    <tableColumn id="3" xr3:uid="{8ED48CA5-5FB5-415A-94C2-A7EAE30A0F3D}" name="Valor mensual" dataDxfId="634">
      <calculatedColumnFormula>IF(Tabla560218[[#This Row],[Equipo ]]="","",INDEX(V_MENSUAL,MATCH(Tabla560218[[#This Row],[Equipo ]],LISTA_MAQUINARIA,0)))</calculatedColumnFormula>
    </tableColumn>
    <tableColumn id="4" xr3:uid="{98590DBE-B948-4083-8C62-F5176B2034B0}" name="Combustible Hora " dataDxfId="633">
      <calculatedColumnFormula>IF(Tabla560218[[#This Row],[Equipo ]]="","",INDEX(CONSUMO_COMBUSTIBLE_H,MATCH(Tabla560218[[#This Row],[Equipo ]],LISTA_MAQUINARIA,0)))</calculatedColumnFormula>
    </tableColumn>
    <tableColumn id="5" xr3:uid="{D10072C6-B338-4BF4-87A2-3EBE1C751764}" name="Valor galon" dataDxfId="632">
      <calculatedColumnFormula>IF(Tabla560218[[#This Row],[Equipo ]]="","",INDEX(V_GALON,MATCH(Tabla560218[[#This Row],[Equipo ]],LISTA_MAQUINARIA,0)))</calculatedColumnFormula>
    </tableColumn>
    <tableColumn id="6" xr3:uid="{33CD4138-AF81-47A6-B864-C33EE3280DD4}" name="Horas mes" dataDxfId="631"/>
    <tableColumn id="7" xr3:uid="{52A71DD8-2CA0-4923-84E7-6C43EE928254}" name="Valor mensual + Combustible" dataDxfId="630">
      <calculatedColumnFormula>IF(Tabla560218[[#This Row],[Equipo ]]="","",Tabla560218[[#This Row],[Valor mensual]]+Tabla560218[[#This Row],[Combustible Hora ]]*Tabla560218[[#This Row],[Valor galon]]*Tabla560218[[#This Row],[Horas mes]])</calculatedColumnFormula>
    </tableColumn>
    <tableColumn id="8" xr3:uid="{46E638B4-D081-4D71-A69B-9A6889279539}" name="Valor Total" dataDxfId="629">
      <calculatedColumnFormula>IF(Tabla560218[[#This Row],[Valor mensual + Combustible]]="","",Tabla560218[[#This Row],[Valor mensual + Combustible]]*Tabla560218[[#This Row],[Cantidad]])</calculatedColumnFormula>
    </tableColumn>
  </tableColumns>
  <tableStyleInfo name="TableStyleMedium2" showFirstColumn="0" showLastColumn="0" showRowStripes="1" showColumnStripes="0"/>
</table>
</file>

<file path=xl/tables/table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8" xr:uid="{570BEC64-BC02-4090-97D8-E5111EDCAFFE}" name="Tabla661219" displayName="Tabla661219" ref="AZ63:BC66" totalsRowShown="0">
  <autoFilter ref="AZ63:BC66" xr:uid="{9E4EFFC3-0D92-44E7-8923-F1231B24FBF1}"/>
  <tableColumns count="4">
    <tableColumn id="1" xr3:uid="{846B772E-E933-4C2E-93FD-962A4CB1DB91}" name="Transporte "/>
    <tableColumn id="2" xr3:uid="{E65A5EC7-9496-4789-85BF-6F9344105784}" name="cantidad "/>
    <tableColumn id="3" xr3:uid="{D01A1067-07D8-4267-9417-22D1A9D91672}" name="Valor unitario " dataDxfId="628"/>
    <tableColumn id="4" xr3:uid="{0C931559-4DDE-4761-8E9C-A134E8E8E6E5}" name="Valor total" dataDxfId="627">
      <calculatedColumnFormula>+Tabla661219[[#This Row],[Valor unitario ]]*Tabla661219[[#This Row],[cantidad ]]</calculatedColumnFormula>
    </tableColumn>
  </tableColumns>
  <tableStyleInfo name="TableStyleMedium2" showFirstColumn="0" showLastColumn="0" showRowStripes="1" showColumnStripes="0"/>
</table>
</file>

<file path=xl/tables/table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9" xr:uid="{8ADF5A10-1BD9-408F-A25F-68A77C89DD14}" name="Tabla362220" displayName="Tabla362220" ref="BI12:BN30" totalsRowShown="0">
  <autoFilter ref="BI12:BN30" xr:uid="{B3AF7D3B-4CB5-4734-97C5-E8F078A4887D}"/>
  <tableColumns count="6">
    <tableColumn id="1" xr3:uid="{955857D1-FCF3-4F47-874C-02A4E40943AE}" name="Personal" dataDxfId="626"/>
    <tableColumn id="2" xr3:uid="{B6CD1FFA-450A-4C56-9102-F2C39B1EFCFA}" name="Cantidad" dataDxfId="625"/>
    <tableColumn id="3" xr3:uid="{B65DBFF0-EAE7-4407-9530-29895C9A49F9}" name="Sueldo base" dataDxfId="624">
      <calculatedColumnFormula>+IF(BI13="","",INDEX(V_MANODEOBRA_MENSUAL,MATCH(BI13,L_PERSONAL,0)))</calculatedColumnFormula>
    </tableColumn>
    <tableColumn id="4" xr3:uid="{427C33AC-1DEC-4BFF-B4F7-8AA6FB50AC0D}" name="Factor prestacional" dataDxfId="623">
      <calculatedColumnFormula>+IF(BK13="","",INDEX(F_PRESTACIONAL,MATCH(BI13,L_PERSONAL,0)))</calculatedColumnFormula>
    </tableColumn>
    <tableColumn id="5" xr3:uid="{741FF04D-747F-453D-963E-930867043DD4}" name="Valor mas factor prestacional" dataDxfId="622">
      <calculatedColumnFormula>+IF(BK13="","",BL13*BK13)</calculatedColumnFormula>
    </tableColumn>
    <tableColumn id="6" xr3:uid="{5FB02FB7-A3C8-489F-BA15-27B08B51B350}" name="Valor mensual" dataDxfId="621">
      <calculatedColumnFormula>+IF(BM13="","",BM13*BJ13)</calculatedColumnFormula>
    </tableColumn>
  </tableColumns>
  <tableStyleInfo name="TableStyleLight20" showFirstColumn="0" showLastColumn="0" showRowStripes="1" showColumnStripes="0"/>
</table>
</file>

<file path=xl/tables/table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0" xr:uid="{6550062E-9A35-4F95-A574-8A8AEF7624D4}" name="Tabla563221" displayName="Tabla563221" ref="BH39:BO53" totalsRowShown="0">
  <autoFilter ref="BH39:BO53" xr:uid="{C431813B-ACDA-45A9-9ADA-EC3E3C9236ED}"/>
  <tableColumns count="8">
    <tableColumn id="1" xr3:uid="{466324A0-8126-4DBD-B27B-F8716D52B698}" name="Equipo " dataDxfId="620"/>
    <tableColumn id="2" xr3:uid="{C8ED926D-AFE1-484A-A821-277A42F5D7E1}" name="Cantidad" dataDxfId="619"/>
    <tableColumn id="3" xr3:uid="{76B6988C-43DE-4920-8C8E-94E42D4DC4CB}" name="Valor mensual" dataDxfId="618">
      <calculatedColumnFormula>IF(Tabla563221[[#This Row],[Equipo ]]="","",INDEX(V_MENSUAL,MATCH(Tabla563221[[#This Row],[Equipo ]],LISTA_MAQUINARIA,0)))</calculatedColumnFormula>
    </tableColumn>
    <tableColumn id="4" xr3:uid="{AFFB9CDC-52D3-4FDC-AC00-D1487F803142}" name="Combustible Hora " dataDxfId="617">
      <calculatedColumnFormula>IF(Tabla563221[[#This Row],[Equipo ]]="","",INDEX(CONSUMO_COMBUSTIBLE_H,MATCH(Tabla563221[[#This Row],[Equipo ]],LISTA_MAQUINARIA,0)))</calculatedColumnFormula>
    </tableColumn>
    <tableColumn id="5" xr3:uid="{7BDEE51D-0A14-4AD2-9A6C-67302D7F83CB}" name="Valor galon" dataDxfId="616">
      <calculatedColumnFormula>IF(Tabla563221[[#This Row],[Equipo ]]="","",INDEX(V_GALON,MATCH(Tabla563221[[#This Row],[Equipo ]],LISTA_MAQUINARIA,0)))</calculatedColumnFormula>
    </tableColumn>
    <tableColumn id="6" xr3:uid="{42D57F36-53EA-490D-8CED-252727FF5556}" name="Horas mes" dataDxfId="615"/>
    <tableColumn id="7" xr3:uid="{85906B11-4113-4965-B9A3-0E3AF9E4156E}" name="Valor mensual + Combustible" dataDxfId="614">
      <calculatedColumnFormula>IF(Tabla563221[[#This Row],[Equipo ]]="","",Tabla563221[[#This Row],[Valor mensual]]+Tabla563221[[#This Row],[Combustible Hora ]]*Tabla563221[[#This Row],[Valor galon]]*Tabla563221[[#This Row],[Horas mes]])</calculatedColumnFormula>
    </tableColumn>
    <tableColumn id="8" xr3:uid="{6EA2887C-17DF-4D0A-94DB-0CAA7D777CBA}" name="Valor Total" dataDxfId="613">
      <calculatedColumnFormula>IF(Tabla563221[[#This Row],[Valor mensual + Combustible]]="","",Tabla563221[[#This Row],[Valor mensual + Combustible]]*Tabla563221[[#This Row],[Cantidad]])</calculatedColumnFormula>
    </tableColumn>
  </tableColumns>
  <tableStyleInfo name="TableStyleMedium2" showFirstColumn="0" showLastColumn="0" showRowStripes="1" showColumnStripes="0"/>
</table>
</file>

<file path=xl/tables/table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1" xr:uid="{EA08BC6F-82B2-4633-8C65-4D396D0BDA60}" name="Tabla664222" displayName="Tabla664222" ref="BJ63:BM66" totalsRowShown="0">
  <autoFilter ref="BJ63:BM66" xr:uid="{BF4E5513-0A9C-4BE3-8114-9FFA6F6ABD5E}"/>
  <tableColumns count="4">
    <tableColumn id="1" xr3:uid="{7339F2F2-9F04-4DF3-9CC1-BF5832634941}" name="Transporte "/>
    <tableColumn id="2" xr3:uid="{57F8AB6E-B5D1-4153-9534-63762D710D74}" name="cantidad "/>
    <tableColumn id="3" xr3:uid="{EB247B89-885A-45D1-B8A9-0AFE9C33E291}" name="Valor unitario " dataDxfId="612"/>
    <tableColumn id="4" xr3:uid="{CC822594-C154-4F81-AF36-5E89C729017B}" name="Valor total" dataDxfId="611">
      <calculatedColumnFormula>+Tabla664222[[#This Row],[cantidad ]]*Tabla664222[[#This Row],[Valor unitario ]]</calculatedColumnFormula>
    </tableColumn>
  </tableColumns>
  <tableStyleInfo name="TableStyleMedium2" showFirstColumn="0" showLastColumn="0" showRowStripes="1" showColumnStripes="0"/>
</table>
</file>

<file path=xl/tables/table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2" xr:uid="{95F7BD71-41F5-4B0E-856B-554255DF47B0}" name="Tabla365223" displayName="Tabla365223" ref="BS12:BX30" totalsRowShown="0">
  <autoFilter ref="BS12:BX30" xr:uid="{8B4FA59E-AB5D-4031-B2B5-A93BC56CD7FC}"/>
  <tableColumns count="6">
    <tableColumn id="1" xr3:uid="{51CC190C-02A4-46BA-93D8-439735FFC631}" name="Personal" dataDxfId="610"/>
    <tableColumn id="2" xr3:uid="{FE4C8B25-3696-459F-9AC0-E44E34084039}" name="Cantidad" dataDxfId="609"/>
    <tableColumn id="3" xr3:uid="{D9A74AF7-7A81-4028-A115-D660282F6592}" name="Sueldo base" dataDxfId="608">
      <calculatedColumnFormula>+IF(BS13="","",INDEX(V_MANODEOBRA_MENSUAL,MATCH(BS13,L_PERSONAL,0)))</calculatedColumnFormula>
    </tableColumn>
    <tableColumn id="4" xr3:uid="{57415424-9FF4-46C0-85FE-0766A32DEA42}" name="Factor prestacional" dataDxfId="607">
      <calculatedColumnFormula>+IF(BU13="","",INDEX(F_PRESTACIONAL,MATCH(BS13,L_PERSONAL,0)))</calculatedColumnFormula>
    </tableColumn>
    <tableColumn id="5" xr3:uid="{930843AE-8013-4701-BDCC-1632A004576C}" name="Valor mas factor prestacional" dataDxfId="606">
      <calculatedColumnFormula>+IF(BU13="","",BV13*BU13)</calculatedColumnFormula>
    </tableColumn>
    <tableColumn id="6" xr3:uid="{29BA0BBD-5974-4776-BF9C-631EDB11E22D}" name="Valor mensual" dataDxfId="605">
      <calculatedColumnFormula>+IF(BW13="","",BW13*BT13)</calculatedColumnFormula>
    </tableColumn>
  </tableColumns>
  <tableStyleInfo name="TableStyleLight20" showFirstColumn="0" showLastColumn="0" showRowStripes="1" showColumnStripes="0"/>
</table>
</file>

<file path=xl/tables/table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3" xr:uid="{7CAFFBFA-4225-409A-9A09-6E543572C5A3}" name="Tabla566224" displayName="Tabla566224" ref="BR39:BY53" totalsRowShown="0">
  <autoFilter ref="BR39:BY53" xr:uid="{8373D82E-0E51-4A38-B877-573A8C009E2F}"/>
  <tableColumns count="8">
    <tableColumn id="1" xr3:uid="{5BEC5963-482D-4AE6-9EBF-2D4DCD51AE7D}" name="Equipo " dataDxfId="604"/>
    <tableColumn id="2" xr3:uid="{DC14E5B0-42D5-4979-B005-2143D0FF9DFA}" name="Cantidad" dataDxfId="603"/>
    <tableColumn id="3" xr3:uid="{D864258E-E773-4CBB-B58D-808CB1A376A3}" name="Valor mensual" dataDxfId="602">
      <calculatedColumnFormula>IF(Tabla566224[[#This Row],[Equipo ]]="","",INDEX(V_MENSUAL,MATCH(Tabla566224[[#This Row],[Equipo ]],LISTA_MAQUINARIA,0)))</calculatedColumnFormula>
    </tableColumn>
    <tableColumn id="4" xr3:uid="{0068D081-CFAC-4E83-B6DC-59FD3F60D48F}" name="Combustible Hora " dataDxfId="601">
      <calculatedColumnFormula>IF(Tabla566224[[#This Row],[Equipo ]]="","",INDEX(CONSUMO_COMBUSTIBLE_H,MATCH(Tabla566224[[#This Row],[Equipo ]],LISTA_MAQUINARIA,0)))</calculatedColumnFormula>
    </tableColumn>
    <tableColumn id="5" xr3:uid="{FB14BEBE-478A-4D86-A162-E8D0D00D032A}" name="Valor galon" dataDxfId="600">
      <calculatedColumnFormula>IF(Tabla566224[[#This Row],[Equipo ]]="","",INDEX(V_GALON,MATCH(Tabla566224[[#This Row],[Equipo ]],LISTA_MAQUINARIA,0)))</calculatedColumnFormula>
    </tableColumn>
    <tableColumn id="6" xr3:uid="{840C80D3-CF0E-4BB4-B9B3-798DF8E730F2}" name="Horas mes" dataDxfId="599"/>
    <tableColumn id="7" xr3:uid="{A4E28463-76EF-4C05-A369-CA94FDBC9D8C}" name="Valor mensual + Combustible" dataDxfId="598">
      <calculatedColumnFormula>IF(Tabla566224[[#This Row],[Equipo ]]="","",Tabla566224[[#This Row],[Valor mensual]]+Tabla566224[[#This Row],[Combustible Hora ]]*Tabla566224[[#This Row],[Valor galon]]*Tabla566224[[#This Row],[Horas mes]])</calculatedColumnFormula>
    </tableColumn>
    <tableColumn id="8" xr3:uid="{A44122E8-51B7-4BF6-ABE7-AA4AE96784DF}" name="Valor Total" dataDxfId="597">
      <calculatedColumnFormula>IF(Tabla566224[[#This Row],[Valor mensual + Combustible]]="","",Tabla566224[[#This Row],[Valor mensual + Combustible]]*Tabla566224[[#This Row],[Cantidad]])</calculatedColumnFormula>
    </tableColumn>
  </tableColumns>
  <tableStyleInfo name="TableStyleMedium2" showFirstColumn="0" showLastColumn="0" showRowStripes="1" showColumnStripes="0"/>
</table>
</file>

<file path=xl/tables/table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4" xr:uid="{5A0B8BCB-CF8C-46DA-B0D5-F5CEAC5EF9E8}" name="Tabla667225" displayName="Tabla667225" ref="BT63:BW66" totalsRowShown="0">
  <autoFilter ref="BT63:BW66" xr:uid="{AE8011B5-BB5D-4BB9-94F6-8BF32DE8439F}"/>
  <tableColumns count="4">
    <tableColumn id="1" xr3:uid="{30FA762C-4161-4AF9-A372-C5E587D164E9}" name="Transporte "/>
    <tableColumn id="2" xr3:uid="{EDFA231F-FD3B-4125-A2F6-266729A27F78}" name="cantidad "/>
    <tableColumn id="3" xr3:uid="{FD5EADA9-C0B4-4A18-B0BB-2A222A6E7A0C}" name="Valor unitario " dataDxfId="596"/>
    <tableColumn id="4" xr3:uid="{E65ECA86-E0DA-4E2C-9EEE-7385459A721B}" name="Valor total" dataDxfId="595">
      <calculatedColumnFormula>+Tabla667225[[#This Row],[Valor unitario ]]*Tabla667225[[#This Row],[cantidad ]]</calculatedColumnFormula>
    </tableColumn>
  </tableColumns>
  <tableStyleInfo name="TableStyleMedium2" showFirstColumn="0" showLastColumn="0" showRowStripes="1" showColumnStripes="0"/>
</table>
</file>

<file path=xl/tables/table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5" xr:uid="{007A300C-934B-41BA-A043-46CDF3EB4C9B}" name="Tabla368226" displayName="Tabla368226" ref="CC12:CH30" totalsRowShown="0">
  <autoFilter ref="CC12:CH30" xr:uid="{B8897577-BD84-4124-A953-706CBB23F73F}"/>
  <tableColumns count="6">
    <tableColumn id="1" xr3:uid="{B44300A9-EFDA-41B2-A9C2-1CF2E5FDA9E8}" name="Personal" dataDxfId="594"/>
    <tableColumn id="2" xr3:uid="{17AD3F2C-52E8-4DDE-BCFD-E559192B1CB2}" name="Cantidad" dataDxfId="593"/>
    <tableColumn id="3" xr3:uid="{6D87D324-844C-4725-A6FA-AD398E29D873}" name="Sueldo base" dataDxfId="592">
      <calculatedColumnFormula>+IF(CC13="","",INDEX(V_MANODEOBRA_MENSUAL,MATCH(CC13,L_PERSONAL,0)))</calculatedColumnFormula>
    </tableColumn>
    <tableColumn id="4" xr3:uid="{7FEE4A04-4600-49C3-95AA-56301180C5C0}" name="Factor prestacional" dataDxfId="591">
      <calculatedColumnFormula>+IF(CE13="","",INDEX(F_PRESTACIONAL,MATCH(CC13,L_PERSONAL,0)))</calculatedColumnFormula>
    </tableColumn>
    <tableColumn id="5" xr3:uid="{0DEEA018-651D-4EFC-84BB-8E44589A3B74}" name="Valor mas factor prestacional" dataDxfId="590">
      <calculatedColumnFormula>+IF(CE13="","",CF13*CE13)</calculatedColumnFormula>
    </tableColumn>
    <tableColumn id="6" xr3:uid="{9EB279B7-6127-43E3-90E0-3D8DD6A39C7C}" name="Valor mensual" dataDxfId="589">
      <calculatedColumnFormula>+IF(CG13="","",CG13*CD13)</calculatedColumnFormula>
    </tableColumn>
  </tableColumns>
  <tableStyleInfo name="TableStyleLight20" showFirstColumn="0" showLastColumn="0" showRowStripes="1" showColumnStripes="0"/>
</table>
</file>

<file path=xl/tables/table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6" xr:uid="{7B116501-1A6D-4F42-BB2E-9FC13E21465C}" name="Tabla569227" displayName="Tabla569227" ref="CB39:CI53" totalsRowShown="0">
  <autoFilter ref="CB39:CI53" xr:uid="{86384B47-A968-4DB2-A1AF-FFD98EE8B268}"/>
  <tableColumns count="8">
    <tableColumn id="1" xr3:uid="{C823694B-E5A6-4F31-AB36-616628C6FD74}" name="Equipo " dataDxfId="588"/>
    <tableColumn id="2" xr3:uid="{8607C501-A6CA-4696-AD5D-C0C24A5E1149}" name="Cantidad" dataDxfId="587"/>
    <tableColumn id="3" xr3:uid="{0510E198-DB9B-4F26-93B3-C5DCF9717E03}" name="Valor mensual" dataDxfId="586">
      <calculatedColumnFormula>IF(Tabla569227[[#This Row],[Equipo ]]="","",INDEX(V_MENSUAL,MATCH(Tabla569227[[#This Row],[Equipo ]],LISTA_MAQUINARIA,0)))</calculatedColumnFormula>
    </tableColumn>
    <tableColumn id="4" xr3:uid="{5A470D6E-119D-45F1-A087-8DCCF4F3694C}" name="Combustible Hora " dataDxfId="585">
      <calculatedColumnFormula>IF(Tabla569227[[#This Row],[Equipo ]]="","",INDEX(CONSUMO_COMBUSTIBLE_H,MATCH(Tabla569227[[#This Row],[Equipo ]],LISTA_MAQUINARIA,0)))</calculatedColumnFormula>
    </tableColumn>
    <tableColumn id="5" xr3:uid="{4E548E2D-E833-49FC-9676-1D4BDF36E4E8}" name="Valor galon" dataDxfId="584">
      <calculatedColumnFormula>IF(Tabla569227[[#This Row],[Equipo ]]="","",INDEX(V_GALON,MATCH(Tabla569227[[#This Row],[Equipo ]],LISTA_MAQUINARIA,0)))</calculatedColumnFormula>
    </tableColumn>
    <tableColumn id="6" xr3:uid="{DE4EDD3A-AE0E-444B-B103-32FEA757A49A}" name="Horas mes" dataDxfId="583"/>
    <tableColumn id="7" xr3:uid="{77A19E44-E266-423D-8FB8-7205D5415F71}" name="Valor mensual + Combustible" dataDxfId="582">
      <calculatedColumnFormula>IF(Tabla569227[[#This Row],[Equipo ]]="","",Tabla569227[[#This Row],[Valor mensual]]+Tabla569227[[#This Row],[Combustible Hora ]]*Tabla569227[[#This Row],[Valor galon]]*Tabla569227[[#This Row],[Horas mes]])</calculatedColumnFormula>
    </tableColumn>
    <tableColumn id="8" xr3:uid="{9DF958A1-2482-48EE-A2FF-9E8243BB36DD}" name="Valor Total" dataDxfId="581">
      <calculatedColumnFormula>IF(Tabla569227[[#This Row],[Valor mensual + Combustible]]="","",Tabla569227[[#This Row],[Valor mensual + Combustible]]*Tabla569227[[#This Row],[Cantidad]])</calculatedColumnFormula>
    </tableColumn>
  </tableColumns>
  <tableStyleInfo name="TableStyleMedium2" showFirstColumn="0" showLastColumn="0" showRowStripes="1" showColumnStripes="0"/>
</table>
</file>

<file path=xl/tables/table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7" xr:uid="{EBDC2722-A777-4BFB-817C-4966190F7029}" name="Tabla670228" displayName="Tabla670228" ref="CD63:CG66" totalsRowShown="0">
  <autoFilter ref="CD63:CG66" xr:uid="{891907CA-C77A-42FA-9C90-55DCE2173770}"/>
  <tableColumns count="4">
    <tableColumn id="1" xr3:uid="{8C26F2B5-6C1E-4C19-9399-4F1227302C95}" name="Transporte "/>
    <tableColumn id="2" xr3:uid="{108260F7-399A-4793-978F-1204DB158BB5}" name="cantidad "/>
    <tableColumn id="3" xr3:uid="{FB559E82-0F4B-41E3-8B48-08BF9DBE2589}" name="Valor unitario " dataDxfId="580"/>
    <tableColumn id="4" xr3:uid="{4A6B35DF-682B-4616-B0D6-99543D2331DD}" name="Valor total" dataDxfId="579">
      <calculatedColumnFormula>+Tabla670228[[#This Row],[cantidad ]]*Tabla670228[[#This Row],[Valor unitario ]]</calculatedColumnFormula>
    </tableColumn>
  </tableColumns>
  <tableStyleInfo name="TableStyleMedium2" showFirstColumn="0" showLastColumn="0" showRowStripes="1" showColumnStripes="0"/>
</table>
</file>

<file path=xl/tables/table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8" xr:uid="{1D75EB89-9608-45A3-820C-29C43DEE7A90}" name="Tabla371229" displayName="Tabla371229" ref="CM12:CR30" totalsRowShown="0">
  <autoFilter ref="CM12:CR30" xr:uid="{FCF12397-F0AF-4365-91A1-FCDEFC3A834E}"/>
  <tableColumns count="6">
    <tableColumn id="1" xr3:uid="{91AAB9F0-7A66-40E8-840E-553354D3BFC5}" name="Personal" dataDxfId="578"/>
    <tableColumn id="2" xr3:uid="{CF690DE3-0E88-427B-BC35-839E239589F9}" name="Cantidad" dataDxfId="577"/>
    <tableColumn id="3" xr3:uid="{9C887161-365E-48C6-9A36-EB3E2A475E2D}" name="Sueldo base" dataDxfId="576">
      <calculatedColumnFormula>+IF(CM13="","",INDEX(V_MANODEOBRA_MENSUAL,MATCH(CM13,L_PERSONAL,0)))</calculatedColumnFormula>
    </tableColumn>
    <tableColumn id="4" xr3:uid="{306083DB-1B91-4834-BF88-2E4F82A04F47}" name="Factor prestacional" dataDxfId="575">
      <calculatedColumnFormula>+IF(CO13="","",INDEX(F_PRESTACIONAL,MATCH(CM13,L_PERSONAL,0)))</calculatedColumnFormula>
    </tableColumn>
    <tableColumn id="5" xr3:uid="{B090DE4A-A26B-439D-B091-1EFE42961F79}" name="Valor mas factor prestacional" dataDxfId="574">
      <calculatedColumnFormula>+IF(CO13="","",CP13*CO13)</calculatedColumnFormula>
    </tableColumn>
    <tableColumn id="6" xr3:uid="{0F122827-9811-470F-A275-04209E7A7D4F}" name="Valor mensual" dataDxfId="573">
      <calculatedColumnFormula>+IF(CQ13="","",CQ13*CN13)</calculatedColumnFormula>
    </tableColumn>
  </tableColumns>
  <tableStyleInfo name="TableStyleLight20" showFirstColumn="0" showLastColumn="0" showRowStripes="1" showColumnStripes="0"/>
</table>
</file>

<file path=xl/tables/table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9" xr:uid="{4920F217-F48C-4316-99AE-3819F3D4176D}" name="Tabla572230" displayName="Tabla572230" ref="CL39:CS53" totalsRowShown="0">
  <autoFilter ref="CL39:CS53" xr:uid="{B414D221-43DA-4213-A3AC-EA1096304E51}"/>
  <tableColumns count="8">
    <tableColumn id="1" xr3:uid="{495AFDB1-49DC-40E1-A7CE-04F3C5966716}" name="Equipo " dataDxfId="572"/>
    <tableColumn id="2" xr3:uid="{07DB742C-4C1C-4632-B72B-E17D90ADB7CF}" name="Cantidad" dataDxfId="571"/>
    <tableColumn id="3" xr3:uid="{0C0A27E7-8611-4360-8394-C58299EDDD60}" name="Valor mensual" dataDxfId="570">
      <calculatedColumnFormula>IF(Tabla572230[[#This Row],[Equipo ]]="","",INDEX(V_MENSUAL,MATCH(Tabla572230[[#This Row],[Equipo ]],LISTA_MAQUINARIA,0)))</calculatedColumnFormula>
    </tableColumn>
    <tableColumn id="4" xr3:uid="{1A122FCD-3EA1-4A3A-9768-E8D298FC8A40}" name="Combustible Hora " dataDxfId="569">
      <calculatedColumnFormula>IF(Tabla572230[[#This Row],[Equipo ]]="","",INDEX(CONSUMO_COMBUSTIBLE_H,MATCH(Tabla572230[[#This Row],[Equipo ]],LISTA_MAQUINARIA,0)))</calculatedColumnFormula>
    </tableColumn>
    <tableColumn id="5" xr3:uid="{6484EC79-4E6E-4DCE-B068-45DC53DE257D}" name="Valor galon" dataDxfId="568">
      <calculatedColumnFormula>IF(Tabla572230[[#This Row],[Equipo ]]="","",INDEX(V_GALON,MATCH(Tabla572230[[#This Row],[Equipo ]],LISTA_MAQUINARIA,0)))</calculatedColumnFormula>
    </tableColumn>
    <tableColumn id="6" xr3:uid="{99C7572F-E00B-494B-9F1E-395353CB34CB}" name="Horas mes" dataDxfId="567"/>
    <tableColumn id="7" xr3:uid="{B63C9DDD-77A6-495E-A8D7-7D715D5D3CDD}" name="Valor mensual + Combustible" dataDxfId="566">
      <calculatedColumnFormula>IF(Tabla572230[[#This Row],[Equipo ]]="","",Tabla572230[[#This Row],[Valor mensual]]+Tabla572230[[#This Row],[Combustible Hora ]]*Tabla572230[[#This Row],[Valor galon]]*Tabla572230[[#This Row],[Horas mes]])</calculatedColumnFormula>
    </tableColumn>
    <tableColumn id="8" xr3:uid="{F2F3112F-C6EF-43E1-841C-280F2C91AD53}" name="Valor Total" dataDxfId="565">
      <calculatedColumnFormula>IF(Tabla572230[[#This Row],[Valor mensual + Combustible]]="","",Tabla572230[[#This Row],[Valor mensual + Combustible]]*Tabla572230[[#This Row],[Cantidad]])</calculatedColumnFormula>
    </tableColumn>
  </tableColumns>
  <tableStyleInfo name="TableStyleMedium2" showFirstColumn="0" showLastColumn="0" showRowStripes="1" showColumnStripes="0"/>
</table>
</file>

<file path=xl/tables/table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0" xr:uid="{6958FAF8-3FA6-45D3-8B09-ADD04C0B7363}" name="Tabla673231" displayName="Tabla673231" ref="CN63:CQ66" totalsRowShown="0">
  <autoFilter ref="CN63:CQ66" xr:uid="{DD920346-5F97-481E-8815-D84BABCA3576}"/>
  <tableColumns count="4">
    <tableColumn id="1" xr3:uid="{2137EAA6-A51B-4A1E-968A-EC2D98D50913}" name="Transporte "/>
    <tableColumn id="2" xr3:uid="{722C425B-38A7-49CB-B2CE-59662A097A86}" name="cantidad "/>
    <tableColumn id="3" xr3:uid="{A8393D7D-14CA-498C-908B-4B02409AF0CD}" name="Valor unitario " dataDxfId="564"/>
    <tableColumn id="4" xr3:uid="{BFFCC70A-9024-47F3-B4AC-7D9269145F63}" name="Valor total" dataDxfId="563">
      <calculatedColumnFormula>+Tabla673231[[#This Row],[cantidad ]]*Tabla673231[[#This Row],[Valor unitario ]]</calculatedColumnFormula>
    </tableColumn>
  </tableColumns>
  <tableStyleInfo name="TableStyleMedium2" showFirstColumn="0" showLastColumn="0" showRowStripes="1" showColumnStripes="0"/>
</table>
</file>

<file path=xl/tables/table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1" xr:uid="{EAFD41A1-B6A9-40FD-838F-6AC45444FB2D}" name="Tabla374232" displayName="Tabla374232" ref="CW12:DB30" totalsRowShown="0">
  <autoFilter ref="CW12:DB30" xr:uid="{49D3EA53-2362-4387-9B0B-8C35F34635C1}"/>
  <tableColumns count="6">
    <tableColumn id="1" xr3:uid="{BC0BC0C8-3656-4BEA-B86E-65284E825279}" name="Personal" dataDxfId="562"/>
    <tableColumn id="2" xr3:uid="{F8EDD466-8A1B-4727-8A3E-829358F82627}" name="Cantidad" dataDxfId="561"/>
    <tableColumn id="3" xr3:uid="{BFC80FD2-B62F-4164-ADC5-5B7B745206B8}" name="Sueldo base" dataDxfId="560">
      <calculatedColumnFormula>+IF(CW13="","",INDEX(V_MANODEOBRA_MENSUAL,MATCH(CW13,L_PERSONAL,0)))</calculatedColumnFormula>
    </tableColumn>
    <tableColumn id="4" xr3:uid="{66A9712D-A987-402C-A6FF-168CEE006466}" name="Factor prestacional" dataDxfId="559">
      <calculatedColumnFormula>+IF(CY13="","",INDEX(F_PRESTACIONAL,MATCH(CW13,L_PERSONAL,0)))</calculatedColumnFormula>
    </tableColumn>
    <tableColumn id="5" xr3:uid="{52A6361B-0519-4C92-A5EE-07B9051BCD3C}" name="Valor mas factor prestacional" dataDxfId="558">
      <calculatedColumnFormula>+IF(CY13="","",CZ13*CY13)</calculatedColumnFormula>
    </tableColumn>
    <tableColumn id="6" xr3:uid="{9A10BD51-7298-4B25-962C-B03E4160DEB4}" name="Valor mensual" dataDxfId="557">
      <calculatedColumnFormula>+IF(DA13="","",DA13*CX13)</calculatedColumnFormula>
    </tableColumn>
  </tableColumns>
  <tableStyleInfo name="TableStyleLight20" showFirstColumn="0" showLastColumn="0" showRowStripes="1" showColumnStripes="0"/>
</table>
</file>

<file path=xl/tables/table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2" xr:uid="{9CB9588F-2CBB-4A5C-B836-C5DFC9C58CE6}" name="Tabla575233" displayName="Tabla575233" ref="CV39:DC53" totalsRowShown="0">
  <autoFilter ref="CV39:DC53" xr:uid="{83B48CAC-C7CE-422C-9237-BD458CD40305}"/>
  <tableColumns count="8">
    <tableColumn id="1" xr3:uid="{6D5E3038-A9E3-42DA-8FF0-FF6B10399151}" name="Equipo " dataDxfId="556"/>
    <tableColumn id="2" xr3:uid="{D5913D04-77DD-492B-9559-1D6A13AF132E}" name="Cantidad" dataDxfId="555"/>
    <tableColumn id="3" xr3:uid="{4943EE2F-838A-4D3F-B6BD-C4A8012023A0}" name="Valor mensual" dataDxfId="554">
      <calculatedColumnFormula>IF(Tabla575233[[#This Row],[Equipo ]]="","",INDEX(V_MENSUAL,MATCH(Tabla575233[[#This Row],[Equipo ]],LISTA_MAQUINARIA,0)))</calculatedColumnFormula>
    </tableColumn>
    <tableColumn id="4" xr3:uid="{7CE6973E-2E15-44E7-8CDF-A5E696E63C19}" name="Combustible Hora " dataDxfId="553">
      <calculatedColumnFormula>IF(Tabla575233[[#This Row],[Equipo ]]="","",INDEX(CONSUMO_COMBUSTIBLE_H,MATCH(Tabla575233[[#This Row],[Equipo ]],LISTA_MAQUINARIA,0)))</calculatedColumnFormula>
    </tableColumn>
    <tableColumn id="5" xr3:uid="{7B6C1A7E-D043-4B3E-A4B8-8D63D9C07A94}" name="Valor galon" dataDxfId="552">
      <calculatedColumnFormula>IF(Tabla575233[[#This Row],[Equipo ]]="","",INDEX(V_GALON,MATCH(Tabla575233[[#This Row],[Equipo ]],LISTA_MAQUINARIA,0)))</calculatedColumnFormula>
    </tableColumn>
    <tableColumn id="6" xr3:uid="{0A6C3B76-BC9A-4784-BBE8-DBB7079B090A}" name="Horas mes" dataDxfId="551"/>
    <tableColumn id="7" xr3:uid="{D5FD2C78-417B-4018-8A07-EE53F0768CDE}" name="Valor mensual + Combustible" dataDxfId="550">
      <calculatedColumnFormula>IF(Tabla575233[[#This Row],[Equipo ]]="","",Tabla575233[[#This Row],[Valor mensual]]+Tabla575233[[#This Row],[Combustible Hora ]]*Tabla575233[[#This Row],[Valor galon]]*Tabla575233[[#This Row],[Horas mes]])</calculatedColumnFormula>
    </tableColumn>
    <tableColumn id="8" xr3:uid="{FD11BB48-DA95-415E-BB4E-3E882B61BC45}" name="Valor Total" dataDxfId="549">
      <calculatedColumnFormula>IF(Tabla575233[[#This Row],[Valor mensual + Combustible]]="","",Tabla575233[[#This Row],[Valor mensual + Combustible]]*Tabla575233[[#This Row],[Cantidad]])</calculatedColumnFormula>
    </tableColumn>
  </tableColumns>
  <tableStyleInfo name="TableStyleMedium2" showFirstColumn="0" showLastColumn="0" showRowStripes="1" showColumnStripes="0"/>
</table>
</file>

<file path=xl/tables/table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3" xr:uid="{58487461-2321-4262-B37F-1D388C035F8D}" name="Tabla676234" displayName="Tabla676234" ref="CX63:DA66" totalsRowShown="0">
  <autoFilter ref="CX63:DA66" xr:uid="{45BE5B34-D514-4789-B653-08531BB9BBD5}"/>
  <tableColumns count="4">
    <tableColumn id="1" xr3:uid="{FA1996D6-ED35-4EAD-8731-A47BAEA0F03B}" name="Transporte "/>
    <tableColumn id="2" xr3:uid="{8C67A156-20FF-4EE2-B004-2BC2DF4EF9D8}" name="cantidad "/>
    <tableColumn id="3" xr3:uid="{39DA84E5-F5BB-4BBD-B76F-B929C15793C5}" name="Valor unitario " dataDxfId="548"/>
    <tableColumn id="4" xr3:uid="{E4C64A85-8C6E-4084-95EF-6C47CF7708A4}" name="Valor total" dataDxfId="547">
      <calculatedColumnFormula>+Tabla676234[[#This Row],[Valor unitario ]]*Tabla676234[[#This Row],[cantidad ]]</calculatedColumnFormula>
    </tableColumn>
  </tableColumns>
  <tableStyleInfo name="TableStyleMedium2" showFirstColumn="0" showLastColumn="0" showRowStripes="1" showColumnStripes="0"/>
</table>
</file>

<file path=xl/tables/table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4" xr:uid="{F012A665-7CB5-49C4-BBDA-2F9CE0998B81}" name="Tabla377235" displayName="Tabla377235" ref="DG12:DL30" totalsRowShown="0">
  <autoFilter ref="DG12:DL30" xr:uid="{AEDA3AE6-8ED2-4FB5-9D2C-7BE5D362558E}"/>
  <tableColumns count="6">
    <tableColumn id="1" xr3:uid="{11A4CA54-2037-4E86-9B96-127E1ED4F9EE}" name="Personal" dataDxfId="546"/>
    <tableColumn id="2" xr3:uid="{F98CF8E4-17AA-46BE-9E33-F729603F41C7}" name="Cantidad" dataDxfId="545"/>
    <tableColumn id="3" xr3:uid="{7F9683CB-6233-4541-A093-1F238F00E694}" name="Sueldo base" dataDxfId="544">
      <calculatedColumnFormula>+IF(DG13="","",INDEX(V_MANODEOBRA_MENSUAL,MATCH(DG13,L_PERSONAL,0)))</calculatedColumnFormula>
    </tableColumn>
    <tableColumn id="4" xr3:uid="{EDD4B9B5-00DC-4428-A53B-939EFCC820D7}" name="Factor prestacional" dataDxfId="543">
      <calculatedColumnFormula>+IF(DI13="","",INDEX(F_PRESTACIONAL,MATCH(DG13,L_PERSONAL,0)))</calculatedColumnFormula>
    </tableColumn>
    <tableColumn id="5" xr3:uid="{22CD93DF-A218-4CB7-A843-5ACA18FB1D53}" name="Valor mas factor prestacional" dataDxfId="542">
      <calculatedColumnFormula>+IF(DI13="","",DJ13*DI13)</calculatedColumnFormula>
    </tableColumn>
    <tableColumn id="6" xr3:uid="{33902B93-AEDB-445B-9AA7-F484B9D7C13E}" name="Valor mensual" dataDxfId="541">
      <calculatedColumnFormula>+IF(DK13="","",DK13*DH13)</calculatedColumnFormula>
    </tableColumn>
  </tableColumns>
  <tableStyleInfo name="TableStyleLight20" showFirstColumn="0" showLastColumn="0" showRowStripes="1" showColumnStripes="0"/>
</table>
</file>

<file path=xl/tables/table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5" xr:uid="{1A461B7B-C930-473D-9F8D-D2DE44DEE8FB}" name="Tabla578236" displayName="Tabla578236" ref="DF39:DM53" totalsRowShown="0">
  <autoFilter ref="DF39:DM53" xr:uid="{780AD4D3-BD58-4CE2-8204-188B211A0603}"/>
  <tableColumns count="8">
    <tableColumn id="1" xr3:uid="{B014FA5F-AE59-4640-96A4-9423821B53B0}" name="Equipo " dataDxfId="540"/>
    <tableColumn id="2" xr3:uid="{11067F88-A221-4FEF-91DA-F995313A543F}" name="Cantidad" dataDxfId="539"/>
    <tableColumn id="3" xr3:uid="{50026120-9EC5-4DC7-9132-3F94ADD9CA6E}" name="Valor mensual" dataDxfId="538">
      <calculatedColumnFormula>IF(Tabla578236[[#This Row],[Equipo ]]="","",INDEX(V_MENSUAL,MATCH(Tabla578236[[#This Row],[Equipo ]],LISTA_MAQUINARIA,0)))</calculatedColumnFormula>
    </tableColumn>
    <tableColumn id="4" xr3:uid="{EEB11D5D-3EDB-4E86-8FC5-F9D45E5A555D}" name="Combustible Hora " dataDxfId="537">
      <calculatedColumnFormula>IF(Tabla578236[[#This Row],[Equipo ]]="","",INDEX(CONSUMO_COMBUSTIBLE_H,MATCH(Tabla578236[[#This Row],[Equipo ]],LISTA_MAQUINARIA,0)))</calculatedColumnFormula>
    </tableColumn>
    <tableColumn id="5" xr3:uid="{EBBE859A-BF10-4338-A2C9-384E56546D8C}" name="Valor galon" dataDxfId="536">
      <calculatedColumnFormula>IF(Tabla578236[[#This Row],[Equipo ]]="","",INDEX(V_GALON,MATCH(Tabla578236[[#This Row],[Equipo ]],LISTA_MAQUINARIA,0)))</calculatedColumnFormula>
    </tableColumn>
    <tableColumn id="6" xr3:uid="{E87B9061-FAA7-4A34-81E5-31C0499FFAD8}" name="Horas mes" dataDxfId="535"/>
    <tableColumn id="7" xr3:uid="{31DC6887-190E-40D6-AA80-B84E65FE85CC}" name="Valor mensual + Combustible" dataDxfId="534">
      <calculatedColumnFormula>IF(Tabla578236[[#This Row],[Equipo ]]="","",Tabla578236[[#This Row],[Valor mensual]]+Tabla578236[[#This Row],[Combustible Hora ]]*Tabla578236[[#This Row],[Valor galon]]*Tabla578236[[#This Row],[Horas mes]])</calculatedColumnFormula>
    </tableColumn>
    <tableColumn id="8" xr3:uid="{C7643CE0-CCF5-403E-A454-C333B32DBFBB}" name="Valor Total" dataDxfId="533">
      <calculatedColumnFormula>IF(Tabla578236[[#This Row],[Valor mensual + Combustible]]="","",Tabla578236[[#This Row],[Valor mensual + Combustible]]*Tabla578236[[#This Row],[Cantidad]])</calculatedColumnFormula>
    </tableColumn>
  </tableColumns>
  <tableStyleInfo name="TableStyleMedium2" showFirstColumn="0" showLastColumn="0" showRowStripes="1" showColumnStripes="0"/>
</table>
</file>

<file path=xl/tables/table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6" xr:uid="{9CCFAAA2-309F-428B-A9CD-2B98981C2DEC}" name="Tabla679237" displayName="Tabla679237" ref="DH63:DK66" totalsRowShown="0">
  <autoFilter ref="DH63:DK66" xr:uid="{DE60DD9B-01D8-4D24-B9AA-5710096E2B30}"/>
  <tableColumns count="4">
    <tableColumn id="1" xr3:uid="{0A293130-88B8-4315-A557-2D25D32601A1}" name="Transporte "/>
    <tableColumn id="2" xr3:uid="{BE6E414D-1D9F-4F6A-92ED-A7BF64818A5B}" name="cantidad "/>
    <tableColumn id="3" xr3:uid="{EDC0A253-963C-4FA4-8780-128A6BD6E3D9}" name="Valor unitario " dataDxfId="532"/>
    <tableColumn id="4" xr3:uid="{41038ED7-9910-4740-A8B5-57AE8B3C3F10}" name="Valor total" dataDxfId="531">
      <calculatedColumnFormula>+Tabla679237[[#This Row],[Valor unitario ]]*Tabla679237[[#This Row],[cantidad ]]</calculatedColumnFormula>
    </tableColumn>
  </tableColumns>
  <tableStyleInfo name="TableStyleMedium2" showFirstColumn="0" showLastColumn="0" showRowStripes="1" showColumnStripes="0"/>
</table>
</file>

<file path=xl/tables/table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7" xr:uid="{53170B71-4AD8-4C0F-A2B8-8B9EDB5E61C6}" name="Tabla380238" displayName="Tabla380238" ref="DQ12:DV30" totalsRowShown="0">
  <autoFilter ref="DQ12:DV30" xr:uid="{9CB1DCE8-7EDD-4B58-9573-2C446FC6D0F6}"/>
  <tableColumns count="6">
    <tableColumn id="1" xr3:uid="{04F2B2AE-AF68-475F-839B-CE7A99601F11}" name="Personal" dataDxfId="530"/>
    <tableColumn id="2" xr3:uid="{D52AD16F-53A4-439B-861A-072BCAE95020}" name="Cantidad" dataDxfId="529"/>
    <tableColumn id="3" xr3:uid="{FDA56520-0E3D-4252-9D7E-CE0192A3B228}" name="Sueldo base" dataDxfId="528">
      <calculatedColumnFormula>+IF(DQ13="","",INDEX(V_MANODEOBRA_MENSUAL,MATCH(DQ13,L_PERSONAL,0)))</calculatedColumnFormula>
    </tableColumn>
    <tableColumn id="4" xr3:uid="{256B8895-7756-443E-B600-08EB95B273FF}" name="Factor prestacional" dataDxfId="527">
      <calculatedColumnFormula>+IF(DS13="","",INDEX(F_PRESTACIONAL,MATCH(DQ13,L_PERSONAL,0)))</calculatedColumnFormula>
    </tableColumn>
    <tableColumn id="5" xr3:uid="{9D5F2795-A369-4561-B115-7893607FD664}" name="Valor mas factor prestacional" dataDxfId="526">
      <calculatedColumnFormula>+IF(DS13="","",DT13*DS13)</calculatedColumnFormula>
    </tableColumn>
    <tableColumn id="6" xr3:uid="{A397E0D3-0D9C-4243-8035-1F483542C17B}" name="Valor mensual" dataDxfId="525">
      <calculatedColumnFormula>+IF(DU13="","",DU13*DR13)</calculatedColumnFormula>
    </tableColumn>
  </tableColumns>
  <tableStyleInfo name="TableStyleLight20" showFirstColumn="0" showLastColumn="0" showRowStripes="1" showColumnStripes="0"/>
</table>
</file>

<file path=xl/tables/table1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8" xr:uid="{2B775D62-9416-4EF4-A18C-0836C26CC0EF}" name="Tabla581239" displayName="Tabla581239" ref="DP39:DW53" totalsRowShown="0">
  <autoFilter ref="DP39:DW53" xr:uid="{AA3483D1-CACC-4336-B482-2AF13F62CD22}"/>
  <tableColumns count="8">
    <tableColumn id="1" xr3:uid="{A83CF5CB-0CDC-4AC0-A2F2-384393E05F64}" name="Equipo " dataDxfId="524"/>
    <tableColumn id="2" xr3:uid="{EC42599D-77EF-45E6-85A4-C3DC72CDF54F}" name="Cantidad" dataDxfId="523"/>
    <tableColumn id="3" xr3:uid="{0DC73FC6-68F8-480F-A188-0B46CED749C8}" name="Valor mensual" dataDxfId="522">
      <calculatedColumnFormula>IF(Tabla581239[[#This Row],[Equipo ]]="","",INDEX(V_MENSUAL,MATCH(Tabla581239[[#This Row],[Equipo ]],LISTA_MAQUINARIA,0)))</calculatedColumnFormula>
    </tableColumn>
    <tableColumn id="4" xr3:uid="{BEA3A4CB-98DE-423D-9DCC-E4057ABF5236}" name="Combustible Hora " dataDxfId="521">
      <calculatedColumnFormula>IF(Tabla581239[[#This Row],[Equipo ]]="","",INDEX(CONSUMO_COMBUSTIBLE_H,MATCH(Tabla581239[[#This Row],[Equipo ]],LISTA_MAQUINARIA,0)))</calculatedColumnFormula>
    </tableColumn>
    <tableColumn id="5" xr3:uid="{8836211B-CD7F-4132-A0CA-BE07AFDF3822}" name="Valor galon" dataDxfId="520">
      <calculatedColumnFormula>IF(Tabla581239[[#This Row],[Equipo ]]="","",INDEX(V_GALON,MATCH(Tabla581239[[#This Row],[Equipo ]],LISTA_MAQUINARIA,0)))</calculatedColumnFormula>
    </tableColumn>
    <tableColumn id="6" xr3:uid="{E6FBC76F-4E34-4158-9285-E297AFB36421}" name="Horas mes" dataDxfId="519"/>
    <tableColumn id="7" xr3:uid="{F7735A49-D557-40CE-B798-2A1E30AA3A67}" name="Valor mensual + Combustible" dataDxfId="518">
      <calculatedColumnFormula>IF(Tabla581239[[#This Row],[Equipo ]]="","",Tabla581239[[#This Row],[Valor mensual]]+Tabla581239[[#This Row],[Combustible Hora ]]*Tabla581239[[#This Row],[Valor galon]]*Tabla581239[[#This Row],[Horas mes]])</calculatedColumnFormula>
    </tableColumn>
    <tableColumn id="8" xr3:uid="{F8819BF6-7473-4511-AD2D-39FC31A1BE44}" name="Valor Total" dataDxfId="517">
      <calculatedColumnFormula>IF(Tabla581239[[#This Row],[Valor mensual + Combustible]]="","",Tabla581239[[#This Row],[Valor mensual + Combustible]]*Tabla581239[[#This Row],[Cantidad]])</calculatedColumnFormula>
    </tableColumn>
  </tableColumns>
  <tableStyleInfo name="TableStyleMedium2" showFirstColumn="0" showLastColumn="0" showRowStripes="1" showColumnStripes="0"/>
</table>
</file>

<file path=xl/tables/table1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9" xr:uid="{C03C4219-27E6-41F4-AB2D-F1A7928492A1}" name="Tabla682240" displayName="Tabla682240" ref="DR63:DU66" totalsRowShown="0">
  <autoFilter ref="DR63:DU66" xr:uid="{5B376FC1-46B3-40EC-AA4F-69B6B648574B}"/>
  <tableColumns count="4">
    <tableColumn id="1" xr3:uid="{02E7E5F9-C210-4AC0-99E3-DEAFC9252267}" name="Transporte "/>
    <tableColumn id="2" xr3:uid="{800819E6-681F-4308-B023-BF6C9F6A96EE}" name="cantidad "/>
    <tableColumn id="3" xr3:uid="{68A7F20D-927F-48D1-94B0-87E4F3F348A6}" name="Valor unitario " dataDxfId="516"/>
    <tableColumn id="4" xr3:uid="{476123BC-4477-4F3B-AA49-461E9B8AB9DA}" name="Valor total" dataDxfId="515">
      <calculatedColumnFormula>+Tabla682240[[#This Row],[Valor unitario ]]*Tabla682240[[#This Row],[cantidad ]]</calculatedColumnFormula>
    </tableColumn>
  </tableColumns>
  <tableStyleInfo name="TableStyleMedium2" showFirstColumn="0" showLastColumn="0" showRowStripes="1" showColumnStripes="0"/>
</table>
</file>

<file path=xl/tables/table1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0" xr:uid="{E726B8CD-8E73-4C5C-AD39-441C23858477}" name="Tabla383241" displayName="Tabla383241" ref="EA12:EF30" totalsRowShown="0">
  <autoFilter ref="EA12:EF30" xr:uid="{ED004EC7-4BDD-4857-9BD5-2DAC2CD12950}"/>
  <tableColumns count="6">
    <tableColumn id="1" xr3:uid="{170964A7-2286-4548-A676-2F9262F1EB9D}" name="Personal" dataDxfId="514"/>
    <tableColumn id="2" xr3:uid="{A466A1A8-2D98-4836-ABBF-EF9FB1C96B8C}" name="Cantidad" dataDxfId="513"/>
    <tableColumn id="3" xr3:uid="{F0499C7D-D961-4739-8387-B773FE9BAAEC}" name="Sueldo base" dataDxfId="512">
      <calculatedColumnFormula>+IF(EA13="","",INDEX(V_MANODEOBRA_MENSUAL,MATCH(EA13,L_PERSONAL,0)))</calculatedColumnFormula>
    </tableColumn>
    <tableColumn id="4" xr3:uid="{D908774B-7B9C-451F-8AD5-9742201A2376}" name="Factor prestacional" dataDxfId="511">
      <calculatedColumnFormula>+IF(EC13="","",INDEX(F_PRESTACIONAL,MATCH(EA13,L_PERSONAL,0)))</calculatedColumnFormula>
    </tableColumn>
    <tableColumn id="5" xr3:uid="{E9B6A1D4-4DF0-451B-A4E6-10139E3EFB4B}" name="Valor mas factor prestacional" dataDxfId="510">
      <calculatedColumnFormula>+IF(EC13="","",ED13*EC13)</calculatedColumnFormula>
    </tableColumn>
    <tableColumn id="6" xr3:uid="{D9839B7F-B06C-4A64-9A51-8FD92BA422C8}" name="Valor mensual" dataDxfId="509">
      <calculatedColumnFormula>+IF(EE13="","",EE13*EB13)</calculatedColumnFormula>
    </tableColumn>
  </tableColumns>
  <tableStyleInfo name="TableStyleLight20" showFirstColumn="0" showLastColumn="0" showRowStripes="1" showColumnStripes="0"/>
</table>
</file>

<file path=xl/tables/table1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1" xr:uid="{F9104BB5-54C1-4B61-8CB5-154EBB2E80F7}" name="Tabla584242" displayName="Tabla584242" ref="DZ39:EG53" totalsRowShown="0">
  <autoFilter ref="DZ39:EG53" xr:uid="{E89E4401-DE30-42A1-A94A-BE90A998B9F3}"/>
  <tableColumns count="8">
    <tableColumn id="1" xr3:uid="{91E392BD-9896-404D-AEC0-50155BB6F749}" name="Equipo " dataDxfId="508"/>
    <tableColumn id="2" xr3:uid="{842663E9-5359-443F-9652-E9F5B383AB31}" name="Cantidad" dataDxfId="507"/>
    <tableColumn id="3" xr3:uid="{CC52C30F-5F11-40FA-9ED9-F14E2F71F358}" name="Valor mensual" dataDxfId="506">
      <calculatedColumnFormula>IF(Tabla584242[[#This Row],[Equipo ]]="","",INDEX(V_MENSUAL,MATCH(Tabla584242[[#This Row],[Equipo ]],LISTA_MAQUINARIA,0)))</calculatedColumnFormula>
    </tableColumn>
    <tableColumn id="4" xr3:uid="{0EFDED9E-8738-4903-BFA5-D2833F10A380}" name="Combustible Hora " dataDxfId="505">
      <calculatedColumnFormula>IF(Tabla584242[[#This Row],[Equipo ]]="","",INDEX(CONSUMO_COMBUSTIBLE_H,MATCH(Tabla584242[[#This Row],[Equipo ]],LISTA_MAQUINARIA,0)))</calculatedColumnFormula>
    </tableColumn>
    <tableColumn id="5" xr3:uid="{524AC8C0-E7A5-4D97-8029-B52065BB5CB8}" name="Valor galon" dataDxfId="504">
      <calculatedColumnFormula>IF(Tabla584242[[#This Row],[Equipo ]]="","",INDEX(V_GALON,MATCH(Tabla584242[[#This Row],[Equipo ]],LISTA_MAQUINARIA,0)))</calculatedColumnFormula>
    </tableColumn>
    <tableColumn id="6" xr3:uid="{AE591691-1104-45D3-97EB-349247389AE9}" name="Horas mes" dataDxfId="503"/>
    <tableColumn id="7" xr3:uid="{584EEE08-C845-4CD3-821D-536E0DD0238F}" name="Valor mensual + Combustible" dataDxfId="502">
      <calculatedColumnFormula>IF(Tabla584242[[#This Row],[Equipo ]]="","",Tabla584242[[#This Row],[Valor mensual]]+Tabla584242[[#This Row],[Combustible Hora ]]*Tabla584242[[#This Row],[Valor galon]]*Tabla584242[[#This Row],[Horas mes]])</calculatedColumnFormula>
    </tableColumn>
    <tableColumn id="8" xr3:uid="{9E5D73DA-3EE6-4EE1-9F5A-ECD29B60B8F1}" name="Valor Total" dataDxfId="501">
      <calculatedColumnFormula>IF(Tabla584242[[#This Row],[Valor mensual + Combustible]]="","",Tabla584242[[#This Row],[Valor mensual + Combustible]]*Tabla584242[[#This Row],[Cantidad]])</calculatedColumnFormula>
    </tableColumn>
  </tableColumns>
  <tableStyleInfo name="TableStyleMedium2" showFirstColumn="0" showLastColumn="0" showRowStripes="1" showColumnStripes="0"/>
</table>
</file>

<file path=xl/tables/table1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2" xr:uid="{DCCA28F6-2458-4122-A487-4FEA4770DF26}" name="Tabla685243" displayName="Tabla685243" ref="EB63:EE66" totalsRowShown="0">
  <autoFilter ref="EB63:EE66" xr:uid="{6E7456A7-CB39-42E8-A5D8-1817DE45691C}"/>
  <tableColumns count="4">
    <tableColumn id="1" xr3:uid="{3EE49194-9670-487C-A93E-44D553DB32C4}" name="Transporte "/>
    <tableColumn id="2" xr3:uid="{424BF441-B9E9-4CA5-8928-BF0A98392FE9}" name="cantidad "/>
    <tableColumn id="3" xr3:uid="{4EF799A0-FF32-4BE6-A487-177B66CD5177}" name="Valor unitario " dataDxfId="500"/>
    <tableColumn id="4" xr3:uid="{912EA750-463C-4AC0-9E3F-62D809E6E5F3}" name="Valor total" dataDxfId="499">
      <calculatedColumnFormula>+Tabla685243[[#This Row],[Valor unitario ]]*Tabla685243[[#This Row],[cantidad ]]</calculatedColumnFormula>
    </tableColumn>
  </tableColumns>
  <tableStyleInfo name="TableStyleMedium2" showFirstColumn="0" showLastColumn="0" showRowStripes="1" showColumnStripes="0"/>
</table>
</file>

<file path=xl/tables/table1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3" xr:uid="{DDDF1175-AC22-43FC-A9F7-2348967242D4}" name="Tabla386244" displayName="Tabla386244" ref="EK12:EP30" totalsRowShown="0">
  <autoFilter ref="EK12:EP30" xr:uid="{65004DCF-9CE9-49C4-A137-712D96D5D8CB}"/>
  <tableColumns count="6">
    <tableColumn id="1" xr3:uid="{D4C69C4C-EEA7-40C0-97AB-B2F1DA1AB55A}" name="Personal" dataDxfId="498"/>
    <tableColumn id="2" xr3:uid="{83B7890C-0953-4E75-9AEF-88060E552DCA}" name="Cantidad" dataDxfId="497"/>
    <tableColumn id="3" xr3:uid="{0D8B33EF-5E12-4E11-9E4D-7F130CE684FF}" name="Sueldo base" dataDxfId="496">
      <calculatedColumnFormula>+IF(EK13="","",INDEX(V_MANODEOBRA_MENSUAL,MATCH(EK13,L_PERSONAL,0)))</calculatedColumnFormula>
    </tableColumn>
    <tableColumn id="4" xr3:uid="{F1B3431E-7D13-4001-BF77-5AE37C120EDA}" name="Factor prestacional" dataDxfId="495">
      <calculatedColumnFormula>+IF(EM13="","",INDEX(F_PRESTACIONAL,MATCH(EK13,L_PERSONAL,0)))</calculatedColumnFormula>
    </tableColumn>
    <tableColumn id="5" xr3:uid="{F48BEDAA-577A-4C5A-9329-A11EEB587A3A}" name="Valor mas factor prestacional" dataDxfId="494">
      <calculatedColumnFormula>+IF(EM13="","",EN13*EM13)</calculatedColumnFormula>
    </tableColumn>
    <tableColumn id="6" xr3:uid="{D6C28A15-E3E8-4692-9994-6799322158EC}" name="Valor mensual" dataDxfId="493">
      <calculatedColumnFormula>+IF(EO13="","",EO13*EL13)</calculatedColumnFormula>
    </tableColumn>
  </tableColumns>
  <tableStyleInfo name="TableStyleLight20" showFirstColumn="0" showLastColumn="0" showRowStripes="1" showColumnStripes="0"/>
</table>
</file>

<file path=xl/tables/table1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4" xr:uid="{4CD42F80-D11D-438B-8E3E-207F68A4DFF7}" name="Tabla587245" displayName="Tabla587245" ref="EJ39:EQ53" totalsRowShown="0">
  <autoFilter ref="EJ39:EQ53" xr:uid="{13673BD3-7989-44D5-B789-4CD128F4ACFB}"/>
  <tableColumns count="8">
    <tableColumn id="1" xr3:uid="{BD55B760-7A35-4187-8368-8AB3C30A09F8}" name="Equipo " dataDxfId="492"/>
    <tableColumn id="2" xr3:uid="{ECF92144-5A26-4C17-8311-BB9F5176D5A2}" name="Cantidad" dataDxfId="491"/>
    <tableColumn id="3" xr3:uid="{549410A7-44C1-45C8-8D4B-6968A4039A0F}" name="Valor mensual" dataDxfId="490">
      <calculatedColumnFormula>IF(Tabla587245[[#This Row],[Equipo ]]="","",INDEX(V_MENSUAL,MATCH(Tabla587245[[#This Row],[Equipo ]],LISTA_MAQUINARIA,0)))</calculatedColumnFormula>
    </tableColumn>
    <tableColumn id="4" xr3:uid="{1D55CB75-8B7A-4244-AB41-14561F6B0A5B}" name="Combustible Hora " dataDxfId="489">
      <calculatedColumnFormula>IF(Tabla587245[[#This Row],[Equipo ]]="","",INDEX(CONSUMO_COMBUSTIBLE_H,MATCH(Tabla587245[[#This Row],[Equipo ]],LISTA_MAQUINARIA,0)))</calculatedColumnFormula>
    </tableColumn>
    <tableColumn id="5" xr3:uid="{CB468454-27D9-4BA5-9E9E-3D9B71AE8BD9}" name="Valor galon" dataDxfId="488">
      <calculatedColumnFormula>IF(Tabla587245[[#This Row],[Equipo ]]="","",INDEX(V_GALON,MATCH(Tabla587245[[#This Row],[Equipo ]],LISTA_MAQUINARIA,0)))</calculatedColumnFormula>
    </tableColumn>
    <tableColumn id="6" xr3:uid="{1C4C0968-6D32-4DF9-AAC4-F0E3A2655869}" name="Horas mes" dataDxfId="487"/>
    <tableColumn id="7" xr3:uid="{23CA6EE9-DB76-4AEE-B4DC-8AFC65628F41}" name="Valor mensual + Combustible" dataDxfId="486">
      <calculatedColumnFormula>IF(Tabla587245[[#This Row],[Equipo ]]="","",Tabla587245[[#This Row],[Valor mensual]]+Tabla587245[[#This Row],[Combustible Hora ]]*Tabla587245[[#This Row],[Valor galon]]*Tabla587245[[#This Row],[Horas mes]])</calculatedColumnFormula>
    </tableColumn>
    <tableColumn id="8" xr3:uid="{D1457161-77A5-4E1E-94F8-6052CACE933A}" name="Valor Total" dataDxfId="485">
      <calculatedColumnFormula>IF(Tabla587245[[#This Row],[Valor mensual + Combustible]]="","",Tabla587245[[#This Row],[Valor mensual + Combustible]]*Tabla587245[[#This Row],[Cantidad]])</calculatedColumnFormula>
    </tableColumn>
  </tableColumns>
  <tableStyleInfo name="TableStyleMedium2" showFirstColumn="0" showLastColumn="0" showRowStripes="1" showColumnStripes="0"/>
</table>
</file>

<file path=xl/tables/table1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5" xr:uid="{393CBD0A-A1E4-499B-BE12-C5520CAB9A78}" name="Tabla688246" displayName="Tabla688246" ref="EL63:EO66" totalsRowShown="0">
  <autoFilter ref="EL63:EO66" xr:uid="{D41B8F61-568A-4533-A0A9-04754A149BEF}"/>
  <tableColumns count="4">
    <tableColumn id="1" xr3:uid="{84819A87-3F5B-4E4E-B483-A4D228680BDA}" name="Transporte "/>
    <tableColumn id="2" xr3:uid="{4E0B2982-F54F-400A-8424-F257070FA327}" name="cantidad "/>
    <tableColumn id="3" xr3:uid="{9459970B-6F1D-443D-AE02-DC6CDB4D65D7}" name="Valor unitario " dataDxfId="484"/>
    <tableColumn id="4" xr3:uid="{85B3C562-5690-4031-AC2C-176A708EA47E}" name="Valor total" dataDxfId="483">
      <calculatedColumnFormula>+Tabla688246[[#This Row],[Valor unitario ]]*Tabla688246[[#This Row],[cantidad ]]</calculatedColumnFormula>
    </tableColumn>
  </tableColumns>
  <tableStyleInfo name="TableStyleMedium2" showFirstColumn="0" showLastColumn="0" showRowStripes="1" showColumnStripes="0"/>
</table>
</file>

<file path=xl/tables/table1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6" xr:uid="{4DEFE81B-3803-4DB1-9035-BA19DF87FFFA}" name="Tabla389247" displayName="Tabla389247" ref="EU12:EZ30" totalsRowShown="0">
  <autoFilter ref="EU12:EZ30" xr:uid="{8729F7BE-2BFD-43FC-80A3-93DE06C2220E}"/>
  <tableColumns count="6">
    <tableColumn id="1" xr3:uid="{1E32C2AD-C355-4A07-A939-45C8170DF789}" name="Personal" dataDxfId="482"/>
    <tableColumn id="2" xr3:uid="{9BD2F3F2-A966-4BAA-8DE1-24851A96E4DD}" name="Cantidad" dataDxfId="481"/>
    <tableColumn id="3" xr3:uid="{5088917C-8D89-4C59-9921-76E851F7FD0E}" name="Sueldo base" dataDxfId="480">
      <calculatedColumnFormula>+IF(EU13="","",INDEX(V_MANODEOBRA_MENSUAL,MATCH(EU13,L_PERSONAL,0)))</calculatedColumnFormula>
    </tableColumn>
    <tableColumn id="4" xr3:uid="{D58508A0-8D97-4D04-BD85-97CB1727CA29}" name="Factor prestacional" dataDxfId="479">
      <calculatedColumnFormula>+IF(EW13="","",INDEX(F_PRESTACIONAL,MATCH(EU13,L_PERSONAL,0)))</calculatedColumnFormula>
    </tableColumn>
    <tableColumn id="5" xr3:uid="{2FE208F1-4B66-4558-A5F1-D5F459A4BD66}" name="Valor mas factor prestacional" dataDxfId="478">
      <calculatedColumnFormula>+IF(EW13="","",EX13*EW13)</calculatedColumnFormula>
    </tableColumn>
    <tableColumn id="6" xr3:uid="{C67E79F1-5AAD-45DA-B7DD-F7E6F01C63BF}" name="Valor mensual" dataDxfId="477">
      <calculatedColumnFormula>+IF(EY13="","",EY13*EV13)</calculatedColumnFormula>
    </tableColumn>
  </tableColumns>
  <tableStyleInfo name="TableStyleLight20" showFirstColumn="0" showLastColumn="0" showRowStripes="1" showColumnStripes="0"/>
</table>
</file>

<file path=xl/tables/table1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7" xr:uid="{2CB8141B-CF1F-4F08-BE16-B60FE95247AC}" name="Tabla590248" displayName="Tabla590248" ref="ET39:FA53" totalsRowShown="0">
  <autoFilter ref="ET39:FA53" xr:uid="{0F9DED29-87C3-431A-A945-D331F285E3F0}"/>
  <tableColumns count="8">
    <tableColumn id="1" xr3:uid="{8A88F9C9-FA32-4AD4-8BA8-FAF86F274416}" name="Equipo " dataDxfId="476"/>
    <tableColumn id="2" xr3:uid="{B1EE76AA-405A-438A-8057-408024B3E563}" name="Cantidad" dataDxfId="475"/>
    <tableColumn id="3" xr3:uid="{C89F1301-8B9C-4E17-A30A-C40F6909CF16}" name="Valor mensual" dataDxfId="474">
      <calculatedColumnFormula>IF(Tabla590248[[#This Row],[Equipo ]]="","",INDEX(V_MENSUAL,MATCH(Tabla590248[[#This Row],[Equipo ]],LISTA_MAQUINARIA,0)))</calculatedColumnFormula>
    </tableColumn>
    <tableColumn id="4" xr3:uid="{529B9E3A-8E48-451B-A6C9-488FCC770E81}" name="Combustible Hora " dataDxfId="473">
      <calculatedColumnFormula>IF(Tabla590248[[#This Row],[Equipo ]]="","",INDEX(CONSUMO_COMBUSTIBLE_H,MATCH(Tabla590248[[#This Row],[Equipo ]],LISTA_MAQUINARIA,0)))</calculatedColumnFormula>
    </tableColumn>
    <tableColumn id="5" xr3:uid="{45CE4CBE-B560-4CDC-9190-DEDFB922E00F}" name="Valor galon" dataDxfId="472">
      <calculatedColumnFormula>IF(Tabla590248[[#This Row],[Equipo ]]="","",INDEX(V_GALON,MATCH(Tabla590248[[#This Row],[Equipo ]],LISTA_MAQUINARIA,0)))</calculatedColumnFormula>
    </tableColumn>
    <tableColumn id="6" xr3:uid="{D2460CF8-FBD0-4550-9D65-6E0E2C2BF4AB}" name="Horas mes" dataDxfId="471"/>
    <tableColumn id="7" xr3:uid="{748E7654-7688-459E-A9E6-037C7D2C38D0}" name="Valor mensual + Combustible" dataDxfId="470">
      <calculatedColumnFormula>IF(Tabla590248[[#This Row],[Equipo ]]="","",Tabla590248[[#This Row],[Valor mensual]]+Tabla590248[[#This Row],[Combustible Hora ]]*Tabla590248[[#This Row],[Valor galon]]*Tabla590248[[#This Row],[Horas mes]])</calculatedColumnFormula>
    </tableColumn>
    <tableColumn id="8" xr3:uid="{75619CF0-9E80-493C-B6FD-009ABBCBBBB7}" name="Valor Total" dataDxfId="469">
      <calculatedColumnFormula>IF(Tabla590248[[#This Row],[Valor mensual + Combustible]]="","",Tabla590248[[#This Row],[Valor mensual + Combustible]]*Tabla590248[[#This Row],[Cantidad]])</calculatedColumnFormula>
    </tableColumn>
  </tableColumns>
  <tableStyleInfo name="TableStyleMedium2" showFirstColumn="0" showLastColumn="0" showRowStripes="1" showColumnStripes="0"/>
</table>
</file>

<file path=xl/tables/table1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8" xr:uid="{1DB5B812-5452-4116-B277-D744C6BA3640}" name="Tabla691249" displayName="Tabla691249" ref="EV63:EY66" totalsRowShown="0">
  <autoFilter ref="EV63:EY66" xr:uid="{7F11E60E-1C19-456B-BDD3-C7C7A04FA5A3}"/>
  <tableColumns count="4">
    <tableColumn id="1" xr3:uid="{A7F41FA4-8038-4EF2-A973-8FC23487931F}" name="Transporte "/>
    <tableColumn id="2" xr3:uid="{26A0FA7C-D2A2-4BCF-A19C-EEF741A75BED}" name="cantidad "/>
    <tableColumn id="3" xr3:uid="{2FCC05D5-F28A-43FF-A3F1-29BA2E3232BA}" name="Valor unitario " dataDxfId="468"/>
    <tableColumn id="4" xr3:uid="{37F5CC8C-FE22-4269-9CE8-468149E6FFBE}" name="Valor total" dataDxfId="467">
      <calculatedColumnFormula>+Tabla691249[[#This Row],[Valor unitario ]]*Tabla691249[[#This Row],[cantidad ]]</calculatedColumnFormula>
    </tableColumn>
  </tableColumns>
  <tableStyleInfo name="TableStyleMedium2" showFirstColumn="0" showLastColumn="0" showRowStripes="1" showColumnStripes="0"/>
</table>
</file>

<file path=xl/tables/table1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9" xr:uid="{EF6AE8AF-1CBC-403B-872C-917F4E0FFD05}" name="Tabla392250" displayName="Tabla392250" ref="FE12:FJ30" totalsRowShown="0">
  <autoFilter ref="FE12:FJ30" xr:uid="{CE9E0C81-5E8B-44CB-B0C5-AE2BDB269C05}"/>
  <tableColumns count="6">
    <tableColumn id="1" xr3:uid="{63074E80-C130-444D-8494-74D95B314405}" name="Personal" dataDxfId="466"/>
    <tableColumn id="2" xr3:uid="{952CACD6-1530-4145-BD47-05C4F0DD5AFF}" name="Cantidad" dataDxfId="465"/>
    <tableColumn id="3" xr3:uid="{4691FD6A-A2FF-4310-B7F6-A75E17543D18}" name="Sueldo base" dataDxfId="464">
      <calculatedColumnFormula>+IF(FE13="","",INDEX(V_MANODEOBRA_MENSUAL,MATCH(FE13,L_PERSONAL,0)))</calculatedColumnFormula>
    </tableColumn>
    <tableColumn id="4" xr3:uid="{9E173602-A95A-480A-9ABD-7A3DC930F955}" name="Factor prestacional" dataDxfId="463">
      <calculatedColumnFormula>+IF(FG13="","",INDEX(F_PRESTACIONAL,MATCH(FE13,L_PERSONAL,0)))</calculatedColumnFormula>
    </tableColumn>
    <tableColumn id="5" xr3:uid="{D33A0A38-75C9-4A72-BEAA-FE5F99B859BE}" name="Valor mas factor prestacional" dataDxfId="462">
      <calculatedColumnFormula>+IF(FG13="","",FH13*FG13)</calculatedColumnFormula>
    </tableColumn>
    <tableColumn id="6" xr3:uid="{A5111D7C-93EA-46C8-9E65-C4A87DCA5B3E}" name="Valor mensual" dataDxfId="461">
      <calculatedColumnFormula>+IF(FI13="","",FI13*FF13)</calculatedColumnFormula>
    </tableColumn>
  </tableColumns>
  <tableStyleInfo name="TableStyleLight20" showFirstColumn="0" showLastColumn="0" showRowStripes="1" showColumnStripes="0"/>
</table>
</file>

<file path=xl/tables/table1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0" xr:uid="{3096A24D-E9D6-4E9C-94EE-7F809EB69FD6}" name="Tabla593251" displayName="Tabla593251" ref="FD39:FK53" totalsRowShown="0">
  <autoFilter ref="FD39:FK53" xr:uid="{3622343E-DD88-4868-B4DC-2142742EBB2B}"/>
  <tableColumns count="8">
    <tableColumn id="1" xr3:uid="{AF640C34-3864-4929-88B0-7B2154FF0E4D}" name="Equipo " dataDxfId="460"/>
    <tableColumn id="2" xr3:uid="{60CC2F69-4723-402B-9D2C-B80408AB61FD}" name="Cantidad" dataDxfId="459"/>
    <tableColumn id="3" xr3:uid="{2C5C24B2-5CF2-4ECD-9E8B-0FE779FF0B26}" name="Valor mensual" dataDxfId="458">
      <calculatedColumnFormula>IF(Tabla593251[[#This Row],[Equipo ]]="","",INDEX(V_MENSUAL,MATCH(Tabla593251[[#This Row],[Equipo ]],LISTA_MAQUINARIA,0)))</calculatedColumnFormula>
    </tableColumn>
    <tableColumn id="4" xr3:uid="{82B01112-6E4A-4326-B0B4-896C56E15B1F}" name="Combustible Hora " dataDxfId="457">
      <calculatedColumnFormula>IF(Tabla593251[[#This Row],[Equipo ]]="","",INDEX(CONSUMO_COMBUSTIBLE_H,MATCH(Tabla593251[[#This Row],[Equipo ]],LISTA_MAQUINARIA,0)))</calculatedColumnFormula>
    </tableColumn>
    <tableColumn id="5" xr3:uid="{E1E64F43-F237-4769-B74F-A44D5F077F9A}" name="Valor galon" dataDxfId="456">
      <calculatedColumnFormula>IF(Tabla593251[[#This Row],[Equipo ]]="","",INDEX(V_GALON,MATCH(Tabla593251[[#This Row],[Equipo ]],LISTA_MAQUINARIA,0)))</calculatedColumnFormula>
    </tableColumn>
    <tableColumn id="6" xr3:uid="{68A041E9-5535-4256-A403-01C14BDEA4B3}" name="Horas mes" dataDxfId="455"/>
    <tableColumn id="7" xr3:uid="{08F3A00B-0040-428C-812D-00FCF75749F2}" name="Valor mensual + Combustible" dataDxfId="454">
      <calculatedColumnFormula>IF(Tabla593251[[#This Row],[Equipo ]]="","",Tabla593251[[#This Row],[Valor mensual]]+Tabla593251[[#This Row],[Combustible Hora ]]*Tabla593251[[#This Row],[Valor galon]]*Tabla593251[[#This Row],[Horas mes]])</calculatedColumnFormula>
    </tableColumn>
    <tableColumn id="8" xr3:uid="{80EBA85C-7B5B-4450-9FE9-3F77EF70060B}" name="Valor Total" dataDxfId="453">
      <calculatedColumnFormula>IF(Tabla593251[[#This Row],[Valor mensual + Combustible]]="","",Tabla593251[[#This Row],[Valor mensual + Combustible]]*Tabla593251[[#This Row],[Cantidad]])</calculatedColumnFormula>
    </tableColumn>
  </tableColumns>
  <tableStyleInfo name="TableStyleMedium2" showFirstColumn="0" showLastColumn="0" showRowStripes="1" showColumnStripes="0"/>
</table>
</file>

<file path=xl/tables/table1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1" xr:uid="{D1AB2960-C4B5-4FBE-80CB-73478F439C34}" name="Tabla694252" displayName="Tabla694252" ref="FF63:FI66" totalsRowShown="0">
  <autoFilter ref="FF63:FI66" xr:uid="{426485F5-97B8-4681-BE48-A75E3EB4492C}"/>
  <tableColumns count="4">
    <tableColumn id="1" xr3:uid="{103A8229-EC25-425C-9BD9-9D6C18E97CE1}" name="Transporte "/>
    <tableColumn id="2" xr3:uid="{F8720D13-18E1-4F05-9E67-412EBB071CFF}" name="cantidad "/>
    <tableColumn id="3" xr3:uid="{BF14971C-979B-4454-9DCA-673FDC6CAA4F}" name="Valor unitario " dataDxfId="452"/>
    <tableColumn id="4" xr3:uid="{50660F55-4CAF-4C95-B26C-10EC6CAFA42D}" name="Valor total" dataDxfId="451">
      <calculatedColumnFormula>+Tabla694252[[#This Row],[cantidad ]]*Tabla694252[[#This Row],[Valor unitario ]]</calculatedColumnFormula>
    </tableColumn>
  </tableColumns>
  <tableStyleInfo name="TableStyleMedium2" showFirstColumn="0" showLastColumn="0" showRowStripes="1" showColumnStripes="0"/>
</table>
</file>

<file path=xl/tables/table1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2" xr:uid="{6C7E341D-EB68-489E-B06A-A1358E95B5A2}" name="Tabla395253" displayName="Tabla395253" ref="FO12:FT30" totalsRowShown="0">
  <autoFilter ref="FO12:FT30" xr:uid="{F4C5B4CD-4BC2-4AC5-9153-C8615829529F}"/>
  <tableColumns count="6">
    <tableColumn id="1" xr3:uid="{F46D7DB9-A3CE-42CF-9613-A58E7E56BD39}" name="Personal" dataDxfId="450"/>
    <tableColumn id="2" xr3:uid="{BF41D5E1-B32F-43D8-9EE7-B672AD870FC2}" name="Cantidad" dataDxfId="449"/>
    <tableColumn id="3" xr3:uid="{349EC325-E0F2-4390-BA57-8412C76A5C8F}" name="Sueldo base" dataDxfId="448">
      <calculatedColumnFormula>+IF(FO13="","",INDEX(V_MANODEOBRA_MENSUAL,MATCH(FO13,L_PERSONAL,0)))</calculatedColumnFormula>
    </tableColumn>
    <tableColumn id="4" xr3:uid="{58469DBA-9FAC-4298-B422-A02A91CF0CBD}" name="Factor prestacional" dataDxfId="447">
      <calculatedColumnFormula>+IF(FQ13="","",INDEX(F_PRESTACIONAL,MATCH(FO13,L_PERSONAL,0)))</calculatedColumnFormula>
    </tableColumn>
    <tableColumn id="5" xr3:uid="{2ABAD9EA-C0DA-4021-BA48-954CAAC0A994}" name="Valor mas factor prestacional" dataDxfId="446">
      <calculatedColumnFormula>+IF(FQ13="","",FR13*FQ13)</calculatedColumnFormula>
    </tableColumn>
    <tableColumn id="6" xr3:uid="{3F68E8A0-FB0F-4CC7-BC04-20AFF66E6B81}" name="Valor mensual" dataDxfId="445">
      <calculatedColumnFormula>+IF(FS13="","",FS13*FP13)</calculatedColumnFormula>
    </tableColumn>
  </tableColumns>
  <tableStyleInfo name="TableStyleLight20" showFirstColumn="0" showLastColumn="0" showRowStripes="1" showColumnStripes="0"/>
</table>
</file>

<file path=xl/tables/table1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3" xr:uid="{46224328-E365-42AF-9F99-5117D6A899DF}" name="Tabla596254" displayName="Tabla596254" ref="FN39:FU53" totalsRowShown="0">
  <autoFilter ref="FN39:FU53" xr:uid="{5B3B367B-C8CC-45F7-A755-8737C968397D}"/>
  <tableColumns count="8">
    <tableColumn id="1" xr3:uid="{8B6DEF0D-7C64-4360-9658-AA929AE14FA9}" name="Equipo " dataDxfId="444"/>
    <tableColumn id="2" xr3:uid="{AB341B71-EF7E-4C29-94BF-AC05D33534E2}" name="Cantidad" dataDxfId="443"/>
    <tableColumn id="3" xr3:uid="{1A703C68-4456-4EF8-970D-D69968B3BFD0}" name="Valor mensual" dataDxfId="442">
      <calculatedColumnFormula>IF(Tabla596254[[#This Row],[Equipo ]]="","",INDEX(V_MENSUAL,MATCH(Tabla596254[[#This Row],[Equipo ]],LISTA_MAQUINARIA,0)))</calculatedColumnFormula>
    </tableColumn>
    <tableColumn id="4" xr3:uid="{8CAFE5FB-CDF3-4F0A-AE62-14930BD86512}" name="Combustible Hora " dataDxfId="441">
      <calculatedColumnFormula>IF(Tabla596254[[#This Row],[Equipo ]]="","",INDEX(CONSUMO_COMBUSTIBLE_H,MATCH(Tabla596254[[#This Row],[Equipo ]],LISTA_MAQUINARIA,0)))</calculatedColumnFormula>
    </tableColumn>
    <tableColumn id="5" xr3:uid="{7A6368E6-6AA1-481D-8DD8-D3E47AA49A95}" name="Valor galon" dataDxfId="440">
      <calculatedColumnFormula>IF(Tabla596254[[#This Row],[Equipo ]]="","",INDEX(V_GALON,MATCH(Tabla596254[[#This Row],[Equipo ]],LISTA_MAQUINARIA,0)))</calculatedColumnFormula>
    </tableColumn>
    <tableColumn id="6" xr3:uid="{3B37A88D-2350-4EC1-9B1A-5BA5303EBF37}" name="Horas mes" dataDxfId="439"/>
    <tableColumn id="7" xr3:uid="{5B4FE4A3-54F0-40A6-9D48-D4DA7E1D3618}" name="Valor mensual + Combustible" dataDxfId="438">
      <calculatedColumnFormula>IF(Tabla596254[[#This Row],[Equipo ]]="","",Tabla596254[[#This Row],[Valor mensual]]+Tabla596254[[#This Row],[Combustible Hora ]]*Tabla596254[[#This Row],[Valor galon]]*Tabla596254[[#This Row],[Horas mes]])</calculatedColumnFormula>
    </tableColumn>
    <tableColumn id="8" xr3:uid="{6FE7C91C-837C-4AEF-8DDA-3D5DE63EFA5D}" name="Valor Total" dataDxfId="437">
      <calculatedColumnFormula>IF(Tabla596254[[#This Row],[Valor mensual + Combustible]]="","",Tabla596254[[#This Row],[Valor mensual + Combustible]]*Tabla596254[[#This Row],[Cantidad]])</calculatedColumnFormula>
    </tableColumn>
  </tableColumns>
  <tableStyleInfo name="TableStyleMedium2" showFirstColumn="0" showLastColumn="0" showRowStripes="1" showColumnStripes="0"/>
</table>
</file>

<file path=xl/tables/table1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4" xr:uid="{9111C6F3-CFC7-40E0-9AC6-032026ED5B9D}" name="Tabla697255" displayName="Tabla697255" ref="FP63:FS66" totalsRowShown="0">
  <autoFilter ref="FP63:FS66" xr:uid="{50624B96-8A1F-415A-AF98-593A1957F17A}"/>
  <tableColumns count="4">
    <tableColumn id="1" xr3:uid="{D10A7621-3A98-4BA2-9E4E-6E4FBE041ABE}" name="Transporte "/>
    <tableColumn id="2" xr3:uid="{FDA8500D-258B-4FE3-BDA3-BB2728B308C2}" name="cantidad "/>
    <tableColumn id="3" xr3:uid="{2E44A558-A802-4623-8C0B-98256D170DBF}" name="Valor unitario " dataDxfId="436"/>
    <tableColumn id="4" xr3:uid="{B5FA7FD6-6555-44B9-A57B-14351AF2A7FB}" name="Valor total" dataDxfId="435">
      <calculatedColumnFormula>+Tabla697255[[#This Row],[Valor unitario ]]*Tabla697255[[#This Row],[cantidad ]]</calculatedColumnFormula>
    </tableColumn>
  </tableColumns>
  <tableStyleInfo name="TableStyleMedium2" showFirstColumn="0" showLastColumn="0" showRowStripes="1" showColumnStripes="0"/>
</table>
</file>

<file path=xl/tables/table1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5" xr:uid="{F65958FF-1FE7-47F2-B0FA-61534FCB4E4E}" name="Tabla97256" displayName="Tabla97256" ref="B71:F91" totalsRowCount="1">
  <autoFilter ref="B71:F90" xr:uid="{64904568-17F1-4B54-AFA4-8B67D5B45D8D}"/>
  <tableColumns count="5">
    <tableColumn id="1" xr3:uid="{A8970C98-3FF3-4F15-8653-86809D6129A1}" name="MES" dataDxfId="434" totalsRowDxfId="433"/>
    <tableColumn id="2" xr3:uid="{D4F8F1B2-454A-449F-80A0-67E31C9DC4A9}" name="SUBTOTAL PERSONAL" dataDxfId="432" totalsRowDxfId="431"/>
    <tableColumn id="3" xr3:uid="{AD51AAFA-BAC1-47F2-AD06-0C23DFA77748}" name="SUBTOTAL EQUIPO" dataDxfId="430" totalsRowDxfId="429"/>
    <tableColumn id="4" xr3:uid="{74DA288A-5845-45C2-9E21-4DFE2AE61E60}" name="SUBTOTAL TRANSPORTE" dataDxfId="428" totalsRowDxfId="427"/>
    <tableColumn id="5" xr3:uid="{6B13F9A5-C2C3-445F-AC5A-107172B4D04C}" name="TOTAL MES" dataDxfId="426" totalsRowDxfId="425">
      <calculatedColumnFormula>SUM(Tabla97256[[#This Row],[SUBTOTAL PERSONAL]:[SUBTOTAL TRANSPORTE]])</calculatedColumnFormula>
    </tableColumn>
  </tableColumns>
  <tableStyleInfo name="TableStyleMedium2" showFirstColumn="0" showLastColumn="0" showRowStripes="1" showColumnStripes="0"/>
</table>
</file>

<file path=xl/tables/table1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6" xr:uid="{E3457B95-8DB7-4795-8393-C1DE7B1F25F6}" name="Tabla100257" displayName="Tabla100257" ref="B94:E99" totalsRowShown="0">
  <autoFilter ref="B94:E99" xr:uid="{262B0C0C-0C54-48A1-8009-179D120C066D}"/>
  <tableColumns count="4">
    <tableColumn id="1" xr3:uid="{448DB216-3BE9-4E6A-B87E-B75D9156BBCF}" name="CONCEPTO"/>
    <tableColumn id="2" xr3:uid="{2A9C8FBF-58CD-4896-BD7A-88C9834C98EC}" name="VALOR BASE LIQUIDACION" dataDxfId="424">
      <calculatedColumnFormula>+COSTO_DIRECTO_OPTIMO</calculatedColumnFormula>
    </tableColumn>
    <tableColumn id="3" xr3:uid="{AA829416-83C7-42A3-AE2C-6DA7764262A8}" name="TARIFA" dataDxfId="423"/>
    <tableColumn id="4" xr3:uid="{C7697E93-F44C-4D5E-A358-7CFAF8438531}" name="VALOR TOTAL" dataDxfId="422">
      <calculatedColumnFormula>IF(Tabla100257[[#This Row],[VALOR BASE LIQUIDACION]]="","",Tabla100257[[#This Row],[TARIFA]]*Tabla100257[[#This Row],[VALOR BASE LIQUIDACION]])</calculatedColumnFormula>
    </tableColumn>
  </tableColumns>
  <tableStyleInfo name="TableStyleMedium2" showFirstColumn="0" showLastColumn="0" showRowStripes="1" showColumnStripes="0"/>
</table>
</file>

<file path=xl/tables/table1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7" xr:uid="{959FD2F1-5E21-4504-B7BF-01770D3E8269}" name="Tabla101258" displayName="Tabla101258" ref="B104:G109" totalsRowShown="0">
  <autoFilter ref="B104:G109" xr:uid="{6E5C2612-9444-45A0-9510-168BE325583B}"/>
  <tableColumns count="6">
    <tableColumn id="1" xr3:uid="{48FD832E-4CEF-4599-8FDF-15C6310A080A}" name="AMPARO"/>
    <tableColumn id="2" xr3:uid="{9E5627BC-2B02-4743-B6A3-BF666344E233}" name="VALOR BASE LIQUIDACIÓN" dataDxfId="421"/>
    <tableColumn id="3" xr3:uid="{A7B4B1A3-D69F-47D9-A472-3DBF6C4346CC}" name="% ASEGURADO" dataDxfId="420"/>
    <tableColumn id="4" xr3:uid="{B03DA07F-88ED-4291-96FB-5A3E9C7BCC81}" name="VIGENCIA (MES)" dataDxfId="419"/>
    <tableColumn id="5" xr3:uid="{CE048DB6-D4B7-4B17-84D1-EE39DB4F5D6C}" name="TASA" dataDxfId="418"/>
    <tableColumn id="6" xr3:uid="{A47054A1-3E00-415A-AEFA-CB4D686B7ADB}" name="VALOR TOTAL" dataDxfId="417">
      <calculatedColumnFormula>IF(Tabla101258[[#This Row],[VALOR BASE LIQUIDACIÓN]]="","",Tabla101258[[#This Row],[VALOR BASE LIQUIDACIÓN]]*Tabla101258[[#This Row],[% ASEGURADO]]*(Tabla101258[[#This Row],[VIGENCIA (MES)]]/12)*Tabla101258[[#This Row],[TASA]]*1.19)</calculatedColumnFormula>
    </tableColumn>
  </tableColumns>
  <tableStyleInfo name="TableStyleMedium2" showFirstColumn="0" showLastColumn="0" showRowStripes="1" showColumnStripes="0"/>
</table>
</file>

<file path=xl/tables/table1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D4AF869-2F49-45EC-8818-5B0F81E6B46A}" name="Tabla3" displayName="Tabla3" ref="B12:G34" totalsRowShown="0">
  <autoFilter ref="B12:G34" xr:uid="{AD4AF869-2F49-45EC-8818-5B0F81E6B46A}"/>
  <tableColumns count="6">
    <tableColumn id="1" xr3:uid="{D7BBDA04-EB96-48D6-8F5B-9ED8C5FA9050}" name="Personal"/>
    <tableColumn id="2" xr3:uid="{E2D6834E-C4A7-4C31-AC2F-F9FDF5A69442}" name="Cantidad" dataDxfId="416"/>
    <tableColumn id="3" xr3:uid="{C1762324-32CE-4BFB-AB89-A10FEC014613}" name="Sueldo base" dataDxfId="415">
      <calculatedColumnFormula>+IF(B13="","",INDEX(V_MANODEOBRA_MENSUAL,MATCH(B13,L_PERSONAL,0)))</calculatedColumnFormula>
    </tableColumn>
    <tableColumn id="4" xr3:uid="{DA78E25A-A9A9-4698-8A94-7030742E2738}" name="Factor prestacional">
      <calculatedColumnFormula>+IF(D13="","",INDEX(F_PRESTACIONAL,MATCH(B13,L_PERSONAL,0)))</calculatedColumnFormula>
    </tableColumn>
    <tableColumn id="5" xr3:uid="{8430BFBE-4A9A-4810-A05D-29F5B13AD518}" name="Valor mas factor prestacional" dataDxfId="414">
      <calculatedColumnFormula>+IF(D13="","",E13*D13)</calculatedColumnFormula>
    </tableColumn>
    <tableColumn id="6" xr3:uid="{DB87CF91-C19E-4EFE-81C5-A1D508082E9F}" name="Subtotal Mensual" dataDxfId="413">
      <calculatedColumnFormula>+IF(F13="","",F13*C13)</calculatedColumnFormula>
    </tableColumn>
  </tableColumns>
  <tableStyleInfo name="TableStyleLight20" showFirstColumn="0" showLastColumn="0" showRowStripes="1" showColumnStripes="0"/>
</table>
</file>

<file path=xl/tables/table1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53980EC-3940-4375-8D5C-220D80DA8729}" name="Tabla5" displayName="Tabla5" ref="A39:H58" totalsRowShown="0">
  <autoFilter ref="A39:H58" xr:uid="{D53980EC-3940-4375-8D5C-220D80DA8729}"/>
  <tableColumns count="8">
    <tableColumn id="1" xr3:uid="{851B2625-1F58-4BA4-BC4C-CDCA7BA73829}" name="Equipo "/>
    <tableColumn id="2" xr3:uid="{E3E3E804-5E10-45A8-83D4-D042A7E68DA9}" name="Cantidad"/>
    <tableColumn id="3" xr3:uid="{3DF5E3AF-9177-4ABC-B0FE-E12B19E33908}" name="Valor mensual" dataDxfId="412">
      <calculatedColumnFormula>IF(Tabla5[[#This Row],[Equipo ]]="","",INDEX(V_MENSUAL,MATCH(Tabla5[[#This Row],[Equipo ]],LISTA_MAQUINARIA,0)))</calculatedColumnFormula>
    </tableColumn>
    <tableColumn id="4" xr3:uid="{ED24F240-0959-48E7-B5F4-5863128E362E}" name="Combustible Hora ">
      <calculatedColumnFormula>IF(Tabla5[[#This Row],[Equipo ]]="","",INDEX(CONSUMO_COMBUSTIBLE_H,MATCH(Tabla5[[#This Row],[Equipo ]],LISTA_MAQUINARIA,0)))</calculatedColumnFormula>
    </tableColumn>
    <tableColumn id="5" xr3:uid="{6F8F4A7B-AF30-4B2E-A1DE-AB0A76A72A2C}" name="Valor galon" dataDxfId="411">
      <calculatedColumnFormula>IF(Tabla5[[#This Row],[Equipo ]]="","",INDEX(V_GALON,MATCH(Tabla5[[#This Row],[Equipo ]],LISTA_MAQUINARIA,0)))</calculatedColumnFormula>
    </tableColumn>
    <tableColumn id="6" xr3:uid="{3727D69A-CA92-472C-8307-2931CC2E8185}" name="Horas mes" dataDxfId="410"/>
    <tableColumn id="7" xr3:uid="{4C40E1E0-FCB2-4B12-9C06-F7E83E113446}" name="Valor mensual + Combustible" dataDxfId="409">
      <calculatedColumnFormula>IF(Tabla5[[#This Row],[Equipo ]]="","",Tabla5[[#This Row],[Valor mensual]]+Tabla5[[#This Row],[Combustible Hora ]]*Tabla5[[#This Row],[Valor galon]]*Tabla5[[#This Row],[Horas mes]])</calculatedColumnFormula>
    </tableColumn>
    <tableColumn id="8" xr3:uid="{9F073B13-899B-4905-A278-64C098842023}" name="Subtotal maquianria y equipo" dataDxfId="408">
      <calculatedColumnFormula>IF(Tabla5[[#This Row],[Valor mensual + Combustible]]="","",Tabla5[[#This Row],[Valor mensual + Combustible]]*Tabla5[[#This Row],[Cantidad]])</calculatedColumnFormula>
    </tableColumn>
  </tableColumns>
  <tableStyleInfo name="TableStyleMedium2" showFirstColumn="0" showLastColumn="0" showRowStripes="1" showColumnStripes="0"/>
</table>
</file>

<file path=xl/tables/table1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C3AF84A-3007-4CD5-B6BF-5F5F0792E095}" name="Tabla6" displayName="Tabla6" ref="C63:F66" totalsRowShown="0">
  <autoFilter ref="C63:F66" xr:uid="{1C3AF84A-3007-4CD5-B6BF-5F5F0792E095}"/>
  <tableColumns count="4">
    <tableColumn id="1" xr3:uid="{2148A438-76A2-44C0-B407-1E36531BD52C}" name="Transporte "/>
    <tableColumn id="2" xr3:uid="{848F9F69-F543-4DBD-BC28-E67CBC1842BA}" name="cantidad " dataDxfId="407">
      <calculatedColumnFormula>2+3</calculatedColumnFormula>
    </tableColumn>
    <tableColumn id="3" xr3:uid="{D2373D33-1474-472A-95C0-12275651B5F0}" name="Valor unitario "/>
    <tableColumn id="4" xr3:uid="{B82A5C45-4437-41B7-8218-92A1F47C053F}" name="Valor total">
      <calculatedColumnFormula>+Tabla6[[#This Row],[Valor unitario ]]*Tabla6[[#This Row],[cantidad ]]</calculatedColumnFormula>
    </tableColumn>
  </tableColumns>
  <tableStyleInfo name="TableStyleMedium2" showFirstColumn="0" showLastColumn="0" showRowStripes="1" showColumnStripes="0"/>
</table>
</file>

<file path=xl/tables/table1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93F132FB-9209-475F-A171-C62F62A14B0A}" name="Tabla347" displayName="Tabla347" ref="L12:Q34" totalsRowShown="0">
  <autoFilter ref="L12:Q34" xr:uid="{93F132FB-9209-475F-A171-C62F62A14B0A}"/>
  <tableColumns count="6">
    <tableColumn id="1" xr3:uid="{DB60C6F3-A29B-4E8C-A995-B7E618CBCE21}" name="Personal" dataDxfId="406"/>
    <tableColumn id="2" xr3:uid="{8397DF74-35A6-43E0-824C-07A6A590F4FD}" name="Cantidad" dataDxfId="405"/>
    <tableColumn id="3" xr3:uid="{058268A9-6C8D-4579-8464-8F914A1D7C8F}" name="Sueldo base" dataDxfId="404">
      <calculatedColumnFormula>+IF(L13="","",INDEX(V_MANODEOBRA_MENSUAL,MATCH(L13,L_PERSONAL,0)))</calculatedColumnFormula>
    </tableColumn>
    <tableColumn id="4" xr3:uid="{418CB521-8AE5-4ADC-8514-8077B60789EF}" name="Factor prestacional">
      <calculatedColumnFormula>+IF(N13="","",INDEX(F_PRESTACIONAL,MATCH(L13,L_PERSONAL,0)))</calculatedColumnFormula>
    </tableColumn>
    <tableColumn id="5" xr3:uid="{585E236B-A545-4A3D-A169-63BD49426C0F}" name="Valor mas factor prestacional">
      <calculatedColumnFormula>+IF(N13="","",O13*N13)</calculatedColumnFormula>
    </tableColumn>
    <tableColumn id="6" xr3:uid="{989874A5-4D10-46C7-B596-F27AC58D548E}" name="Valor mensual">
      <calculatedColumnFormula>+IF(P13="","",P13*M13)</calculatedColumnFormula>
    </tableColumn>
  </tableColumns>
  <tableStyleInfo name="TableStyleLight20" showFirstColumn="0" showLastColumn="0" showRowStripes="1" showColumnStripes="0"/>
</table>
</file>

<file path=xl/tables/table1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9B52293F-BD95-4BCF-AA93-E1D7F3B78D7D}" name="Tabla548" displayName="Tabla548" ref="K39:R58" totalsRowShown="0">
  <autoFilter ref="K39:R58" xr:uid="{9B52293F-BD95-4BCF-AA93-E1D7F3B78D7D}"/>
  <tableColumns count="8">
    <tableColumn id="1" xr3:uid="{DE9E793C-0847-4FE7-BBE9-ECE7CB8A4EE4}" name="Equipo " dataDxfId="403"/>
    <tableColumn id="2" xr3:uid="{1DE90C39-0011-4E7C-86B9-1B63EC1DFD67}" name="Cantidad" dataDxfId="402"/>
    <tableColumn id="3" xr3:uid="{F6E539DE-ED25-48F7-93A3-F594BDEA176F}" name="Valor mensual" dataDxfId="401">
      <calculatedColumnFormula array="1">IF(Tabla548[[#This Row],[Equipo ]]="","",INDEX(V_MENSUAL,MATCH(Tabla548[[#This Row],[Equipo ]],LISTA_MAQUINARIA,0)))</calculatedColumnFormula>
    </tableColumn>
    <tableColumn id="4" xr3:uid="{5102B781-EC97-407E-A707-F7CF75B1B5EE}" name="Combustible Hora " dataDxfId="400">
      <calculatedColumnFormula>IF(Tabla548[[#This Row],[Equipo ]]="","",INDEX(CONSUMO_COMBUSTIBLE_H,MATCH(Tabla548[[#This Row],[Equipo ]],LISTA_MAQUINARIA,0)))</calculatedColumnFormula>
    </tableColumn>
    <tableColumn id="5" xr3:uid="{C42F58B6-F3D2-4F49-9E42-2ACAE75E675B}" name="Valor galon" dataDxfId="399">
      <calculatedColumnFormula>IF(Tabla548[[#This Row],[Equipo ]]="","",INDEX(V_GALON,MATCH(Tabla548[[#This Row],[Equipo ]],LISTA_MAQUINARIA,0)))</calculatedColumnFormula>
    </tableColumn>
    <tableColumn id="6" xr3:uid="{57FA3749-1B0E-4FA1-B518-542DC87CE1DC}" name="Horas mes" dataDxfId="398"/>
    <tableColumn id="7" xr3:uid="{B3ACE5B2-E0CA-409F-9EFD-7664BF6FC68C}" name="Valor mensual + Combustible" dataDxfId="397">
      <calculatedColumnFormula>IF(Tabla548[[#This Row],[Equipo ]]="","",Tabla548[[#This Row],[Valor mensual]]+Tabla548[[#This Row],[Combustible Hora ]]*Tabla548[[#This Row],[Valor galon]]*Tabla548[[#This Row],[Horas mes]])</calculatedColumnFormula>
    </tableColumn>
    <tableColumn id="8" xr3:uid="{92C7A54D-1B88-43F4-9534-EC6358889197}" name="Valor Total" dataDxfId="396">
      <calculatedColumnFormula>IF(Tabla548[[#This Row],[Valor mensual + Combustible]]="","",Tabla548[[#This Row],[Valor mensual + Combustible]]*Tabla548[[#This Row],[Cantidad]])</calculatedColumnFormula>
    </tableColumn>
  </tableColumns>
  <tableStyleInfo name="TableStyleMedium2" showFirstColumn="0" showLastColumn="0" showRowStripes="1" showColumnStripes="0"/>
</table>
</file>

<file path=xl/tables/table1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3EDA810C-D82E-4924-ADCD-98EBE45CE2DA}" name="Tabla649" displayName="Tabla649" ref="M67:P70" totalsRowShown="0">
  <autoFilter ref="M67:P70" xr:uid="{3EDA810C-D82E-4924-ADCD-98EBE45CE2DA}"/>
  <tableColumns count="4">
    <tableColumn id="1" xr3:uid="{C5698ACA-FC7F-4750-AEC1-8E52A62CFDC0}" name="Transporte " dataDxfId="395"/>
    <tableColumn id="2" xr3:uid="{29ACFCBB-2ED3-4E11-B0A7-AE9C71D604B9}" name="cantidad "/>
    <tableColumn id="3" xr3:uid="{171FC4EE-455E-40C9-BB9C-D22F2A9D97AE}" name="Valor unitario " dataDxfId="394"/>
    <tableColumn id="4" xr3:uid="{C0199905-5BBF-4E6D-9F1C-69BBAB2EC891}" name="Valor total" dataDxfId="393">
      <calculatedColumnFormula>+Tabla649[[#This Row],[Valor unitario ]]*Tabla649[[#This Row],[cantidad ]]</calculatedColumnFormula>
    </tableColumn>
  </tableColumns>
  <tableStyleInfo name="TableStyleMedium2" showFirstColumn="0" showLastColumn="0" showRowStripes="1" showColumnStripes="0"/>
</table>
</file>

<file path=xl/tables/table1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688EF152-7084-4BF8-814F-8E72B2A2391B}" name="Tabla350" displayName="Tabla350" ref="V12:AA34" totalsRowShown="0">
  <autoFilter ref="V12:AA34" xr:uid="{688EF152-7084-4BF8-814F-8E72B2A2391B}"/>
  <tableColumns count="6">
    <tableColumn id="1" xr3:uid="{66606E7E-2355-4879-BD9D-F58FBCC589D2}" name="Personal" dataDxfId="392"/>
    <tableColumn id="2" xr3:uid="{AD0C1614-31AE-4B9A-BC3D-F10D6F7608A2}" name="Cantidad" dataDxfId="391"/>
    <tableColumn id="3" xr3:uid="{37F47434-45D6-4842-9E97-E992B3C31EC5}" name="Sueldo base" dataDxfId="390">
      <calculatedColumnFormula>+IF(V13="","",INDEX(V_MANODEOBRA_MENSUAL,MATCH(V13,L_PERSONAL,0)))</calculatedColumnFormula>
    </tableColumn>
    <tableColumn id="4" xr3:uid="{8CD48222-65DC-4729-B97F-A5C56984B90F}" name="Factor prestacional" dataDxfId="389">
      <calculatedColumnFormula>+IF(X13="","",INDEX(F_PRESTACIONAL,MATCH(V13,L_PERSONAL,0)))</calculatedColumnFormula>
    </tableColumn>
    <tableColumn id="5" xr3:uid="{C51C3029-ABA0-41A8-9247-D24F6AA73001}" name="Valor mas factor prestacional" dataDxfId="388">
      <calculatedColumnFormula>+IF(X13="","",Y13*X13)</calculatedColumnFormula>
    </tableColumn>
    <tableColumn id="6" xr3:uid="{4B6BC45B-6415-4647-A692-BC0950D11275}" name="Valor mensual" dataDxfId="387">
      <calculatedColumnFormula>+IF(Z13="","",Z13*W13)</calculatedColumnFormula>
    </tableColumn>
  </tableColumns>
  <tableStyleInfo name="TableStyleLight20" showFirstColumn="0" showLastColumn="0" showRowStripes="1" showColumnStripes="0"/>
</table>
</file>

<file path=xl/tables/table1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88674F15-B5EF-4350-AD0A-CCBAD9D7DDC5}" name="Tabla551" displayName="Tabla551" ref="U39:AB58" totalsRowShown="0">
  <autoFilter ref="U39:AB58" xr:uid="{88674F15-B5EF-4350-AD0A-CCBAD9D7DDC5}"/>
  <tableColumns count="8">
    <tableColumn id="1" xr3:uid="{D01C5FA6-4DD2-4D3B-8F35-50F2FF7A0407}" name="Equipo " dataDxfId="386"/>
    <tableColumn id="2" xr3:uid="{B49D1028-532D-4B65-A0FC-ADC999C6E6E9}" name="Cantidad" dataDxfId="385"/>
    <tableColumn id="3" xr3:uid="{9067ECAF-0DB3-4A96-93F8-55FFC1E70C99}" name="Valor mensual" dataDxfId="384">
      <calculatedColumnFormula>IF(Tabla551[[#This Row],[Equipo ]]="","",INDEX(V_MENSUAL,MATCH(Tabla551[[#This Row],[Equipo ]],LISTA_MAQUINARIA,0)))</calculatedColumnFormula>
    </tableColumn>
    <tableColumn id="4" xr3:uid="{BBB5DB08-F480-4CA8-A991-8DD2CA74430F}" name="Combustible Hora " dataDxfId="383">
      <calculatedColumnFormula>IF(Tabla551[[#This Row],[Equipo ]]="","",INDEX(CONSUMO_COMBUSTIBLE_H,MATCH(Tabla551[[#This Row],[Equipo ]],LISTA_MAQUINARIA,0)))</calculatedColumnFormula>
    </tableColumn>
    <tableColumn id="5" xr3:uid="{A55E107A-0877-4E44-8D18-9F6779ECA95D}" name="Valor galon" dataDxfId="382">
      <calculatedColumnFormula>IF(Tabla551[[#This Row],[Equipo ]]="","",INDEX(V_GALON,MATCH(Tabla551[[#This Row],[Equipo ]],LISTA_MAQUINARIA,0)))</calculatedColumnFormula>
    </tableColumn>
    <tableColumn id="6" xr3:uid="{F373EB5A-E1C6-4C45-B1B2-E19EC7F90EA6}" name="Horas mes" dataDxfId="381"/>
    <tableColumn id="7" xr3:uid="{8674212C-5DDC-41B6-94E4-94CA99C19392}" name="Valor mensual + Combustible" dataDxfId="380">
      <calculatedColumnFormula>IF(Tabla551[[#This Row],[Equipo ]]="","",Tabla551[[#This Row],[Valor mensual]]+Tabla551[[#This Row],[Combustible Hora ]]*Tabla551[[#This Row],[Valor galon]]*Tabla551[[#This Row],[Horas mes]])</calculatedColumnFormula>
    </tableColumn>
    <tableColumn id="8" xr3:uid="{5690017F-CD5E-4D6E-ADE2-9E6BA531DD7A}" name="Valor Total" dataDxfId="379">
      <calculatedColumnFormula>IF(Tabla551[[#This Row],[Valor mensual + Combustible]]="","",Tabla551[[#This Row],[Valor mensual + Combustible]]*Tabla551[[#This Row],[Cantidad]])</calculatedColumnFormula>
    </tableColumn>
  </tableColumns>
  <tableStyleInfo name="TableStyleMedium2" showFirstColumn="0" showLastColumn="0" showRowStripes="1" showColumnStripes="0"/>
</table>
</file>

<file path=xl/tables/table1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DD5F7FF4-770B-44AC-9D86-8464318171BB}" name="Tabla652" displayName="Tabla652" ref="W67:Z70" totalsRowShown="0">
  <autoFilter ref="W67:Z70" xr:uid="{DD5F7FF4-770B-44AC-9D86-8464318171BB}"/>
  <tableColumns count="4">
    <tableColumn id="1" xr3:uid="{C896F5D0-B4F9-4BEF-A3F7-18391BB6AD0D}" name="Transporte " dataDxfId="378"/>
    <tableColumn id="2" xr3:uid="{F60F1AD0-415B-41A1-B7E6-7BC21F7C28E6}" name="cantidad "/>
    <tableColumn id="3" xr3:uid="{AD2E1D8C-A066-4647-AD95-D177CEA3150A}" name="Valor unitario " dataDxfId="377"/>
    <tableColumn id="4" xr3:uid="{67D1FB24-4A48-4AFF-BB50-2301D8B53ADA}" name="Valor total" dataDxfId="376">
      <calculatedColumnFormula>+Tabla652[[#This Row],[Valor unitario ]]*Tabla652[[#This Row],[cantidad ]]</calculatedColumnFormula>
    </tableColumn>
  </tableColumns>
  <tableStyleInfo name="TableStyleMedium2" showFirstColumn="0" showLastColumn="0" showRowStripes="1" showColumnStripes="0"/>
</table>
</file>

<file path=xl/tables/table1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26FF3568-73DB-44A1-94AA-36BEFFAA2F51}" name="Tabla353" displayName="Tabla353" ref="AE12:AJ34" totalsRowShown="0">
  <autoFilter ref="AE12:AJ34" xr:uid="{26FF3568-73DB-44A1-94AA-36BEFFAA2F51}"/>
  <tableColumns count="6">
    <tableColumn id="1" xr3:uid="{DC3A4798-8A5A-428D-9B88-CE612CD70A4F}" name="Personal" dataDxfId="375"/>
    <tableColumn id="2" xr3:uid="{EEC8F147-5ACF-461A-ADEE-82BECDA3A56B}" name="Cantidad" dataDxfId="374"/>
    <tableColumn id="3" xr3:uid="{1AEA83C2-F4D3-48A4-A160-24E533C4F06F}" name="Sueldo base" dataDxfId="373">
      <calculatedColumnFormula>+IF(AE13="","",INDEX(V_MANODEOBRA_MENSUAL,MATCH(AE13,L_PERSONAL,0)))</calculatedColumnFormula>
    </tableColumn>
    <tableColumn id="4" xr3:uid="{4092986B-D382-4D82-BC30-ED094DC870EC}" name="Factor prestacional" dataDxfId="372">
      <calculatedColumnFormula>+IF(AG13="","",INDEX(F_PRESTACIONAL,MATCH(AE13,L_PERSONAL,0)))</calculatedColumnFormula>
    </tableColumn>
    <tableColumn id="5" xr3:uid="{0CB61D58-B19B-486D-921C-16B75C42DF2A}" name="Valor mas factor prestacional" dataDxfId="371">
      <calculatedColumnFormula>+IF(AG13="","",AH13*AG13)</calculatedColumnFormula>
    </tableColumn>
    <tableColumn id="6" xr3:uid="{4B2317CA-CB9E-493B-AEB8-16EE1F09CA58}" name="Valor mensual" dataDxfId="370">
      <calculatedColumnFormula>+IF(AI13="","",AI13*AF13)</calculatedColumnFormula>
    </tableColumn>
  </tableColumns>
  <tableStyleInfo name="TableStyleLight20" showFirstColumn="0" showLastColumn="0" showRowStripes="1" showColumnStripes="0"/>
</table>
</file>

<file path=xl/tables/table1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025ED482-3598-43C2-A48C-578275D876E8}" name="Tabla554" displayName="Tabla554" ref="AD39:AK57" totalsRowShown="0">
  <autoFilter ref="AD39:AK57" xr:uid="{025ED482-3598-43C2-A48C-578275D876E8}"/>
  <tableColumns count="8">
    <tableColumn id="1" xr3:uid="{41566CAB-D96B-4470-8DDC-0584011914B3}" name="Equipo " dataDxfId="369"/>
    <tableColumn id="2" xr3:uid="{E8CFB9FE-91F2-4B0F-8C8C-742E141B0DC3}" name="Cantidad" dataDxfId="368"/>
    <tableColumn id="3" xr3:uid="{E79DEB8E-62FF-4FCF-AE44-764F5DC3E931}" name="Valor mensual" dataDxfId="367">
      <calculatedColumnFormula>IF(Tabla554[[#This Row],[Equipo ]]="","",INDEX(V_MENSUAL,MATCH(Tabla554[[#This Row],[Equipo ]],LISTA_MAQUINARIA,0)))</calculatedColumnFormula>
    </tableColumn>
    <tableColumn id="4" xr3:uid="{07EF3D43-4F90-4D3C-B30C-9B9DF7357AC4}" name="Combustible Hora " dataDxfId="366">
      <calculatedColumnFormula>IF(Tabla554[[#This Row],[Equipo ]]="","",INDEX(CONSUMO_COMBUSTIBLE_H,MATCH(Tabla554[[#This Row],[Equipo ]],LISTA_MAQUINARIA,0)))</calculatedColumnFormula>
    </tableColumn>
    <tableColumn id="5" xr3:uid="{6D148119-209B-4B87-9037-6DEA1B0F0C37}" name="Valor galon" dataDxfId="365">
      <calculatedColumnFormula>IF(Tabla554[[#This Row],[Equipo ]]="","",INDEX(V_GALON,MATCH(Tabla554[[#This Row],[Equipo ]],LISTA_MAQUINARIA,0)))</calculatedColumnFormula>
    </tableColumn>
    <tableColumn id="6" xr3:uid="{5A162BD5-58B1-43A7-AA01-F7F18173B422}" name="Horas mes" dataDxfId="364"/>
    <tableColumn id="7" xr3:uid="{88106EA8-31B7-4A58-9313-44706C8A49CD}" name="Valor mensual + Combustible" dataDxfId="363">
      <calculatedColumnFormula>IF(Tabla554[[#This Row],[Equipo ]]="","",Tabla554[[#This Row],[Valor mensual]]+Tabla554[[#This Row],[Combustible Hora ]]*Tabla554[[#This Row],[Valor galon]]*Tabla554[[#This Row],[Horas mes]])</calculatedColumnFormula>
    </tableColumn>
    <tableColumn id="8" xr3:uid="{4EBB915D-8614-4D1A-88C8-6D7A6676494E}" name="Valor Total" dataDxfId="362">
      <calculatedColumnFormula>IF(Tabla554[[#This Row],[Valor mensual + Combustible]]="","",Tabla554[[#This Row],[Valor mensual + Combustible]]*Tabla554[[#This Row],[Cantidad]])</calculatedColumnFormula>
    </tableColumn>
  </tableColumns>
  <tableStyleInfo name="TableStyleMedium2" showFirstColumn="0" showLastColumn="0" showRowStripes="1" showColumnStripes="0"/>
</table>
</file>

<file path=xl/tables/table1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10F4C510-7E3A-4765-A4F3-6B10CDB3E588}" name="Tabla655" displayName="Tabla655" ref="AF67:AI70" totalsRowShown="0">
  <autoFilter ref="AF67:AI70" xr:uid="{10F4C510-7E3A-4765-A4F3-6B10CDB3E588}"/>
  <tableColumns count="4">
    <tableColumn id="1" xr3:uid="{CE077EF1-C7CB-429A-8B83-B7C44A719816}" name="Transporte "/>
    <tableColumn id="2" xr3:uid="{A8022A3B-F5EA-49FA-BBEA-77F2634AB053}" name="cantidad "/>
    <tableColumn id="3" xr3:uid="{16BA589D-9FD4-425E-9412-6B7F8837FC98}" name="Valor unitario " dataDxfId="361"/>
    <tableColumn id="4" xr3:uid="{49C521ED-AF03-4E7E-BEAF-67206CF53965}" name="Valor total" dataDxfId="360">
      <calculatedColumnFormula>+Tabla655[[#This Row],[Valor unitario ]]*Tabla655[[#This Row],[cantidad ]]</calculatedColumnFormula>
    </tableColumn>
  </tableColumns>
  <tableStyleInfo name="TableStyleMedium2" showFirstColumn="0" showLastColumn="0" showRowStripes="1" showColumnStripes="0"/>
</table>
</file>

<file path=xl/tables/table1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10BCEE44-870F-49D2-A1D0-BE8F073A3DC6}" name="Tabla356" displayName="Tabla356" ref="AO12:AT30" totalsRowShown="0">
  <autoFilter ref="AO12:AT30" xr:uid="{10BCEE44-870F-49D2-A1D0-BE8F073A3DC6}"/>
  <tableColumns count="6">
    <tableColumn id="1" xr3:uid="{45882E9E-7131-4B27-9070-0E86D354B119}" name="Personal" dataDxfId="359"/>
    <tableColumn id="2" xr3:uid="{742BD730-3474-4222-8160-94B9D53BFFE2}" name="Cantidad" dataDxfId="358"/>
    <tableColumn id="3" xr3:uid="{275AA325-123D-4B52-9461-A04B88B15DA4}" name="Sueldo base" dataDxfId="357">
      <calculatedColumnFormula>+IF(AO13="","",INDEX(V_MANODEOBRA_MENSUAL,MATCH(AO13,L_PERSONAL,0)))</calculatedColumnFormula>
    </tableColumn>
    <tableColumn id="4" xr3:uid="{98CD4253-3D9D-415F-BB38-7F67A8194A12}" name="Factor prestacional" dataDxfId="356">
      <calculatedColumnFormula>+IF(AQ13="","",INDEX(F_PRESTACIONAL,MATCH(AO13,L_PERSONAL,0)))</calculatedColumnFormula>
    </tableColumn>
    <tableColumn id="5" xr3:uid="{8B1F9071-C753-4D0F-A096-AD7369EB16BD}" name="Valor mas factor prestacional" dataDxfId="355">
      <calculatedColumnFormula>+IF(AQ13="","",AR13*AQ13)</calculatedColumnFormula>
    </tableColumn>
    <tableColumn id="6" xr3:uid="{F7C080CA-78C0-4A97-8436-FFC9E5D876FC}" name="Valor mensual" dataDxfId="354">
      <calculatedColumnFormula>+IF(AS13="","",AS13*AP13)</calculatedColumnFormula>
    </tableColumn>
  </tableColumns>
  <tableStyleInfo name="TableStyleLight20" showFirstColumn="0" showLastColumn="0" showRowStripes="1" showColumnStripes="0"/>
</table>
</file>

<file path=xl/tables/table1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1CE81462-C4C2-4378-BD00-8A55D7FA95AC}" name="Tabla557" displayName="Tabla557" ref="AN39:AU53" totalsRowShown="0">
  <autoFilter ref="AN39:AU53" xr:uid="{1CE81462-C4C2-4378-BD00-8A55D7FA95AC}"/>
  <tableColumns count="8">
    <tableColumn id="1" xr3:uid="{E2BE5B9E-BFDC-4A39-9912-941CA85EB707}" name="Equipo " dataDxfId="353"/>
    <tableColumn id="2" xr3:uid="{EE567048-6C5F-44EE-8BF2-A0A8C3FDC31C}" name="Cantidad" dataDxfId="352"/>
    <tableColumn id="3" xr3:uid="{2B282301-344A-4A70-88D0-4D8679A5EFCF}" name="Valor mensual" dataDxfId="351">
      <calculatedColumnFormula>IF(Tabla557[[#This Row],[Equipo ]]="","",INDEX(V_MENSUAL,MATCH(Tabla557[[#This Row],[Equipo ]],LISTA_MAQUINARIA,0)))</calculatedColumnFormula>
    </tableColumn>
    <tableColumn id="4" xr3:uid="{BF6ED554-0972-4FC6-8EA7-B889FFA638DB}" name="Combustible Hora " dataDxfId="350">
      <calculatedColumnFormula>IF(Tabla557[[#This Row],[Equipo ]]="","",INDEX(CONSUMO_COMBUSTIBLE_H,MATCH(Tabla557[[#This Row],[Equipo ]],LISTA_MAQUINARIA,0)))</calculatedColumnFormula>
    </tableColumn>
    <tableColumn id="5" xr3:uid="{495A0742-A170-4E7B-907F-59B618C82D3C}" name="Valor galon" dataDxfId="349">
      <calculatedColumnFormula>IF(Tabla557[[#This Row],[Equipo ]]="","",INDEX(V_GALON,MATCH(Tabla557[[#This Row],[Equipo ]],LISTA_MAQUINARIA,0)))</calculatedColumnFormula>
    </tableColumn>
    <tableColumn id="6" xr3:uid="{44EDEE27-E271-42A2-B7A4-91B91FAC4018}" name="Horas mes" dataDxfId="348"/>
    <tableColumn id="7" xr3:uid="{A5ADB5B0-9B5B-43DB-8BC9-D0F4CE154BC8}" name="Valor mensual + Combustible" dataDxfId="347">
      <calculatedColumnFormula>IF(Tabla557[[#This Row],[Equipo ]]="","",Tabla557[[#This Row],[Valor mensual]]+Tabla557[[#This Row],[Combustible Hora ]]*Tabla557[[#This Row],[Valor galon]]*Tabla557[[#This Row],[Horas mes]])</calculatedColumnFormula>
    </tableColumn>
    <tableColumn id="8" xr3:uid="{B275ABE1-B72E-4010-9504-8F91D2F2EE47}" name="Valor Total" dataDxfId="346">
      <calculatedColumnFormula>IF(Tabla557[[#This Row],[Valor mensual + Combustible]]="","",Tabla557[[#This Row],[Valor mensual + Combustible]]*Tabla557[[#This Row],[Cantidad]])</calculatedColumnFormula>
    </tableColumn>
  </tableColumns>
  <tableStyleInfo name="TableStyleMedium2" showFirstColumn="0" showLastColumn="0" showRowStripes="1" showColumnStripes="0"/>
</table>
</file>

<file path=xl/tables/table1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818297B6-7909-4909-B413-B38401FE3EB9}" name="Tabla658" displayName="Tabla658" ref="AP63:AS66" totalsRowShown="0">
  <autoFilter ref="AP63:AS66" xr:uid="{818297B6-7909-4909-B413-B38401FE3EB9}"/>
  <tableColumns count="4">
    <tableColumn id="1" xr3:uid="{9A36551E-A25F-4E61-9A57-0554F4C217EF}" name="Transporte "/>
    <tableColumn id="2" xr3:uid="{A8A22734-FDC4-4048-87B0-427A03F44A4F}" name="cantidad "/>
    <tableColumn id="3" xr3:uid="{34FFA794-266D-45E7-B7C8-00678E888FC9}" name="Valor unitario " dataDxfId="345"/>
    <tableColumn id="4" xr3:uid="{834CB492-8E20-4A08-A1AB-AD760C26A23B}" name="Valor total" dataDxfId="344">
      <calculatedColumnFormula>+Tabla658[[#This Row],[Valor unitario ]]*Tabla658[[#This Row],[cantidad ]]</calculatedColumnFormula>
    </tableColumn>
  </tableColumns>
  <tableStyleInfo name="TableStyleMedium2" showFirstColumn="0" showLastColumn="0" showRowStripes="1" showColumnStripes="0"/>
</table>
</file>

<file path=xl/tables/table1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9E02BF38-2147-4445-ABE4-64F0E7A547F3}" name="Tabla359" displayName="Tabla359" ref="AY12:BD30" totalsRowShown="0">
  <autoFilter ref="AY12:BD30" xr:uid="{9E02BF38-2147-4445-ABE4-64F0E7A547F3}"/>
  <tableColumns count="6">
    <tableColumn id="1" xr3:uid="{DF1E3B7A-EC81-4583-87CA-CF71DA9F4496}" name="Personal" dataDxfId="343"/>
    <tableColumn id="2" xr3:uid="{3F26137A-CE2B-48BB-9411-6A7520BED0DE}" name="Cantidad" dataDxfId="342"/>
    <tableColumn id="3" xr3:uid="{DC2F6EB5-1A78-4604-B927-ED202AD13927}" name="Sueldo base" dataDxfId="341">
      <calculatedColumnFormula>+IF(AY13="","",INDEX(V_MANODEOBRA_MENSUAL,MATCH(AY13,L_PERSONAL,0)))</calculatedColumnFormula>
    </tableColumn>
    <tableColumn id="4" xr3:uid="{2AF9D4EF-8666-4247-AA53-B0E4EC739B4B}" name="Factor prestacional" dataDxfId="340">
      <calculatedColumnFormula>+IF(BA13="","",INDEX(F_PRESTACIONAL,MATCH(AY13,L_PERSONAL,0)))</calculatedColumnFormula>
    </tableColumn>
    <tableColumn id="5" xr3:uid="{67E306C8-93D5-4647-A61D-BE485780FC33}" name="Valor mas factor prestacional" dataDxfId="339">
      <calculatedColumnFormula>+IF(BA13="","",BB13*BA13)</calculatedColumnFormula>
    </tableColumn>
    <tableColumn id="6" xr3:uid="{4A80D546-E2DD-4380-AE77-416A63C0897F}" name="Valor mensual" dataDxfId="338">
      <calculatedColumnFormula>+IF(BC13="","",BC13*AZ13)</calculatedColumnFormula>
    </tableColumn>
  </tableColumns>
  <tableStyleInfo name="TableStyleLight20" showFirstColumn="0" showLastColumn="0" showRowStripes="1" showColumnStripes="0"/>
</table>
</file>

<file path=xl/tables/table1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60F83B09-42F5-4D2C-A9CA-F0A2F25DF456}" name="Tabla560" displayName="Tabla560" ref="AX39:BE53" totalsRowShown="0">
  <autoFilter ref="AX39:BE53" xr:uid="{60F83B09-42F5-4D2C-A9CA-F0A2F25DF456}"/>
  <tableColumns count="8">
    <tableColumn id="1" xr3:uid="{68C697D6-F964-4DFE-A733-C53D15608E80}" name="Equipo " dataDxfId="337"/>
    <tableColumn id="2" xr3:uid="{5F7955E2-9A94-4E46-8FF0-DE7E9CEDF510}" name="Cantidad" dataDxfId="336"/>
    <tableColumn id="3" xr3:uid="{95CB5EB9-0354-415F-ADB0-8BDA28E468F9}" name="Valor mensual" dataDxfId="335">
      <calculatedColumnFormula>IF(Tabla560[[#This Row],[Equipo ]]="","",INDEX(V_MENSUAL,MATCH(Tabla560[[#This Row],[Equipo ]],LISTA_MAQUINARIA,0)))</calculatedColumnFormula>
    </tableColumn>
    <tableColumn id="4" xr3:uid="{FA107026-731F-4D05-9F21-B18F10EACDBB}" name="Combustible Hora " dataDxfId="334">
      <calculatedColumnFormula>IF(Tabla560[[#This Row],[Equipo ]]="","",INDEX(CONSUMO_COMBUSTIBLE_H,MATCH(Tabla560[[#This Row],[Equipo ]],LISTA_MAQUINARIA,0)))</calculatedColumnFormula>
    </tableColumn>
    <tableColumn id="5" xr3:uid="{79050AC2-C00F-4490-99B8-58F6B2556010}" name="Valor galon" dataDxfId="333">
      <calculatedColumnFormula>IF(Tabla560[[#This Row],[Equipo ]]="","",INDEX(V_GALON,MATCH(Tabla560[[#This Row],[Equipo ]],LISTA_MAQUINARIA,0)))</calculatedColumnFormula>
    </tableColumn>
    <tableColumn id="6" xr3:uid="{6A0B7CAD-31DA-4B45-9351-F91FB1AB2C50}" name="Horas mes" dataDxfId="332"/>
    <tableColumn id="7" xr3:uid="{A809FD7A-32F0-41F7-8EC9-0568B9740D71}" name="Valor mensual + Combustible" dataDxfId="331">
      <calculatedColumnFormula>IF(Tabla560[[#This Row],[Equipo ]]="","",Tabla560[[#This Row],[Valor mensual]]+Tabla560[[#This Row],[Combustible Hora ]]*Tabla560[[#This Row],[Valor galon]]*Tabla560[[#This Row],[Horas mes]])</calculatedColumnFormula>
    </tableColumn>
    <tableColumn id="8" xr3:uid="{B02CE635-27CA-495A-99EB-F4973BB34163}" name="Valor Total" dataDxfId="330">
      <calculatedColumnFormula>IF(Tabla560[[#This Row],[Valor mensual + Combustible]]="","",Tabla560[[#This Row],[Valor mensual + Combustible]]*Tabla560[[#This Row],[Cantidad]])</calculatedColumnFormula>
    </tableColumn>
  </tableColumns>
  <tableStyleInfo name="TableStyleMedium2" showFirstColumn="0" showLastColumn="0" showRowStripes="1" showColumnStripes="0"/>
</table>
</file>

<file path=xl/tables/table1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9E4EFFC3-0D92-44E7-8923-F1231B24FBF1}" name="Tabla661" displayName="Tabla661" ref="AZ63:BC66" totalsRowShown="0">
  <autoFilter ref="AZ63:BC66" xr:uid="{9E4EFFC3-0D92-44E7-8923-F1231B24FBF1}"/>
  <tableColumns count="4">
    <tableColumn id="1" xr3:uid="{C00F562C-3A59-496A-AB51-3577B62581B4}" name="Transporte "/>
    <tableColumn id="2" xr3:uid="{396BCA42-B8E7-40BB-BAC8-6D6CF3148FE5}" name="cantidad "/>
    <tableColumn id="3" xr3:uid="{65F50D5F-C8A8-4DCB-9711-CC05AEA68E03}" name="Valor unitario " dataDxfId="329"/>
    <tableColumn id="4" xr3:uid="{BD6D4A09-0A6A-4F24-BD98-0DD83A3F9958}" name="Valor total" dataDxfId="328">
      <calculatedColumnFormula>+Tabla661[[#This Row],[Valor unitario ]]*Tabla661[[#This Row],[cantidad ]]</calculatedColumnFormula>
    </tableColumn>
  </tableColumns>
  <tableStyleInfo name="TableStyleMedium2" showFirstColumn="0" showLastColumn="0" showRowStripes="1" showColumnStripes="0"/>
</table>
</file>

<file path=xl/tables/table1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B3AF7D3B-4CB5-4734-97C5-E8F078A4887D}" name="Tabla362" displayName="Tabla362" ref="BI12:BN30" totalsRowShown="0">
  <autoFilter ref="BI12:BN30" xr:uid="{B3AF7D3B-4CB5-4734-97C5-E8F078A4887D}"/>
  <tableColumns count="6">
    <tableColumn id="1" xr3:uid="{47ABC637-BE9E-4274-8741-789FA554CE0C}" name="Personal" dataDxfId="327"/>
    <tableColumn id="2" xr3:uid="{DAABC114-85F9-4497-A25F-7BF4779DEEBB}" name="Cantidad" dataDxfId="326"/>
    <tableColumn id="3" xr3:uid="{236B3A64-EF60-4C8E-BB59-4FB665DDA858}" name="Sueldo base" dataDxfId="325">
      <calculatedColumnFormula>+IF(BI13="","",INDEX(V_MANODEOBRA_MENSUAL,MATCH(BI13,L_PERSONAL,0)))</calculatedColumnFormula>
    </tableColumn>
    <tableColumn id="4" xr3:uid="{D88AF880-E253-4ADA-82A7-7C622A39F5AD}" name="Factor prestacional" dataDxfId="324">
      <calculatedColumnFormula>+IF(BK13="","",INDEX(F_PRESTACIONAL,MATCH(BI13,L_PERSONAL,0)))</calculatedColumnFormula>
    </tableColumn>
    <tableColumn id="5" xr3:uid="{98F31CEA-2B36-4E4C-ACD5-BACF45B4FF7A}" name="Valor mas factor prestacional" dataDxfId="323">
      <calculatedColumnFormula>+IF(BK13="","",BL13*BK13)</calculatedColumnFormula>
    </tableColumn>
    <tableColumn id="6" xr3:uid="{C4DCAAC1-BACA-4060-AF59-B84CDDCDDDE9}" name="Valor mensual" dataDxfId="322">
      <calculatedColumnFormula>+IF(BM13="","",BM13*BJ13)</calculatedColumnFormula>
    </tableColumn>
  </tableColumns>
  <tableStyleInfo name="TableStyleLight20" showFirstColumn="0" showLastColumn="0" showRowStripes="1" showColumnStripes="0"/>
</table>
</file>

<file path=xl/tables/table1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C431813B-ACDA-45A9-9ADA-EC3E3C9236ED}" name="Tabla563" displayName="Tabla563" ref="BH39:BO53" totalsRowShown="0">
  <autoFilter ref="BH39:BO53" xr:uid="{C431813B-ACDA-45A9-9ADA-EC3E3C9236ED}"/>
  <tableColumns count="8">
    <tableColumn id="1" xr3:uid="{FD740097-1D69-41E9-8341-A6D5D2468FCE}" name="Equipo " dataDxfId="321"/>
    <tableColumn id="2" xr3:uid="{205EC1C8-2470-42B5-ACDC-7FCA9FEF4249}" name="Cantidad" dataDxfId="320"/>
    <tableColumn id="3" xr3:uid="{CFF43A98-F0CD-493A-86F9-ACCF8097D189}" name="Valor mensual" dataDxfId="319">
      <calculatedColumnFormula>IF(Tabla563[[#This Row],[Equipo ]]="","",INDEX(V_MENSUAL,MATCH(Tabla563[[#This Row],[Equipo ]],LISTA_MAQUINARIA,0)))</calculatedColumnFormula>
    </tableColumn>
    <tableColumn id="4" xr3:uid="{0E2E5BB3-D98E-41E8-8FB0-A6C3184EA30A}" name="Combustible Hora " dataDxfId="318">
      <calculatedColumnFormula>IF(Tabla563[[#This Row],[Equipo ]]="","",INDEX(CONSUMO_COMBUSTIBLE_H,MATCH(Tabla563[[#This Row],[Equipo ]],LISTA_MAQUINARIA,0)))</calculatedColumnFormula>
    </tableColumn>
    <tableColumn id="5" xr3:uid="{688605A8-4970-498D-BAFD-C1657B5EBA9A}" name="Valor galon" dataDxfId="317">
      <calculatedColumnFormula>IF(Tabla563[[#This Row],[Equipo ]]="","",INDEX(V_GALON,MATCH(Tabla563[[#This Row],[Equipo ]],LISTA_MAQUINARIA,0)))</calculatedColumnFormula>
    </tableColumn>
    <tableColumn id="6" xr3:uid="{54FA4D7B-4104-4CA2-BC8E-D818B9C6AB20}" name="Horas mes" dataDxfId="316"/>
    <tableColumn id="7" xr3:uid="{5C383E9D-A59F-4EF6-BD81-0D1B38B259F9}" name="Valor mensual + Combustible" dataDxfId="315">
      <calculatedColumnFormula>IF(Tabla563[[#This Row],[Equipo ]]="","",Tabla563[[#This Row],[Valor mensual]]+Tabla563[[#This Row],[Combustible Hora ]]*Tabla563[[#This Row],[Valor galon]]*Tabla563[[#This Row],[Horas mes]])</calculatedColumnFormula>
    </tableColumn>
    <tableColumn id="8" xr3:uid="{4936601C-0FA2-4AF5-B44E-8BDFF3F273C1}" name="Valor Total" dataDxfId="314">
      <calculatedColumnFormula>IF(Tabla563[[#This Row],[Valor mensual + Combustible]]="","",Tabla563[[#This Row],[Valor mensual + Combustible]]*Tabla563[[#This Row],[Cantidad]])</calculatedColumnFormula>
    </tableColumn>
  </tableColumns>
  <tableStyleInfo name="TableStyleMedium2" showFirstColumn="0" showLastColumn="0" showRowStripes="1" showColumnStripes="0"/>
</table>
</file>

<file path=xl/tables/table1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BF4E5513-0A9C-4BE3-8114-9FFA6F6ABD5E}" name="Tabla664" displayName="Tabla664" ref="BJ63:BM66" totalsRowShown="0">
  <autoFilter ref="BJ63:BM66" xr:uid="{BF4E5513-0A9C-4BE3-8114-9FFA6F6ABD5E}"/>
  <tableColumns count="4">
    <tableColumn id="1" xr3:uid="{42134A6F-0ADE-44AB-B266-F763D1BEA8C2}" name="Transporte "/>
    <tableColumn id="2" xr3:uid="{C15875FA-1CA6-46FB-985C-7B4476E5D5DB}" name="cantidad "/>
    <tableColumn id="3" xr3:uid="{5874AD58-FACD-4A6E-9996-D178B2BA2E5C}" name="Valor unitario " dataDxfId="313"/>
    <tableColumn id="4" xr3:uid="{D4DD5299-23C3-4794-9B73-5084609DCB5F}" name="Valor total" dataDxfId="312">
      <calculatedColumnFormula>+Tabla664[[#This Row],[cantidad ]]*Tabla664[[#This Row],[Valor unitario ]]</calculatedColumnFormula>
    </tableColumn>
  </tableColumns>
  <tableStyleInfo name="TableStyleMedium2" showFirstColumn="0" showLastColumn="0" showRowStripes="1" showColumnStripes="0"/>
</table>
</file>

<file path=xl/tables/table1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8B4FA59E-AB5D-4031-B2B5-A93BC56CD7FC}" name="Tabla365" displayName="Tabla365" ref="BS12:BX30" totalsRowShown="0">
  <autoFilter ref="BS12:BX30" xr:uid="{8B4FA59E-AB5D-4031-B2B5-A93BC56CD7FC}"/>
  <tableColumns count="6">
    <tableColumn id="1" xr3:uid="{7B6F775A-9DB0-4D23-8182-04A00E6EC08D}" name="Personal" dataDxfId="311"/>
    <tableColumn id="2" xr3:uid="{396302EC-20D5-40B9-BAE2-E5443D227906}" name="Cantidad" dataDxfId="310"/>
    <tableColumn id="3" xr3:uid="{C360B530-CEDB-4347-B24B-473DE4779B59}" name="Sueldo base" dataDxfId="309">
      <calculatedColumnFormula>+IF(BS13="","",INDEX(V_MANODEOBRA_MENSUAL,MATCH(BS13,L_PERSONAL,0)))</calculatedColumnFormula>
    </tableColumn>
    <tableColumn id="4" xr3:uid="{6521C88C-4BA6-4236-97A7-29F10BDD9687}" name="Factor prestacional" dataDxfId="308">
      <calculatedColumnFormula>+IF(BU13="","",INDEX(F_PRESTACIONAL,MATCH(BS13,L_PERSONAL,0)))</calculatedColumnFormula>
    </tableColumn>
    <tableColumn id="5" xr3:uid="{B5D6C640-41CC-4BCD-ACA0-F47C387BE471}" name="Valor mas factor prestacional" dataDxfId="307">
      <calculatedColumnFormula>+IF(BU13="","",BV13*BU13)</calculatedColumnFormula>
    </tableColumn>
    <tableColumn id="6" xr3:uid="{DFFFBA3A-FB57-4C2A-A15E-27D10BB05D1C}" name="Valor mensual" dataDxfId="306">
      <calculatedColumnFormula>+IF(BW13="","",BW13*BT13)</calculatedColumnFormula>
    </tableColumn>
  </tableColumns>
  <tableStyleInfo name="TableStyleLight20" showFirstColumn="0" showLastColumn="0" showRowStripes="1" showColumnStripes="0"/>
</table>
</file>

<file path=xl/tables/table1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8373D82E-0E51-4A38-B877-573A8C009E2F}" name="Tabla566" displayName="Tabla566" ref="BR39:BY53" totalsRowShown="0">
  <autoFilter ref="BR39:BY53" xr:uid="{8373D82E-0E51-4A38-B877-573A8C009E2F}"/>
  <tableColumns count="8">
    <tableColumn id="1" xr3:uid="{3C38410A-42A3-4D07-9627-D46CF897E94D}" name="Equipo " dataDxfId="305"/>
    <tableColumn id="2" xr3:uid="{007C3DD0-3BCC-4FD2-9BCF-C24ABE91D8B6}" name="Cantidad" dataDxfId="304"/>
    <tableColumn id="3" xr3:uid="{7F837328-24A1-4DCD-9770-B737BF0E0A42}" name="Valor mensual" dataDxfId="303">
      <calculatedColumnFormula>IF(Tabla566[[#This Row],[Equipo ]]="","",INDEX(V_MENSUAL,MATCH(Tabla566[[#This Row],[Equipo ]],LISTA_MAQUINARIA,0)))</calculatedColumnFormula>
    </tableColumn>
    <tableColumn id="4" xr3:uid="{697CAD6D-8A27-4BB6-8E39-AB77576ECA5C}" name="Combustible Hora " dataDxfId="302">
      <calculatedColumnFormula>IF(Tabla566[[#This Row],[Equipo ]]="","",INDEX(CONSUMO_COMBUSTIBLE_H,MATCH(Tabla566[[#This Row],[Equipo ]],LISTA_MAQUINARIA,0)))</calculatedColumnFormula>
    </tableColumn>
    <tableColumn id="5" xr3:uid="{B3360D23-5963-4A16-B5BF-BB742E9EE17A}" name="Valor galon" dataDxfId="301">
      <calculatedColumnFormula>IF(Tabla566[[#This Row],[Equipo ]]="","",INDEX(V_GALON,MATCH(Tabla566[[#This Row],[Equipo ]],LISTA_MAQUINARIA,0)))</calculatedColumnFormula>
    </tableColumn>
    <tableColumn id="6" xr3:uid="{3554B3CF-0179-40C0-8102-30575BC8E41D}" name="Horas mes" dataDxfId="300"/>
    <tableColumn id="7" xr3:uid="{C937D1F9-02FC-4DD6-B489-60E82FF444C0}" name="Valor mensual + Combustible" dataDxfId="299">
      <calculatedColumnFormula>IF(Tabla566[[#This Row],[Equipo ]]="","",Tabla566[[#This Row],[Valor mensual]]+Tabla566[[#This Row],[Combustible Hora ]]*Tabla566[[#This Row],[Valor galon]]*Tabla566[[#This Row],[Horas mes]])</calculatedColumnFormula>
    </tableColumn>
    <tableColumn id="8" xr3:uid="{3BFEDA0A-D84E-4DF9-9BB0-A308A2ACFA32}" name="Valor Total" dataDxfId="298">
      <calculatedColumnFormula>IF(Tabla566[[#This Row],[Valor mensual + Combustible]]="","",Tabla566[[#This Row],[Valor mensual + Combustible]]*Tabla566[[#This Row],[Cantidad]])</calculatedColumnFormula>
    </tableColumn>
  </tableColumns>
  <tableStyleInfo name="TableStyleMedium2" showFirstColumn="0" showLastColumn="0" showRowStripes="1" showColumnStripes="0"/>
</table>
</file>

<file path=xl/tables/table1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AE8011B5-BB5D-4BB9-94F6-8BF32DE8439F}" name="Tabla667" displayName="Tabla667" ref="BT63:BW66" totalsRowShown="0">
  <autoFilter ref="BT63:BW66" xr:uid="{AE8011B5-BB5D-4BB9-94F6-8BF32DE8439F}"/>
  <tableColumns count="4">
    <tableColumn id="1" xr3:uid="{F8A8E2A2-1E16-452B-A506-7B2ACCD4FF76}" name="Transporte "/>
    <tableColumn id="2" xr3:uid="{1AA3AFFD-B605-4E43-9F14-D31CF0AD3EA3}" name="cantidad "/>
    <tableColumn id="3" xr3:uid="{4A766E9E-38D3-4E96-A978-CDED1B5C7380}" name="Valor unitario " dataDxfId="297"/>
    <tableColumn id="4" xr3:uid="{79586531-848B-4DB8-A82C-E4E45BFC8C1E}" name="Valor total" dataDxfId="296">
      <calculatedColumnFormula>+Tabla667[[#This Row],[Valor unitario ]]*Tabla667[[#This Row],[cantidad ]]</calculatedColumnFormula>
    </tableColumn>
  </tableColumns>
  <tableStyleInfo name="TableStyleMedium2" showFirstColumn="0" showLastColumn="0" showRowStripes="1" showColumnStripes="0"/>
</table>
</file>

<file path=xl/tables/table1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B8897577-BD84-4124-A953-706CBB23F73F}" name="Tabla368" displayName="Tabla368" ref="CC12:CH30" totalsRowShown="0">
  <autoFilter ref="CC12:CH30" xr:uid="{B8897577-BD84-4124-A953-706CBB23F73F}"/>
  <tableColumns count="6">
    <tableColumn id="1" xr3:uid="{1536E6C7-2894-404C-9CE1-B01483002314}" name="Personal" dataDxfId="295"/>
    <tableColumn id="2" xr3:uid="{443E5FEB-E7DF-433E-8B86-B0AECB01EA3A}" name="Cantidad" dataDxfId="294"/>
    <tableColumn id="3" xr3:uid="{145E2A25-E83F-4173-B7E7-F05D956C1EC1}" name="Sueldo base" dataDxfId="293">
      <calculatedColumnFormula>+IF(CC13="","",INDEX(V_MANODEOBRA_MENSUAL,MATCH(CC13,L_PERSONAL,0)))</calculatedColumnFormula>
    </tableColumn>
    <tableColumn id="4" xr3:uid="{85A96100-9ACF-42D8-8808-8B2CF99D3631}" name="Factor prestacional" dataDxfId="292">
      <calculatedColumnFormula>+IF(CE13="","",INDEX(F_PRESTACIONAL,MATCH(CC13,L_PERSONAL,0)))</calculatedColumnFormula>
    </tableColumn>
    <tableColumn id="5" xr3:uid="{B17C5E57-5030-4E98-8854-CB52E82181E6}" name="Valor mas factor prestacional" dataDxfId="291">
      <calculatedColumnFormula>+IF(CE13="","",CF13*CE13)</calculatedColumnFormula>
    </tableColumn>
    <tableColumn id="6" xr3:uid="{5B486467-CAC4-4966-9DDC-E007AAB134A7}" name="Valor mensual" dataDxfId="290">
      <calculatedColumnFormula>+IF(CG13="","",CG13*CD13)</calculatedColumnFormula>
    </tableColumn>
  </tableColumns>
  <tableStyleInfo name="TableStyleLight20" showFirstColumn="0" showLastColumn="0" showRowStripes="1" showColumnStripes="0"/>
</table>
</file>

<file path=xl/tables/table1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86384B47-A968-4DB2-A1AF-FFD98EE8B268}" name="Tabla569" displayName="Tabla569" ref="CB39:CI53" totalsRowShown="0">
  <autoFilter ref="CB39:CI53" xr:uid="{86384B47-A968-4DB2-A1AF-FFD98EE8B268}"/>
  <tableColumns count="8">
    <tableColumn id="1" xr3:uid="{D9029A6A-432E-4EB1-8F5E-213A9D4F80DE}" name="Equipo " dataDxfId="289"/>
    <tableColumn id="2" xr3:uid="{05FF41EC-3E13-4998-AE6F-32EE76F68DEF}" name="Cantidad" dataDxfId="288"/>
    <tableColumn id="3" xr3:uid="{78ACE4AA-1597-44F6-8B79-3A53B3530F9D}" name="Valor mensual" dataDxfId="287">
      <calculatedColumnFormula>IF(Tabla569[[#This Row],[Equipo ]]="","",INDEX(V_MENSUAL,MATCH(Tabla569[[#This Row],[Equipo ]],LISTA_MAQUINARIA,0)))</calculatedColumnFormula>
    </tableColumn>
    <tableColumn id="4" xr3:uid="{2FD683C2-1660-4959-B580-CFBD757A32E4}" name="Combustible Hora " dataDxfId="286">
      <calculatedColumnFormula>IF(Tabla569[[#This Row],[Equipo ]]="","",INDEX(CONSUMO_COMBUSTIBLE_H,MATCH(Tabla569[[#This Row],[Equipo ]],LISTA_MAQUINARIA,0)))</calculatedColumnFormula>
    </tableColumn>
    <tableColumn id="5" xr3:uid="{C9C0F0F3-3A94-4511-ADD9-72A2A4236213}" name="Valor galon" dataDxfId="285">
      <calculatedColumnFormula>IF(Tabla569[[#This Row],[Equipo ]]="","",INDEX(V_GALON,MATCH(Tabla569[[#This Row],[Equipo ]],LISTA_MAQUINARIA,0)))</calculatedColumnFormula>
    </tableColumn>
    <tableColumn id="6" xr3:uid="{F02A0926-5424-4BE9-8088-2C36888B0270}" name="Horas mes" dataDxfId="284"/>
    <tableColumn id="7" xr3:uid="{CF35893E-3BC7-41A0-AB45-F781E5553763}" name="Valor mensual + Combustible" dataDxfId="283">
      <calculatedColumnFormula>IF(Tabla569[[#This Row],[Equipo ]]="","",Tabla569[[#This Row],[Valor mensual]]+Tabla569[[#This Row],[Combustible Hora ]]*Tabla569[[#This Row],[Valor galon]]*Tabla569[[#This Row],[Horas mes]])</calculatedColumnFormula>
    </tableColumn>
    <tableColumn id="8" xr3:uid="{78DB5630-4AB5-47DA-AEE2-63E83EE3A40B}" name="Valor Total" dataDxfId="282">
      <calculatedColumnFormula>IF(Tabla569[[#This Row],[Valor mensual + Combustible]]="","",Tabla569[[#This Row],[Valor mensual + Combustible]]*Tabla569[[#This Row],[Cantidad]])</calculatedColumnFormula>
    </tableColumn>
  </tableColumns>
  <tableStyleInfo name="TableStyleMedium2" showFirstColumn="0" showLastColumn="0" showRowStripes="1" showColumnStripes="0"/>
</table>
</file>

<file path=xl/tables/table1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891907CA-C77A-42FA-9C90-55DCE2173770}" name="Tabla670" displayName="Tabla670" ref="CD63:CG66" totalsRowShown="0">
  <autoFilter ref="CD63:CG66" xr:uid="{891907CA-C77A-42FA-9C90-55DCE2173770}"/>
  <tableColumns count="4">
    <tableColumn id="1" xr3:uid="{B7BA19EE-B21E-477E-B031-9DB4B0EDFBA5}" name="Transporte "/>
    <tableColumn id="2" xr3:uid="{3479D41C-273C-4203-8822-A09B4361CD3F}" name="cantidad "/>
    <tableColumn id="3" xr3:uid="{736C36CC-5F42-4698-8DDF-B01A77BDF9FD}" name="Valor unitario " dataDxfId="281"/>
    <tableColumn id="4" xr3:uid="{764D6CD5-F196-4949-842C-2763124E0E22}" name="Valor total" dataDxfId="280">
      <calculatedColumnFormula>+Tabla670[[#This Row],[cantidad ]]*Tabla670[[#This Row],[Valor unitario ]]</calculatedColumnFormula>
    </tableColumn>
  </tableColumns>
  <tableStyleInfo name="TableStyleMedium2" showFirstColumn="0" showLastColumn="0" showRowStripes="1" showColumnStripes="0"/>
</table>
</file>

<file path=xl/tables/table1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FCF12397-F0AF-4365-91A1-FCDEFC3A834E}" name="Tabla371" displayName="Tabla371" ref="CM12:CR30" totalsRowShown="0">
  <autoFilter ref="CM12:CR30" xr:uid="{FCF12397-F0AF-4365-91A1-FCDEFC3A834E}"/>
  <tableColumns count="6">
    <tableColumn id="1" xr3:uid="{9C1D9101-F252-4762-9E8A-27630E972246}" name="Personal" dataDxfId="279"/>
    <tableColumn id="2" xr3:uid="{4D1C7271-013F-48A9-8188-DE42076F480D}" name="Cantidad" dataDxfId="278"/>
    <tableColumn id="3" xr3:uid="{854C8691-FD90-4559-BFBF-2E260A971E46}" name="Sueldo base" dataDxfId="277">
      <calculatedColumnFormula>+IF(CM13="","",INDEX(V_MANODEOBRA_MENSUAL,MATCH(CM13,L_PERSONAL,0)))</calculatedColumnFormula>
    </tableColumn>
    <tableColumn id="4" xr3:uid="{5F7F8F00-03BC-463B-89F5-354136D7823C}" name="Factor prestacional" dataDxfId="276">
      <calculatedColumnFormula>+IF(CO13="","",INDEX(F_PRESTACIONAL,MATCH(CM13,L_PERSONAL,0)))</calculatedColumnFormula>
    </tableColumn>
    <tableColumn id="5" xr3:uid="{005E27BD-E663-4605-8BC9-B869FC1F19EB}" name="Valor mas factor prestacional" dataDxfId="275">
      <calculatedColumnFormula>+IF(CO13="","",CP13*CO13)</calculatedColumnFormula>
    </tableColumn>
    <tableColumn id="6" xr3:uid="{2B5719B3-6D4C-4BD6-A00E-1445A842A05B}" name="Valor mensual" dataDxfId="274">
      <calculatedColumnFormula>+IF(CQ13="","",CQ13*CN13)</calculatedColumnFormula>
    </tableColumn>
  </tableColumns>
  <tableStyleInfo name="TableStyleLight20" showFirstColumn="0" showLastColumn="0" showRowStripes="1" showColumnStripes="0"/>
</table>
</file>

<file path=xl/tables/table1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 xr:uid="{B414D221-43DA-4213-A3AC-EA1096304E51}" name="Tabla572" displayName="Tabla572" ref="CL39:CS53" totalsRowShown="0">
  <autoFilter ref="CL39:CS53" xr:uid="{B414D221-43DA-4213-A3AC-EA1096304E51}"/>
  <tableColumns count="8">
    <tableColumn id="1" xr3:uid="{6295A8F4-4266-474E-978E-7869375696BF}" name="Equipo " dataDxfId="273"/>
    <tableColumn id="2" xr3:uid="{A78B5D73-8A34-4C98-900B-5DDFEF9808CF}" name="Cantidad" dataDxfId="272"/>
    <tableColumn id="3" xr3:uid="{500999E5-B8D1-4FEC-A4B5-2DCCF7F0739D}" name="Valor mensual" dataDxfId="271">
      <calculatedColumnFormula>IF(Tabla572[[#This Row],[Equipo ]]="","",INDEX(V_MENSUAL,MATCH(Tabla572[[#This Row],[Equipo ]],LISTA_MAQUINARIA,0)))</calculatedColumnFormula>
    </tableColumn>
    <tableColumn id="4" xr3:uid="{321CE64F-908B-45FB-8989-2AC268641D99}" name="Combustible Hora " dataDxfId="270">
      <calculatedColumnFormula>IF(Tabla572[[#This Row],[Equipo ]]="","",INDEX(CONSUMO_COMBUSTIBLE_H,MATCH(Tabla572[[#This Row],[Equipo ]],LISTA_MAQUINARIA,0)))</calculatedColumnFormula>
    </tableColumn>
    <tableColumn id="5" xr3:uid="{DAF789D2-4182-4FCD-A16B-C21C0D33EAF7}" name="Valor galon" dataDxfId="269">
      <calculatedColumnFormula>IF(Tabla572[[#This Row],[Equipo ]]="","",INDEX(V_GALON,MATCH(Tabla572[[#This Row],[Equipo ]],LISTA_MAQUINARIA,0)))</calculatedColumnFormula>
    </tableColumn>
    <tableColumn id="6" xr3:uid="{69F49B7B-E038-4BBB-B93C-9477CF14403F}" name="Horas mes" dataDxfId="268"/>
    <tableColumn id="7" xr3:uid="{A835BC77-778F-45C2-A451-716339494B07}" name="Valor mensual + Combustible" dataDxfId="267">
      <calculatedColumnFormula>IF(Tabla572[[#This Row],[Equipo ]]="","",Tabla572[[#This Row],[Valor mensual]]+Tabla572[[#This Row],[Combustible Hora ]]*Tabla572[[#This Row],[Valor galon]]*Tabla572[[#This Row],[Horas mes]])</calculatedColumnFormula>
    </tableColumn>
    <tableColumn id="8" xr3:uid="{6356CA76-29BA-40A9-94A8-8AD718A5D2F8}" name="Valor Total" dataDxfId="266">
      <calculatedColumnFormula>IF(Tabla572[[#This Row],[Valor mensual + Combustible]]="","",Tabla572[[#This Row],[Valor mensual + Combustible]]*Tabla572[[#This Row],[Cantidad]])</calculatedColumnFormula>
    </tableColumn>
  </tableColumns>
  <tableStyleInfo name="TableStyleMedium2" showFirstColumn="0" showLastColumn="0" showRowStripes="1" showColumnStripes="0"/>
</table>
</file>

<file path=xl/tables/table1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 xr:uid="{DD920346-5F97-481E-8815-D84BABCA3576}" name="Tabla673" displayName="Tabla673" ref="CN63:CQ66" totalsRowShown="0">
  <autoFilter ref="CN63:CQ66" xr:uid="{DD920346-5F97-481E-8815-D84BABCA3576}"/>
  <tableColumns count="4">
    <tableColumn id="1" xr3:uid="{2998BB76-8287-4021-94A5-BFC2B79010DF}" name="Transporte "/>
    <tableColumn id="2" xr3:uid="{AE711343-B50F-4710-9D71-3880C7BF1646}" name="cantidad "/>
    <tableColumn id="3" xr3:uid="{EC6260F7-CBE1-4E76-B641-3895410ED2B4}" name="Valor unitario " dataDxfId="265"/>
    <tableColumn id="4" xr3:uid="{41C6DC55-8077-41CA-9646-52A8F4559978}" name="Valor total" dataDxfId="264">
      <calculatedColumnFormula>+Tabla673[[#This Row],[cantidad ]]*Tabla673[[#This Row],[Valor unitario ]]</calculatedColumnFormula>
    </tableColumn>
  </tableColumns>
  <tableStyleInfo name="TableStyleMedium2" showFirstColumn="0" showLastColumn="0" showRowStripes="1" showColumnStripes="0"/>
</table>
</file>

<file path=xl/tables/table1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 xr:uid="{49D3EA53-2362-4387-9B0B-8C35F34635C1}" name="Tabla374" displayName="Tabla374" ref="CW12:DB30" totalsRowShown="0">
  <autoFilter ref="CW12:DB30" xr:uid="{49D3EA53-2362-4387-9B0B-8C35F34635C1}"/>
  <tableColumns count="6">
    <tableColumn id="1" xr3:uid="{03EACC32-491B-40E5-ADDD-1C4616388778}" name="Personal" dataDxfId="263"/>
    <tableColumn id="2" xr3:uid="{C738EB6A-4599-4AC1-96B2-3A70EF14C32E}" name="Cantidad" dataDxfId="262"/>
    <tableColumn id="3" xr3:uid="{BAB1436A-154E-4450-B5C0-8540420ADA9D}" name="Sueldo base" dataDxfId="261">
      <calculatedColumnFormula>+IF(CW13="","",INDEX(V_MANODEOBRA_MENSUAL,MATCH(CW13,L_PERSONAL,0)))</calculatedColumnFormula>
    </tableColumn>
    <tableColumn id="4" xr3:uid="{5CD57D91-7080-47B9-A6BE-6AEAB700A90E}" name="Factor prestacional" dataDxfId="260">
      <calculatedColumnFormula>+IF(CY13="","",INDEX(F_PRESTACIONAL,MATCH(CW13,L_PERSONAL,0)))</calculatedColumnFormula>
    </tableColumn>
    <tableColumn id="5" xr3:uid="{CD4C7DA4-20F8-4EF2-9B31-CEBD2DCDFF9B}" name="Valor mas factor prestacional" dataDxfId="259">
      <calculatedColumnFormula>+IF(CY13="","",CZ13*CY13)</calculatedColumnFormula>
    </tableColumn>
    <tableColumn id="6" xr3:uid="{32518843-2622-421F-9CE5-E21E3E90856D}" name="Valor mensual" dataDxfId="258">
      <calculatedColumnFormula>+IF(DA13="","",DA13*CX13)</calculatedColumnFormula>
    </tableColumn>
  </tableColumns>
  <tableStyleInfo name="TableStyleLight20" showFirstColumn="0" showLastColumn="0" showRowStripes="1" showColumnStripes="0"/>
</table>
</file>

<file path=xl/tables/table1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 xr:uid="{83B48CAC-C7CE-422C-9237-BD458CD40305}" name="Tabla575" displayName="Tabla575" ref="CV39:DC53" totalsRowShown="0">
  <autoFilter ref="CV39:DC53" xr:uid="{83B48CAC-C7CE-422C-9237-BD458CD40305}"/>
  <tableColumns count="8">
    <tableColumn id="1" xr3:uid="{8E1702BB-680C-4AFC-8183-39E5A81016A1}" name="Equipo " dataDxfId="257"/>
    <tableColumn id="2" xr3:uid="{44A34CC2-7065-40B0-84AB-70C54E34E9C2}" name="Cantidad" dataDxfId="256"/>
    <tableColumn id="3" xr3:uid="{F9E2F82E-FAA6-43D9-B407-6852381D44E1}" name="Valor mensual" dataDxfId="255">
      <calculatedColumnFormula>IF(Tabla575[[#This Row],[Equipo ]]="","",INDEX(V_MENSUAL,MATCH(Tabla575[[#This Row],[Equipo ]],LISTA_MAQUINARIA,0)))</calculatedColumnFormula>
    </tableColumn>
    <tableColumn id="4" xr3:uid="{49F8D9D5-4D38-45A7-8CFF-635B44C67BE8}" name="Combustible Hora " dataDxfId="254">
      <calculatedColumnFormula>IF(Tabla575[[#This Row],[Equipo ]]="","",INDEX(CONSUMO_COMBUSTIBLE_H,MATCH(Tabla575[[#This Row],[Equipo ]],LISTA_MAQUINARIA,0)))</calculatedColumnFormula>
    </tableColumn>
    <tableColumn id="5" xr3:uid="{40CA8700-3966-4325-92A9-3FD2921A2B0E}" name="Valor galon" dataDxfId="253">
      <calculatedColumnFormula>IF(Tabla575[[#This Row],[Equipo ]]="","",INDEX(V_GALON,MATCH(Tabla575[[#This Row],[Equipo ]],LISTA_MAQUINARIA,0)))</calculatedColumnFormula>
    </tableColumn>
    <tableColumn id="6" xr3:uid="{4E54F6B8-5D53-45C7-9B3E-562924925635}" name="Horas mes" dataDxfId="252"/>
    <tableColumn id="7" xr3:uid="{6D70CD48-C844-4ACB-8EDB-D59A1809002D}" name="Valor mensual + Combustible" dataDxfId="251">
      <calculatedColumnFormula>IF(Tabla575[[#This Row],[Equipo ]]="","",Tabla575[[#This Row],[Valor mensual]]+Tabla575[[#This Row],[Combustible Hora ]]*Tabla575[[#This Row],[Valor galon]]*Tabla575[[#This Row],[Horas mes]])</calculatedColumnFormula>
    </tableColumn>
    <tableColumn id="8" xr3:uid="{585B38B2-2B60-46C0-A1F7-C5B9090E9B00}" name="Valor Total" dataDxfId="250">
      <calculatedColumnFormula>IF(Tabla575[[#This Row],[Valor mensual + Combustible]]="","",Tabla575[[#This Row],[Valor mensual + Combustible]]*Tabla575[[#This Row],[Cantidad]])</calculatedColumnFormula>
    </tableColumn>
  </tableColumns>
  <tableStyleInfo name="TableStyleMedium2" showFirstColumn="0" showLastColumn="0" showRowStripes="1" showColumnStripes="0"/>
</table>
</file>

<file path=xl/tables/table1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 xr:uid="{45BE5B34-D514-4789-B653-08531BB9BBD5}" name="Tabla676" displayName="Tabla676" ref="CX63:DA66" totalsRowShown="0">
  <autoFilter ref="CX63:DA66" xr:uid="{45BE5B34-D514-4789-B653-08531BB9BBD5}"/>
  <tableColumns count="4">
    <tableColumn id="1" xr3:uid="{0868EF62-5D68-4738-955E-5D40F33CEA89}" name="Transporte "/>
    <tableColumn id="2" xr3:uid="{3D9791E7-5E08-47C8-B654-D832543AAF35}" name="cantidad "/>
    <tableColumn id="3" xr3:uid="{8A059924-A446-4A10-8EC8-7C54DF896B37}" name="Valor unitario " dataDxfId="249"/>
    <tableColumn id="4" xr3:uid="{8308792C-8D0B-4375-8923-63A2C1D4F476}" name="Valor total" dataDxfId="248">
      <calculatedColumnFormula>+Tabla676[[#This Row],[Valor unitario ]]*Tabla676[[#This Row],[cantidad ]]</calculatedColumnFormula>
    </tableColumn>
  </tableColumns>
  <tableStyleInfo name="TableStyleMedium2" showFirstColumn="0" showLastColumn="0" showRowStripes="1" showColumnStripes="0"/>
</table>
</file>

<file path=xl/tables/table1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 xr:uid="{AEDA3AE6-8ED2-4FB5-9D2C-7BE5D362558E}" name="Tabla377" displayName="Tabla377" ref="DG12:DL30" totalsRowShown="0">
  <autoFilter ref="DG12:DL30" xr:uid="{AEDA3AE6-8ED2-4FB5-9D2C-7BE5D362558E}"/>
  <tableColumns count="6">
    <tableColumn id="1" xr3:uid="{9DC592DE-F0B7-4B41-840E-6C027BF851A3}" name="Personal" dataDxfId="247"/>
    <tableColumn id="2" xr3:uid="{6A07BDFE-9C3E-4452-8CBE-59ACD6C0DC90}" name="Cantidad" dataDxfId="246"/>
    <tableColumn id="3" xr3:uid="{3A0D0DFD-6D59-4872-B1CD-8AD311F70BE5}" name="Sueldo base" dataDxfId="245">
      <calculatedColumnFormula>+IF(DG13="","",INDEX(V_MANODEOBRA_MENSUAL,MATCH(DG13,L_PERSONAL,0)))</calculatedColumnFormula>
    </tableColumn>
    <tableColumn id="4" xr3:uid="{48232625-19F0-45E6-B8A0-2895D7477378}" name="Factor prestacional" dataDxfId="244">
      <calculatedColumnFormula>+IF(DI13="","",INDEX(F_PRESTACIONAL,MATCH(DG13,L_PERSONAL,0)))</calculatedColumnFormula>
    </tableColumn>
    <tableColumn id="5" xr3:uid="{DE43D0CB-AFF3-44BA-ACA1-A82C4476B852}" name="Valor mas factor prestacional" dataDxfId="243">
      <calculatedColumnFormula>+IF(DI13="","",DJ13*DI13)</calculatedColumnFormula>
    </tableColumn>
    <tableColumn id="6" xr3:uid="{F8307AA7-A3D8-4013-9DEE-2342D947EA27}" name="Valor mensual" dataDxfId="242">
      <calculatedColumnFormula>+IF(DK13="","",DK13*DH13)</calculatedColumnFormula>
    </tableColumn>
  </tableColumns>
  <tableStyleInfo name="TableStyleLight20" showFirstColumn="0" showLastColumn="0" showRowStripes="1" showColumnStripes="0"/>
</table>
</file>

<file path=xl/tables/table1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 xr:uid="{780AD4D3-BD58-4CE2-8204-188B211A0603}" name="Tabla578" displayName="Tabla578" ref="DF39:DM53" totalsRowShown="0">
  <autoFilter ref="DF39:DM53" xr:uid="{780AD4D3-BD58-4CE2-8204-188B211A0603}"/>
  <tableColumns count="8">
    <tableColumn id="1" xr3:uid="{704BC1B4-B932-4971-9852-87BC954A69EC}" name="Equipo " dataDxfId="241"/>
    <tableColumn id="2" xr3:uid="{3D6B20D0-76B3-40D0-83B5-BA0EEACB25BE}" name="Cantidad" dataDxfId="240"/>
    <tableColumn id="3" xr3:uid="{FF7B6830-38A0-4CDC-B763-1511D52F1062}" name="Valor mensual" dataDxfId="239">
      <calculatedColumnFormula>IF(Tabla578[[#This Row],[Equipo ]]="","",INDEX(V_MENSUAL,MATCH(Tabla578[[#This Row],[Equipo ]],LISTA_MAQUINARIA,0)))</calculatedColumnFormula>
    </tableColumn>
    <tableColumn id="4" xr3:uid="{FDE57AE6-1F83-4053-A1D4-5BF3C77533BC}" name="Combustible Hora " dataDxfId="238">
      <calculatedColumnFormula>IF(Tabla578[[#This Row],[Equipo ]]="","",INDEX(CONSUMO_COMBUSTIBLE_H,MATCH(Tabla578[[#This Row],[Equipo ]],LISTA_MAQUINARIA,0)))</calculatedColumnFormula>
    </tableColumn>
    <tableColumn id="5" xr3:uid="{138068E5-9362-4312-9EA2-B3D0C102E082}" name="Valor galon" dataDxfId="237">
      <calculatedColumnFormula>IF(Tabla578[[#This Row],[Equipo ]]="","",INDEX(V_GALON,MATCH(Tabla578[[#This Row],[Equipo ]],LISTA_MAQUINARIA,0)))</calculatedColumnFormula>
    </tableColumn>
    <tableColumn id="6" xr3:uid="{1B2C8D29-D2E0-4EF4-88FB-996B1E58341C}" name="Horas mes" dataDxfId="236"/>
    <tableColumn id="7" xr3:uid="{F4C84BCC-EEB2-4361-BB45-93D8492C07D7}" name="Valor mensual + Combustible" dataDxfId="235">
      <calculatedColumnFormula>IF(Tabla578[[#This Row],[Equipo ]]="","",Tabla578[[#This Row],[Valor mensual]]+Tabla578[[#This Row],[Combustible Hora ]]*Tabla578[[#This Row],[Valor galon]]*Tabla578[[#This Row],[Horas mes]])</calculatedColumnFormula>
    </tableColumn>
    <tableColumn id="8" xr3:uid="{59BC4922-26A5-4CEE-BE58-F1BDF289E82E}" name="Valor Total" dataDxfId="234">
      <calculatedColumnFormula>IF(Tabla578[[#This Row],[Valor mensual + Combustible]]="","",Tabla578[[#This Row],[Valor mensual + Combustible]]*Tabla578[[#This Row],[Cantidad]])</calculatedColumnFormula>
    </tableColumn>
  </tableColumns>
  <tableStyleInfo name="TableStyleMedium2" showFirstColumn="0" showLastColumn="0" showRowStripes="1" showColumnStripes="0"/>
</table>
</file>

<file path=xl/tables/table1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 xr:uid="{DE60DD9B-01D8-4D24-B9AA-5710096E2B30}" name="Tabla679" displayName="Tabla679" ref="DH63:DK66" totalsRowShown="0">
  <autoFilter ref="DH63:DK66" xr:uid="{DE60DD9B-01D8-4D24-B9AA-5710096E2B30}"/>
  <tableColumns count="4">
    <tableColumn id="1" xr3:uid="{DC9EFD4C-08A3-4101-AD5E-0DCE7436AB72}" name="Transporte "/>
    <tableColumn id="2" xr3:uid="{A37F3201-C0E5-44F3-AD71-21DD1D9F902E}" name="cantidad "/>
    <tableColumn id="3" xr3:uid="{133B0A87-65A3-455A-B25C-3F94369D32C9}" name="Valor unitario " dataDxfId="233"/>
    <tableColumn id="4" xr3:uid="{2A639CBB-EF2E-4084-8E98-A50E714457C2}" name="Valor total" dataDxfId="232">
      <calculatedColumnFormula>+Tabla679[[#This Row],[Valor unitario ]]*Tabla679[[#This Row],[cantidad ]]</calculatedColumnFormula>
    </tableColumn>
  </tableColumns>
  <tableStyleInfo name="TableStyleMedium2" showFirstColumn="0" showLastColumn="0" showRowStripes="1" showColumnStripes="0"/>
</table>
</file>

<file path=xl/tables/table1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 xr:uid="{9CB1DCE8-7EDD-4B58-9573-2C446FC6D0F6}" name="Tabla380" displayName="Tabla380" ref="DQ12:DV30" totalsRowShown="0">
  <autoFilter ref="DQ12:DV30" xr:uid="{9CB1DCE8-7EDD-4B58-9573-2C446FC6D0F6}"/>
  <tableColumns count="6">
    <tableColumn id="1" xr3:uid="{6F2A8A3E-76DF-4DA5-83FC-AFDBECA484EB}" name="Personal" dataDxfId="231"/>
    <tableColumn id="2" xr3:uid="{F3A72E12-37B4-4317-BE59-2B17C3AF1693}" name="Cantidad" dataDxfId="230"/>
    <tableColumn id="3" xr3:uid="{11E87A69-1A71-49CE-9325-E1E61E48EDC6}" name="Sueldo base" dataDxfId="229">
      <calculatedColumnFormula>+IF(DQ13="","",INDEX(V_MANODEOBRA_MENSUAL,MATCH(DQ13,L_PERSONAL,0)))</calculatedColumnFormula>
    </tableColumn>
    <tableColumn id="4" xr3:uid="{2A6993C8-69F7-4983-935D-5D41B8E46629}" name="Factor prestacional" dataDxfId="228">
      <calculatedColumnFormula>+IF(DS13="","",INDEX(F_PRESTACIONAL,MATCH(DQ13,L_PERSONAL,0)))</calculatedColumnFormula>
    </tableColumn>
    <tableColumn id="5" xr3:uid="{F3CACF94-FBC9-492D-9437-3792E545B82E}" name="Valor mas factor prestacional" dataDxfId="227">
      <calculatedColumnFormula>+IF(DS13="","",DT13*DS13)</calculatedColumnFormula>
    </tableColumn>
    <tableColumn id="6" xr3:uid="{4DA786D2-7901-42D9-84D1-E70DDAD1369C}" name="Valor mensual" dataDxfId="226">
      <calculatedColumnFormula>+IF(DU13="","",DU13*DR13)</calculatedColumnFormula>
    </tableColumn>
  </tableColumns>
  <tableStyleInfo name="TableStyleLight20" showFirstColumn="0" showLastColumn="0" showRowStripes="1" showColumnStripes="0"/>
</table>
</file>

<file path=xl/tables/table1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 xr:uid="{AA3483D1-CACC-4336-B482-2AF13F62CD22}" name="Tabla581" displayName="Tabla581" ref="DP39:DW53" totalsRowShown="0">
  <autoFilter ref="DP39:DW53" xr:uid="{AA3483D1-CACC-4336-B482-2AF13F62CD22}"/>
  <tableColumns count="8">
    <tableColumn id="1" xr3:uid="{225775B1-565A-42E4-A0F4-B14DA85F5C51}" name="Equipo " dataDxfId="225"/>
    <tableColumn id="2" xr3:uid="{6310B56F-AD68-4B64-B628-A712FBF7B443}" name="Cantidad" dataDxfId="224"/>
    <tableColumn id="3" xr3:uid="{8FB10535-1BCF-4956-98D0-8B90D8224C57}" name="Valor mensual" dataDxfId="223">
      <calculatedColumnFormula>IF(Tabla581[[#This Row],[Equipo ]]="","",INDEX(V_MENSUAL,MATCH(Tabla581[[#This Row],[Equipo ]],LISTA_MAQUINARIA,0)))</calculatedColumnFormula>
    </tableColumn>
    <tableColumn id="4" xr3:uid="{E094BDB7-8961-4E28-8BF8-01E9E2625E06}" name="Combustible Hora " dataDxfId="222">
      <calculatedColumnFormula>IF(Tabla581[[#This Row],[Equipo ]]="","",INDEX(CONSUMO_COMBUSTIBLE_H,MATCH(Tabla581[[#This Row],[Equipo ]],LISTA_MAQUINARIA,0)))</calculatedColumnFormula>
    </tableColumn>
    <tableColumn id="5" xr3:uid="{B8ACC7DD-331D-4054-8440-9E2749BA84F2}" name="Valor galon" dataDxfId="221">
      <calculatedColumnFormula>IF(Tabla581[[#This Row],[Equipo ]]="","",INDEX(V_GALON,MATCH(Tabla581[[#This Row],[Equipo ]],LISTA_MAQUINARIA,0)))</calculatedColumnFormula>
    </tableColumn>
    <tableColumn id="6" xr3:uid="{87F06352-D5EE-4E8A-ACE7-6C9BDFBDD9C1}" name="Horas mes" dataDxfId="220"/>
    <tableColumn id="7" xr3:uid="{93CFF62D-EFBB-4C1A-85F2-5D714C0BB363}" name="Valor mensual + Combustible" dataDxfId="219">
      <calculatedColumnFormula>IF(Tabla581[[#This Row],[Equipo ]]="","",Tabla581[[#This Row],[Valor mensual]]+Tabla581[[#This Row],[Combustible Hora ]]*Tabla581[[#This Row],[Valor galon]]*Tabla581[[#This Row],[Horas mes]])</calculatedColumnFormula>
    </tableColumn>
    <tableColumn id="8" xr3:uid="{4575EA60-3478-4A96-A754-1866ADC440CA}" name="Valor Total" dataDxfId="218">
      <calculatedColumnFormula>IF(Tabla581[[#This Row],[Valor mensual + Combustible]]="","",Tabla581[[#This Row],[Valor mensual + Combustible]]*Tabla581[[#This Row],[Cantidad]])</calculatedColumnFormula>
    </tableColumn>
  </tableColumns>
  <tableStyleInfo name="TableStyleMedium2" showFirstColumn="0" showLastColumn="0" showRowStripes="1" showColumnStripes="0"/>
</table>
</file>

<file path=xl/tables/table1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 xr:uid="{5B376FC1-46B3-40EC-AA4F-69B6B648574B}" name="Tabla682" displayName="Tabla682" ref="DR63:DU66" totalsRowShown="0">
  <autoFilter ref="DR63:DU66" xr:uid="{5B376FC1-46B3-40EC-AA4F-69B6B648574B}"/>
  <tableColumns count="4">
    <tableColumn id="1" xr3:uid="{D41009E8-3415-42CF-84D7-321A7B5F811F}" name="Transporte "/>
    <tableColumn id="2" xr3:uid="{BE59B84B-28AA-4285-82D4-C705A9F1F58D}" name="cantidad "/>
    <tableColumn id="3" xr3:uid="{D8B39A60-AB2A-434B-BF0E-3FB43CB90F04}" name="Valor unitario " dataDxfId="217"/>
    <tableColumn id="4" xr3:uid="{C7753207-D19D-4F99-BE87-C760CC48961D}" name="Valor total" dataDxfId="216">
      <calculatedColumnFormula>+Tabla682[[#This Row],[Valor unitario ]]*Tabla682[[#This Row],[cantidad ]]</calculatedColumnFormula>
    </tableColumn>
  </tableColumns>
  <tableStyleInfo name="TableStyleMedium2" showFirstColumn="0" showLastColumn="0" showRowStripes="1" showColumnStripes="0"/>
</table>
</file>

<file path=xl/tables/table1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 xr:uid="{ED004EC7-4BDD-4857-9BD5-2DAC2CD12950}" name="Tabla383" displayName="Tabla383" ref="EA12:EF30" totalsRowShown="0">
  <autoFilter ref="EA12:EF30" xr:uid="{ED004EC7-4BDD-4857-9BD5-2DAC2CD12950}"/>
  <tableColumns count="6">
    <tableColumn id="1" xr3:uid="{A0EEDACC-3400-4CFD-832E-4D74F07CB26C}" name="Personal" dataDxfId="215"/>
    <tableColumn id="2" xr3:uid="{7F660A77-C868-4B6B-B6C8-B7363DBC3531}" name="Cantidad" dataDxfId="214"/>
    <tableColumn id="3" xr3:uid="{7D04EDA3-52F5-4A27-A7C0-892FFB913775}" name="Sueldo base" dataDxfId="213">
      <calculatedColumnFormula>+IF(EA13="","",INDEX(V_MANODEOBRA_MENSUAL,MATCH(EA13,L_PERSONAL,0)))</calculatedColumnFormula>
    </tableColumn>
    <tableColumn id="4" xr3:uid="{64F4A2AA-2D34-4E25-91DE-8B99A75049DF}" name="Factor prestacional" dataDxfId="212">
      <calculatedColumnFormula>+IF(EC13="","",INDEX(F_PRESTACIONAL,MATCH(EA13,L_PERSONAL,0)))</calculatedColumnFormula>
    </tableColumn>
    <tableColumn id="5" xr3:uid="{D96DE7EE-E2A5-41C0-B35A-0A38A179A8F1}" name="Valor mas factor prestacional" dataDxfId="211">
      <calculatedColumnFormula>+IF(EC13="","",ED13*EC13)</calculatedColumnFormula>
    </tableColumn>
    <tableColumn id="6" xr3:uid="{D878585D-4D86-4EF9-BC78-CDDCF192B158}" name="Valor mensual" dataDxfId="210">
      <calculatedColumnFormula>+IF(EE13="","",EE13*EB13)</calculatedColumnFormula>
    </tableColumn>
  </tableColumns>
  <tableStyleInfo name="TableStyleLight20" showFirstColumn="0" showLastColumn="0" showRowStripes="1" showColumnStripes="0"/>
</table>
</file>

<file path=xl/tables/table1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 xr:uid="{E89E4401-DE30-42A1-A94A-BE90A998B9F3}" name="Tabla584" displayName="Tabla584" ref="DZ39:EG53" totalsRowShown="0">
  <autoFilter ref="DZ39:EG53" xr:uid="{E89E4401-DE30-42A1-A94A-BE90A998B9F3}"/>
  <tableColumns count="8">
    <tableColumn id="1" xr3:uid="{E8FD8619-6F9E-43DE-BB6C-2D3D2B0902A8}" name="Equipo " dataDxfId="209"/>
    <tableColumn id="2" xr3:uid="{528EC95C-AF80-4A2D-8DB5-DFFC9A786A62}" name="Cantidad" dataDxfId="208"/>
    <tableColumn id="3" xr3:uid="{B452B621-147E-4061-AE18-FAA1CE47A76E}" name="Valor mensual" dataDxfId="207">
      <calculatedColumnFormula>IF(Tabla584[[#This Row],[Equipo ]]="","",INDEX(V_MENSUAL,MATCH(Tabla584[[#This Row],[Equipo ]],LISTA_MAQUINARIA,0)))</calculatedColumnFormula>
    </tableColumn>
    <tableColumn id="4" xr3:uid="{6468F514-E17D-4835-A5DE-959118AB553B}" name="Combustible Hora " dataDxfId="206">
      <calculatedColumnFormula>IF(Tabla584[[#This Row],[Equipo ]]="","",INDEX(CONSUMO_COMBUSTIBLE_H,MATCH(Tabla584[[#This Row],[Equipo ]],LISTA_MAQUINARIA,0)))</calculatedColumnFormula>
    </tableColumn>
    <tableColumn id="5" xr3:uid="{952D27D8-3D47-45AD-8909-056655790878}" name="Valor galon" dataDxfId="205">
      <calculatedColumnFormula>IF(Tabla584[[#This Row],[Equipo ]]="","",INDEX(V_GALON,MATCH(Tabla584[[#This Row],[Equipo ]],LISTA_MAQUINARIA,0)))</calculatedColumnFormula>
    </tableColumn>
    <tableColumn id="6" xr3:uid="{B35F5BD1-C36D-414F-A679-94F597E26F19}" name="Horas mes" dataDxfId="204"/>
    <tableColumn id="7" xr3:uid="{5BFC8306-73C7-49C1-9F28-3BA37A175A1A}" name="Valor mensual + Combustible" dataDxfId="203">
      <calculatedColumnFormula>IF(Tabla584[[#This Row],[Equipo ]]="","",Tabla584[[#This Row],[Valor mensual]]+Tabla584[[#This Row],[Combustible Hora ]]*Tabla584[[#This Row],[Valor galon]]*Tabla584[[#This Row],[Horas mes]])</calculatedColumnFormula>
    </tableColumn>
    <tableColumn id="8" xr3:uid="{579784CE-E288-411C-8241-05C30DBFB0F9}" name="Valor Total" dataDxfId="202">
      <calculatedColumnFormula>IF(Tabla584[[#This Row],[Valor mensual + Combustible]]="","",Tabla584[[#This Row],[Valor mensual + Combustible]]*Tabla584[[#This Row],[Cantidad]])</calculatedColumnFormula>
    </tableColumn>
  </tableColumns>
  <tableStyleInfo name="TableStyleMedium2" showFirstColumn="0" showLastColumn="0" showRowStripes="1" showColumnStripes="0"/>
</table>
</file>

<file path=xl/tables/table1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 xr:uid="{6E7456A7-CB39-42E8-A5D8-1817DE45691C}" name="Tabla685" displayName="Tabla685" ref="EB63:EE66" totalsRowShown="0">
  <autoFilter ref="EB63:EE66" xr:uid="{6E7456A7-CB39-42E8-A5D8-1817DE45691C}"/>
  <tableColumns count="4">
    <tableColumn id="1" xr3:uid="{924F12F2-C1D4-4AAC-B48D-2907E4B261D1}" name="Transporte "/>
    <tableColumn id="2" xr3:uid="{69EFA967-D5C4-40EE-8915-464FB398532F}" name="cantidad "/>
    <tableColumn id="3" xr3:uid="{5D744420-EAA0-4D19-BCB2-B7A45E8C9911}" name="Valor unitario " dataDxfId="201"/>
    <tableColumn id="4" xr3:uid="{D21FE619-7CF2-4839-92D8-EC5A01267126}" name="Valor total" dataDxfId="200">
      <calculatedColumnFormula>+Tabla685[[#This Row],[Valor unitario ]]*Tabla685[[#This Row],[cantidad ]]</calculatedColumnFormula>
    </tableColumn>
  </tableColumns>
  <tableStyleInfo name="TableStyleMedium2" showFirstColumn="0" showLastColumn="0" showRowStripes="1" showColumnStripes="0"/>
</table>
</file>

<file path=xl/tables/table1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 xr:uid="{65004DCF-9CE9-49C4-A137-712D96D5D8CB}" name="Tabla386" displayName="Tabla386" ref="EK12:EP30" totalsRowShown="0">
  <autoFilter ref="EK12:EP30" xr:uid="{65004DCF-9CE9-49C4-A137-712D96D5D8CB}"/>
  <tableColumns count="6">
    <tableColumn id="1" xr3:uid="{2838BC99-1C41-4EB4-A0DC-41742FEC7A4A}" name="Personal" dataDxfId="199"/>
    <tableColumn id="2" xr3:uid="{BFC36F78-5749-4E5E-8644-700F8BBF5569}" name="Cantidad" dataDxfId="198"/>
    <tableColumn id="3" xr3:uid="{7B229D9C-9569-487E-81F6-0FD3284BF372}" name="Sueldo base" dataDxfId="197">
      <calculatedColumnFormula>+IF(EK13="","",INDEX(V_MANODEOBRA_MENSUAL,MATCH(EK13,L_PERSONAL,0)))</calculatedColumnFormula>
    </tableColumn>
    <tableColumn id="4" xr3:uid="{4EA80B51-1B76-4163-BB24-D7522C8D5610}" name="Factor prestacional" dataDxfId="196">
      <calculatedColumnFormula>+IF(EM13="","",INDEX(F_PRESTACIONAL,MATCH(EK13,L_PERSONAL,0)))</calculatedColumnFormula>
    </tableColumn>
    <tableColumn id="5" xr3:uid="{67311DAD-1D9E-407C-B35F-35EC4F7C26E2}" name="Valor mas factor prestacional" dataDxfId="195">
      <calculatedColumnFormula>+IF(EM13="","",EN13*EM13)</calculatedColumnFormula>
    </tableColumn>
    <tableColumn id="6" xr3:uid="{129E410F-A7BB-4DBD-805A-6EB9ABA06856}" name="Valor mensual" dataDxfId="194">
      <calculatedColumnFormula>+IF(EO13="","",EO13*EL13)</calculatedColumnFormula>
    </tableColumn>
  </tableColumns>
  <tableStyleInfo name="TableStyleLight20" showFirstColumn="0" showLastColumn="0" showRowStripes="1" showColumnStripes="0"/>
</table>
</file>

<file path=xl/tables/table1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 xr:uid="{13673BD3-7989-44D5-B789-4CD128F4ACFB}" name="Tabla587" displayName="Tabla587" ref="EJ39:EQ53" totalsRowShown="0">
  <autoFilter ref="EJ39:EQ53" xr:uid="{13673BD3-7989-44D5-B789-4CD128F4ACFB}"/>
  <tableColumns count="8">
    <tableColumn id="1" xr3:uid="{B0585D1B-7A7A-4B57-9320-0962E6858DA4}" name="Equipo " dataDxfId="193"/>
    <tableColumn id="2" xr3:uid="{ECD595D3-A6C6-4D76-9FDC-830EA0A7F4C5}" name="Cantidad" dataDxfId="192"/>
    <tableColumn id="3" xr3:uid="{F5711844-DE24-4908-8C26-6B38EEF2EC00}" name="Valor mensual" dataDxfId="191">
      <calculatedColumnFormula>IF(Tabla587[[#This Row],[Equipo ]]="","",INDEX(V_MENSUAL,MATCH(Tabla587[[#This Row],[Equipo ]],LISTA_MAQUINARIA,0)))</calculatedColumnFormula>
    </tableColumn>
    <tableColumn id="4" xr3:uid="{2F151266-C2B3-4D74-9531-F520EC8B0749}" name="Combustible Hora " dataDxfId="190">
      <calculatedColumnFormula>IF(Tabla587[[#This Row],[Equipo ]]="","",INDEX(CONSUMO_COMBUSTIBLE_H,MATCH(Tabla587[[#This Row],[Equipo ]],LISTA_MAQUINARIA,0)))</calculatedColumnFormula>
    </tableColumn>
    <tableColumn id="5" xr3:uid="{7DC2ACF6-270E-40B8-95A0-7D3B31523097}" name="Valor galon" dataDxfId="189">
      <calculatedColumnFormula>IF(Tabla587[[#This Row],[Equipo ]]="","",INDEX(V_GALON,MATCH(Tabla587[[#This Row],[Equipo ]],LISTA_MAQUINARIA,0)))</calculatedColumnFormula>
    </tableColumn>
    <tableColumn id="6" xr3:uid="{4ECA2E35-2CD2-4E16-A82C-BF7676A4CBEF}" name="Horas mes" dataDxfId="188"/>
    <tableColumn id="7" xr3:uid="{68A15BD2-508F-46ED-94F5-2CBE3F3ED42D}" name="Valor mensual + Combustible" dataDxfId="187">
      <calculatedColumnFormula>IF(Tabla587[[#This Row],[Equipo ]]="","",Tabla587[[#This Row],[Valor mensual]]+Tabla587[[#This Row],[Combustible Hora ]]*Tabla587[[#This Row],[Valor galon]]*Tabla587[[#This Row],[Horas mes]])</calculatedColumnFormula>
    </tableColumn>
    <tableColumn id="8" xr3:uid="{1EE47C49-C9EB-4260-8800-09C703580C91}" name="Valor Total" dataDxfId="186">
      <calculatedColumnFormula>IF(Tabla587[[#This Row],[Valor mensual + Combustible]]="","",Tabla587[[#This Row],[Valor mensual + Combustible]]*Tabla587[[#This Row],[Cantidad]])</calculatedColumnFormula>
    </tableColumn>
  </tableColumns>
  <tableStyleInfo name="TableStyleMedium2" showFirstColumn="0" showLastColumn="0" showRowStripes="1" showColumnStripes="0"/>
</table>
</file>

<file path=xl/tables/table1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 xr:uid="{D41B8F61-568A-4533-A0A9-04754A149BEF}" name="Tabla688" displayName="Tabla688" ref="EL63:EO66" totalsRowShown="0">
  <autoFilter ref="EL63:EO66" xr:uid="{D41B8F61-568A-4533-A0A9-04754A149BEF}"/>
  <tableColumns count="4">
    <tableColumn id="1" xr3:uid="{7D6B3072-E0DD-4293-BC0D-AEC0D891D420}" name="Transporte "/>
    <tableColumn id="2" xr3:uid="{B6CA3543-1AA7-4E45-A347-64F955CD24DB}" name="cantidad "/>
    <tableColumn id="3" xr3:uid="{CAD6F468-DEB3-44B4-A576-8A581BAF4C11}" name="Valor unitario " dataDxfId="185"/>
    <tableColumn id="4" xr3:uid="{9339E884-2A3A-407F-8EA0-661E44E55A7E}" name="Valor total" dataDxfId="184">
      <calculatedColumnFormula>+Tabla688[[#This Row],[Valor unitario ]]*Tabla688[[#This Row],[cantidad ]]</calculatedColumnFormula>
    </tableColumn>
  </tableColumns>
  <tableStyleInfo name="TableStyleMedium2" showFirstColumn="0" showLastColumn="0" showRowStripes="1" showColumnStripes="0"/>
</table>
</file>

<file path=xl/tables/table1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 xr:uid="{8729F7BE-2BFD-43FC-80A3-93DE06C2220E}" name="Tabla389" displayName="Tabla389" ref="EU12:EZ30" totalsRowShown="0">
  <autoFilter ref="EU12:EZ30" xr:uid="{8729F7BE-2BFD-43FC-80A3-93DE06C2220E}"/>
  <tableColumns count="6">
    <tableColumn id="1" xr3:uid="{4F2B9D63-0CAC-44A3-87A7-58BF2FEC547D}" name="Personal" dataDxfId="183"/>
    <tableColumn id="2" xr3:uid="{5046A818-CB5B-4FF2-941B-F28D678F96D6}" name="Cantidad" dataDxfId="182"/>
    <tableColumn id="3" xr3:uid="{8DC2958E-150A-4DAE-8457-692515EDAB47}" name="Sueldo base" dataDxfId="181">
      <calculatedColumnFormula>+IF(EU13="","",INDEX(V_MANODEOBRA_MENSUAL,MATCH(EU13,L_PERSONAL,0)))</calculatedColumnFormula>
    </tableColumn>
    <tableColumn id="4" xr3:uid="{6F7BD5A2-5C64-45AC-923A-FAD2780C9615}" name="Factor prestacional" dataDxfId="180">
      <calculatedColumnFormula>+IF(EW13="","",INDEX(F_PRESTACIONAL,MATCH(EU13,L_PERSONAL,0)))</calculatedColumnFormula>
    </tableColumn>
    <tableColumn id="5" xr3:uid="{86D66CD2-71B2-44F1-8202-6A33621D3A50}" name="Valor mas factor prestacional" dataDxfId="179">
      <calculatedColumnFormula>+IF(EW13="","",EX13*EW13)</calculatedColumnFormula>
    </tableColumn>
    <tableColumn id="6" xr3:uid="{8E69D071-365F-47F2-986A-DBE00127812E}" name="Valor mensual" dataDxfId="178">
      <calculatedColumnFormula>+IF(EY13="","",EY13*EV13)</calculatedColumnFormula>
    </tableColumn>
  </tableColumns>
  <tableStyleInfo name="TableStyleLight20" showFirstColumn="0" showLastColumn="0" showRowStripes="1" showColumnStripes="0"/>
</table>
</file>

<file path=xl/tables/table1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 xr:uid="{0F9DED29-87C3-431A-A945-D331F285E3F0}" name="Tabla590" displayName="Tabla590" ref="ET39:FA53" totalsRowShown="0">
  <autoFilter ref="ET39:FA53" xr:uid="{0F9DED29-87C3-431A-A945-D331F285E3F0}"/>
  <tableColumns count="8">
    <tableColumn id="1" xr3:uid="{274EDBC4-4831-4183-A6E3-4A2E58D4C4D9}" name="Equipo " dataDxfId="177"/>
    <tableColumn id="2" xr3:uid="{8AEE56BC-7691-462D-BBCC-6899160D2AE1}" name="Cantidad" dataDxfId="176"/>
    <tableColumn id="3" xr3:uid="{FB4275D2-9B92-4232-A6AD-7EF1C801BE49}" name="Valor mensual" dataDxfId="175">
      <calculatedColumnFormula>IF(Tabla590[[#This Row],[Equipo ]]="","",INDEX(V_MENSUAL,MATCH(Tabla590[[#This Row],[Equipo ]],LISTA_MAQUINARIA,0)))</calculatedColumnFormula>
    </tableColumn>
    <tableColumn id="4" xr3:uid="{D5C8FB6A-DBDF-4B31-875A-FA0C0EC9B57F}" name="Combustible Hora " dataDxfId="174">
      <calculatedColumnFormula>IF(Tabla590[[#This Row],[Equipo ]]="","",INDEX(CONSUMO_COMBUSTIBLE_H,MATCH(Tabla590[[#This Row],[Equipo ]],LISTA_MAQUINARIA,0)))</calculatedColumnFormula>
    </tableColumn>
    <tableColumn id="5" xr3:uid="{CF641971-4003-460B-AE1A-7A994BAED643}" name="Valor galon" dataDxfId="173">
      <calculatedColumnFormula>IF(Tabla590[[#This Row],[Equipo ]]="","",INDEX(V_GALON,MATCH(Tabla590[[#This Row],[Equipo ]],LISTA_MAQUINARIA,0)))</calculatedColumnFormula>
    </tableColumn>
    <tableColumn id="6" xr3:uid="{2D84C952-3DDD-4F5B-9864-C286BB79EA92}" name="Horas mes" dataDxfId="172"/>
    <tableColumn id="7" xr3:uid="{124ADE15-AB33-47DA-8055-E576A2B2275D}" name="Valor mensual + Combustible" dataDxfId="171">
      <calculatedColumnFormula>IF(Tabla590[[#This Row],[Equipo ]]="","",Tabla590[[#This Row],[Valor mensual]]+Tabla590[[#This Row],[Combustible Hora ]]*Tabla590[[#This Row],[Valor galon]]*Tabla590[[#This Row],[Horas mes]])</calculatedColumnFormula>
    </tableColumn>
    <tableColumn id="8" xr3:uid="{409DC85B-DC73-42AD-A684-E33890DD2FC9}" name="Valor Total" dataDxfId="170">
      <calculatedColumnFormula>IF(Tabla590[[#This Row],[Valor mensual + Combustible]]="","",Tabla590[[#This Row],[Valor mensual + Combustible]]*Tabla590[[#This Row],[Cantidad]])</calculatedColumnFormula>
    </tableColumn>
  </tableColumns>
  <tableStyleInfo name="TableStyleMedium2" showFirstColumn="0" showLastColumn="0" showRowStripes="1" showColumnStripes="0"/>
</table>
</file>

<file path=xl/tables/table1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 xr:uid="{7F11E60E-1C19-456B-BDD3-C7C7A04FA5A3}" name="Tabla691" displayName="Tabla691" ref="EV63:EY66" totalsRowShown="0">
  <autoFilter ref="EV63:EY66" xr:uid="{7F11E60E-1C19-456B-BDD3-C7C7A04FA5A3}"/>
  <tableColumns count="4">
    <tableColumn id="1" xr3:uid="{D22D314F-D811-4D07-8A4F-16A09C443FAC}" name="Transporte "/>
    <tableColumn id="2" xr3:uid="{D02D4644-9CDF-45A6-9FDE-3B1BCC3BCF45}" name="cantidad "/>
    <tableColumn id="3" xr3:uid="{4F22901A-7E04-4AF8-B70F-2D16805D6D48}" name="Valor unitario " dataDxfId="169"/>
    <tableColumn id="4" xr3:uid="{B9949094-B6DF-4E54-9057-30B7DD026181}" name="Valor total" dataDxfId="168">
      <calculatedColumnFormula>+Tabla691[[#This Row],[Valor unitario ]]*Tabla691[[#This Row],[cantidad ]]</calculatedColumnFormula>
    </tableColumn>
  </tableColumns>
  <tableStyleInfo name="TableStyleMedium2" showFirstColumn="0" showLastColumn="0" showRowStripes="1" showColumnStripes="0"/>
</table>
</file>

<file path=xl/tables/table1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 xr:uid="{CE9E0C81-5E8B-44CB-B0C5-AE2BDB269C05}" name="Tabla392" displayName="Tabla392" ref="FE12:FJ30" totalsRowShown="0">
  <autoFilter ref="FE12:FJ30" xr:uid="{CE9E0C81-5E8B-44CB-B0C5-AE2BDB269C05}"/>
  <tableColumns count="6">
    <tableColumn id="1" xr3:uid="{C5704377-87A2-47E7-9EB1-0AAAF4F41155}" name="Personal" dataDxfId="167"/>
    <tableColumn id="2" xr3:uid="{D18ACBC5-1C98-4337-BDEA-A3F585E65754}" name="Cantidad" dataDxfId="166"/>
    <tableColumn id="3" xr3:uid="{A4BE5271-104B-425A-A958-685CA03105F7}" name="Sueldo base" dataDxfId="165">
      <calculatedColumnFormula>+IF(FE13="","",INDEX(V_MANODEOBRA_MENSUAL,MATCH(FE13,L_PERSONAL,0)))</calculatedColumnFormula>
    </tableColumn>
    <tableColumn id="4" xr3:uid="{7DE18035-F182-42D7-80D9-78CFCA56D504}" name="Factor prestacional" dataDxfId="164">
      <calculatedColumnFormula>+IF(FG13="","",INDEX(F_PRESTACIONAL,MATCH(FE13,L_PERSONAL,0)))</calculatedColumnFormula>
    </tableColumn>
    <tableColumn id="5" xr3:uid="{E32066FA-8760-4CD7-935A-930783A35F27}" name="Valor mas factor prestacional" dataDxfId="163">
      <calculatedColumnFormula>+IF(FG13="","",FH13*FG13)</calculatedColumnFormula>
    </tableColumn>
    <tableColumn id="6" xr3:uid="{395D7636-B78A-4B3E-A477-DBB6524CEC41}" name="Valor mensual" dataDxfId="162">
      <calculatedColumnFormula>+IF(FI13="","",FI13*FF13)</calculatedColumnFormula>
    </tableColumn>
  </tableColumns>
  <tableStyleInfo name="TableStyleLight20" showFirstColumn="0" showLastColumn="0" showRowStripes="1" showColumnStripes="0"/>
</table>
</file>

<file path=xl/tables/table1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2" xr:uid="{3622343E-DD88-4868-B4DC-2142742EBB2B}" name="Tabla593" displayName="Tabla593" ref="FD39:FK53" totalsRowShown="0">
  <autoFilter ref="FD39:FK53" xr:uid="{3622343E-DD88-4868-B4DC-2142742EBB2B}"/>
  <tableColumns count="8">
    <tableColumn id="1" xr3:uid="{6422566B-5308-45CD-ACE2-7263E52EC986}" name="Equipo " dataDxfId="161"/>
    <tableColumn id="2" xr3:uid="{C2277DC2-0BB4-4938-B383-8AE3374A8F1C}" name="Cantidad" dataDxfId="160"/>
    <tableColumn id="3" xr3:uid="{A5287D79-191B-4534-9D28-12C224633E65}" name="Valor mensual" dataDxfId="159">
      <calculatedColumnFormula>IF(Tabla593[[#This Row],[Equipo ]]="","",INDEX(V_MENSUAL,MATCH(Tabla593[[#This Row],[Equipo ]],LISTA_MAQUINARIA,0)))</calculatedColumnFormula>
    </tableColumn>
    <tableColumn id="4" xr3:uid="{EFC7CDD0-68F1-4B65-B8A2-0319676D86AD}" name="Combustible Hora " dataDxfId="158">
      <calculatedColumnFormula>IF(Tabla593[[#This Row],[Equipo ]]="","",INDEX(CONSUMO_COMBUSTIBLE_H,MATCH(Tabla593[[#This Row],[Equipo ]],LISTA_MAQUINARIA,0)))</calculatedColumnFormula>
    </tableColumn>
    <tableColumn id="5" xr3:uid="{ECE6346F-AF61-4617-B113-71235A038810}" name="Valor galon" dataDxfId="157">
      <calculatedColumnFormula>IF(Tabla593[[#This Row],[Equipo ]]="","",INDEX(V_GALON,MATCH(Tabla593[[#This Row],[Equipo ]],LISTA_MAQUINARIA,0)))</calculatedColumnFormula>
    </tableColumn>
    <tableColumn id="6" xr3:uid="{CA9588DB-A3E0-4692-B3C2-F0D0DEF8C757}" name="Horas mes" dataDxfId="156"/>
    <tableColumn id="7" xr3:uid="{2C4C5F47-E015-4EC4-9835-C3A66A875B98}" name="Valor mensual + Combustible" dataDxfId="155">
      <calculatedColumnFormula>IF(Tabla593[[#This Row],[Equipo ]]="","",Tabla593[[#This Row],[Valor mensual]]+Tabla593[[#This Row],[Combustible Hora ]]*Tabla593[[#This Row],[Valor galon]]*Tabla593[[#This Row],[Horas mes]])</calculatedColumnFormula>
    </tableColumn>
    <tableColumn id="8" xr3:uid="{69CC06C3-04DF-4318-B160-5559F97997C9}" name="Valor Total" dataDxfId="154">
      <calculatedColumnFormula>IF(Tabla593[[#This Row],[Valor mensual + Combustible]]="","",Tabla593[[#This Row],[Valor mensual + Combustible]]*Tabla593[[#This Row],[Cantidad]])</calculatedColumnFormula>
    </tableColumn>
  </tableColumns>
  <tableStyleInfo name="TableStyleMedium2" showFirstColumn="0" showLastColumn="0" showRowStripes="1" showColumnStripes="0"/>
</table>
</file>

<file path=xl/tables/table1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3" xr:uid="{426485F5-97B8-4681-BE48-A75E3EB4492C}" name="Tabla694" displayName="Tabla694" ref="FF63:FI66" totalsRowShown="0">
  <autoFilter ref="FF63:FI66" xr:uid="{426485F5-97B8-4681-BE48-A75E3EB4492C}"/>
  <tableColumns count="4">
    <tableColumn id="1" xr3:uid="{5B5C010A-2925-46C7-B47B-69122862D210}" name="Transporte "/>
    <tableColumn id="2" xr3:uid="{BEF11AE7-D9F5-4FA7-B6E9-EFDA119D4805}" name="cantidad "/>
    <tableColumn id="3" xr3:uid="{24BDD0EB-BC83-4BD5-AF78-A660192C4379}" name="Valor unitario " dataDxfId="153"/>
    <tableColumn id="4" xr3:uid="{A6FC3418-E489-47EB-8712-733C53E79D84}" name="Valor total" dataDxfId="152">
      <calculatedColumnFormula>+Tabla694[[#This Row],[cantidad ]]*Tabla694[[#This Row],[Valor unitario ]]</calculatedColumnFormula>
    </tableColumn>
  </tableColumns>
  <tableStyleInfo name="TableStyleMedium2" showFirstColumn="0" showLastColumn="0" showRowStripes="1" showColumnStripes="0"/>
</table>
</file>

<file path=xl/tables/table1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4" xr:uid="{F4C5B4CD-4BC2-4AC5-9153-C8615829529F}" name="Tabla395" displayName="Tabla395" ref="FO12:FT30" totalsRowShown="0">
  <autoFilter ref="FO12:FT30" xr:uid="{F4C5B4CD-4BC2-4AC5-9153-C8615829529F}"/>
  <tableColumns count="6">
    <tableColumn id="1" xr3:uid="{D6D0C6DF-F688-4BD3-A9BA-C625DDFBD3CD}" name="Personal" dataDxfId="151"/>
    <tableColumn id="2" xr3:uid="{CB8255A0-9725-4CF7-9324-E62173E82C07}" name="Cantidad" dataDxfId="150"/>
    <tableColumn id="3" xr3:uid="{2B60560A-D249-4316-AD8C-F3DECCBF568B}" name="Sueldo base" dataDxfId="149">
      <calculatedColumnFormula>+IF(FO13="","",INDEX(V_MANODEOBRA_MENSUAL,MATCH(FO13,L_PERSONAL,0)))</calculatedColumnFormula>
    </tableColumn>
    <tableColumn id="4" xr3:uid="{B4A484FE-356E-46F4-86A2-B56E3E467AF2}" name="Factor prestacional" dataDxfId="148">
      <calculatedColumnFormula>+IF(FQ13="","",INDEX(F_PRESTACIONAL,MATCH(FO13,L_PERSONAL,0)))</calculatedColumnFormula>
    </tableColumn>
    <tableColumn id="5" xr3:uid="{C06723BE-B22D-4E38-9722-6613984DB105}" name="Valor mas factor prestacional" dataDxfId="147">
      <calculatedColumnFormula>+IF(FQ13="","",FR13*FQ13)</calculatedColumnFormula>
    </tableColumn>
    <tableColumn id="6" xr3:uid="{E3B340FF-0387-4E0C-9235-8FD23F7A188D}" name="Valor mensual" dataDxfId="146">
      <calculatedColumnFormula>+IF(FS13="","",FS13*FP13)</calculatedColumnFormula>
    </tableColumn>
  </tableColumns>
  <tableStyleInfo name="TableStyleLight20" showFirstColumn="0" showLastColumn="0" showRowStripes="1" showColumnStripes="0"/>
</table>
</file>

<file path=xl/tables/table1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5" xr:uid="{5B3B367B-C8CC-45F7-A755-8737C968397D}" name="Tabla596" displayName="Tabla596" ref="FN39:FU53" totalsRowShown="0">
  <autoFilter ref="FN39:FU53" xr:uid="{5B3B367B-C8CC-45F7-A755-8737C968397D}"/>
  <tableColumns count="8">
    <tableColumn id="1" xr3:uid="{E62E975E-3926-40F1-8062-51216E2758A2}" name="Equipo " dataDxfId="145"/>
    <tableColumn id="2" xr3:uid="{A34D65FF-C66C-488A-8483-648547261A6A}" name="Cantidad" dataDxfId="144"/>
    <tableColumn id="3" xr3:uid="{6FEE1FE1-DDC5-425A-AD13-42D8E4EA62F5}" name="Valor mensual" dataDxfId="143">
      <calculatedColumnFormula>IF(Tabla596[[#This Row],[Equipo ]]="","",INDEX(V_MENSUAL,MATCH(Tabla596[[#This Row],[Equipo ]],LISTA_MAQUINARIA,0)))</calculatedColumnFormula>
    </tableColumn>
    <tableColumn id="4" xr3:uid="{4472BC1A-70F5-48A3-A68D-1CBFBD025F2B}" name="Combustible Hora " dataDxfId="142">
      <calculatedColumnFormula>IF(Tabla596[[#This Row],[Equipo ]]="","",INDEX(CONSUMO_COMBUSTIBLE_H,MATCH(Tabla596[[#This Row],[Equipo ]],LISTA_MAQUINARIA,0)))</calculatedColumnFormula>
    </tableColumn>
    <tableColumn id="5" xr3:uid="{903045BB-9901-4708-A9B1-021AF82E22FF}" name="Valor galon" dataDxfId="141">
      <calculatedColumnFormula>IF(Tabla596[[#This Row],[Equipo ]]="","",INDEX(V_GALON,MATCH(Tabla596[[#This Row],[Equipo ]],LISTA_MAQUINARIA,0)))</calculatedColumnFormula>
    </tableColumn>
    <tableColumn id="6" xr3:uid="{212D1D49-3D8C-4DA5-A707-ED2579FB8332}" name="Horas mes" dataDxfId="140"/>
    <tableColumn id="7" xr3:uid="{1212785E-6A30-4D58-BC70-2FDEBFAE23F5}" name="Valor mensual + Combustible" dataDxfId="139">
      <calculatedColumnFormula>IF(Tabla596[[#This Row],[Equipo ]]="","",Tabla596[[#This Row],[Valor mensual]]+Tabla596[[#This Row],[Combustible Hora ]]*Tabla596[[#This Row],[Valor galon]]*Tabla596[[#This Row],[Horas mes]])</calculatedColumnFormula>
    </tableColumn>
    <tableColumn id="8" xr3:uid="{60561575-1C27-40F4-B112-BDB2E639C082}" name="Valor Total" dataDxfId="138">
      <calculatedColumnFormula>IF(Tabla596[[#This Row],[Valor mensual + Combustible]]="","",Tabla596[[#This Row],[Valor mensual + Combustible]]*Tabla596[[#This Row],[Cantidad]])</calculatedColumnFormula>
    </tableColumn>
  </tableColumns>
  <tableStyleInfo name="TableStyleMedium2" showFirstColumn="0" showLastColumn="0" showRowStripes="1" showColumnStripes="0"/>
</table>
</file>

<file path=xl/tables/table1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6" xr:uid="{50624B96-8A1F-415A-AF98-593A1957F17A}" name="Tabla697" displayName="Tabla697" ref="FP63:FS66" totalsRowShown="0">
  <autoFilter ref="FP63:FS66" xr:uid="{50624B96-8A1F-415A-AF98-593A1957F17A}"/>
  <tableColumns count="4">
    <tableColumn id="1" xr3:uid="{885F1E8D-CF66-436A-982B-EC7BFD73FA35}" name="Transporte "/>
    <tableColumn id="2" xr3:uid="{7389CA49-3475-4E94-BF4E-83A67ED30F64}" name="cantidad "/>
    <tableColumn id="3" xr3:uid="{4756F27E-5D7C-459B-ADB6-82280C5A1258}" name="Valor unitario " dataDxfId="137"/>
    <tableColumn id="4" xr3:uid="{AF537114-BF14-40B1-BAAE-2F14776DE9E9}" name="Valor total" dataDxfId="136">
      <calculatedColumnFormula>+Tabla697[[#This Row],[Valor unitario ]]*Tabla697[[#This Row],[cantidad ]]</calculatedColumnFormula>
    </tableColumn>
  </tableColumns>
  <tableStyleInfo name="TableStyleMedium2" showFirstColumn="0" showLastColumn="0" showRowStripes="1" showColumnStripes="0"/>
</table>
</file>

<file path=xl/tables/table1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7" xr:uid="{64904568-17F1-4B54-AFA4-8B67D5B45D8D}" name="Tabla97" displayName="Tabla97" ref="B71:G91" totalsRowCount="1">
  <autoFilter ref="B71:G90" xr:uid="{64904568-17F1-4B54-AFA4-8B67D5B45D8D}"/>
  <tableColumns count="6">
    <tableColumn id="1" xr3:uid="{05AE450E-753F-4CEF-8749-30590144BBEC}" name="MES" dataDxfId="135" totalsRowDxfId="134"/>
    <tableColumn id="2" xr3:uid="{B180DF81-494B-467D-980B-408B8B81BED3}" name="SUBTOTAL PERSONAL" dataDxfId="133" totalsRowDxfId="132"/>
    <tableColumn id="3" xr3:uid="{527DBE02-16F3-4FCC-9F01-EF1C753CD17D}" name="SUBTOTAL EQUIPO" dataDxfId="131" totalsRowDxfId="130"/>
    <tableColumn id="4" xr3:uid="{6C8FA35B-ACD6-4508-9E44-66E0E66E4539}" name="SUBTOTAL TRANSPORTE" dataDxfId="129" totalsRowDxfId="128"/>
    <tableColumn id="5" xr3:uid="{B6E79D3A-EA95-44C3-ABFB-009B0E959E79}" name="TOTAL MES" dataDxfId="127" totalsRowDxfId="126">
      <calculatedColumnFormula>SUM(Tabla97[[#This Row],[SUBTOTAL PERSONAL]:[SUBTOTAL TRANSPORTE]])</calculatedColumnFormula>
    </tableColumn>
    <tableColumn id="6" xr3:uid="{632AA15E-0B2C-4F09-8790-0CA70DA8B5FB}" name="Columna1" dataDxfId="125"/>
  </tableColumns>
  <tableStyleInfo name="TableStyleMedium2" showFirstColumn="0" showLastColumn="0" showRowStripes="1" showColumnStripes="0"/>
</table>
</file>

<file path=xl/tables/table1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0" xr:uid="{262B0C0C-0C54-48A1-8009-179D120C066D}" name="Tabla100" displayName="Tabla100" ref="B94:E99" totalsRowShown="0">
  <autoFilter ref="B94:E99" xr:uid="{262B0C0C-0C54-48A1-8009-179D120C066D}"/>
  <tableColumns count="4">
    <tableColumn id="1" xr3:uid="{64D637D3-12A6-4023-BC8C-C96AFC3063DD}" name="CONCEPTO"/>
    <tableColumn id="2" xr3:uid="{30A16863-50DE-4FE8-A934-297B8319A886}" name="VALOR BASE LIQUIDACION" dataDxfId="124">
      <calculatedColumnFormula>+COSTO_DIRECTO_OPTIMO</calculatedColumnFormula>
    </tableColumn>
    <tableColumn id="3" xr3:uid="{A6CF2D67-B825-498F-8E58-1B31E73BD0D5}" name="TARIFA" dataDxfId="123"/>
    <tableColumn id="4" xr3:uid="{D62B2251-952A-4051-9134-E76899B0C9F1}" name="VALOR TOTAL" dataDxfId="122">
      <calculatedColumnFormula>IF(Tabla100[[#This Row],[VALOR BASE LIQUIDACION]]="","",Tabla100[[#This Row],[TARIFA]]*Tabla100[[#This Row],[VALOR BASE LIQUIDACION]])</calculatedColumnFormula>
    </tableColumn>
  </tableColumns>
  <tableStyleInfo name="TableStyleMedium2" showFirstColumn="0" showLastColumn="0" showRowStripes="1" showColumnStripes="0"/>
</table>
</file>

<file path=xl/tables/table1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1" xr:uid="{6E5C2612-9444-45A0-9510-168BE325583B}" name="Tabla101" displayName="Tabla101" ref="B104:G109" totalsRowShown="0">
  <autoFilter ref="B104:G109" xr:uid="{6E5C2612-9444-45A0-9510-168BE325583B}"/>
  <tableColumns count="6">
    <tableColumn id="1" xr3:uid="{1D027116-2496-44C1-979C-633907E14AD1}" name="AMPARO"/>
    <tableColumn id="2" xr3:uid="{12173B72-CF9A-449C-95FE-253D366BCE7D}" name="VALOR BASE LIQUIDACIÓN" dataDxfId="121"/>
    <tableColumn id="3" xr3:uid="{51B6F0DA-D886-4F98-B707-2D9CAECA2B69}" name="% ASEGURADO" dataDxfId="120"/>
    <tableColumn id="4" xr3:uid="{B6DAAD6D-F3DA-4464-8379-1827B324998F}" name="VIGENCIA (MES)" dataDxfId="119"/>
    <tableColumn id="5" xr3:uid="{21423496-4BED-413F-8E9E-71F7F30EA379}" name="TASA" dataDxfId="118"/>
    <tableColumn id="6" xr3:uid="{FB3B5BC9-992F-4D46-8A65-6558FB350D9D}" name="VALOR TOTAL" dataDxfId="117">
      <calculatedColumnFormula>IF(Tabla101[[#This Row],[VALOR BASE LIQUIDACIÓN]]="","",Tabla101[[#This Row],[VALOR BASE LIQUIDACIÓN]]*Tabla101[[#This Row],[% ASEGURADO]]*(Tabla101[[#This Row],[VIGENCIA (MES)]]/12)*Tabla101[[#This Row],[TASA]]*1.19)</calculatedColumnFormula>
    </tableColumn>
  </tableColumns>
  <tableStyleInfo name="TableStyleMedium2" showFirstColumn="0" showLastColumn="0" showRowStripes="1" showColumnStripes="0"/>
</table>
</file>

<file path=xl/tables/table1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43C91BA-4E8E-4430-8FAB-2D1692240FB6}" name="Tabla21" displayName="Tabla21" ref="L30:M38" totalsRowShown="0">
  <autoFilter ref="L30:M38" xr:uid="{043C91BA-4E8E-4430-8FAB-2D1692240FB6}"/>
  <tableColumns count="2">
    <tableColumn id="1" xr3:uid="{9CF005F0-C076-4186-AFC9-9706A693F7F9}" name="MATERIAL">
      <calculatedColumnFormula>+IF(B31="","",B31)</calculatedColumnFormula>
    </tableColumn>
    <tableColumn id="2" xr3:uid="{36D98F47-7492-41C2-80E6-0FF42516BE15}" name="CANTIDAD" dataDxfId="85">
      <calculatedColumnFormula>IF(D31="","",(D31/F31)*INDEX(CANT_PROYECTO,MATCH($B$13,ITEM,0)))</calculatedColumnFormula>
    </tableColumn>
  </tableColumns>
  <tableStyleInfo name="TableStyleMedium2" showFirstColumn="0" showLastColumn="0" showRowStripes="1" showColumnStripes="0"/>
</table>
</file>

<file path=xl/tables/table1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37217651-07B5-47A0-96FE-50DC3B1549F6}" name="APU_1" displayName="APU_1" ref="L30:M38" totalsRowShown="0">
  <autoFilter ref="L30:M38" xr:uid="{043C91BA-4E8E-4430-8FAB-2D1692240FB6}"/>
  <tableColumns count="2">
    <tableColumn id="1" xr3:uid="{D318C34C-7051-46E5-8810-183573826CF9}" name="MATERIAL">
      <calculatedColumnFormula>+IF(B31="","",B31)</calculatedColumnFormula>
    </tableColumn>
    <tableColumn id="2" xr3:uid="{830EE855-8BDD-420D-8CE8-08C906C3A9A8}" name="CANTIDAD" dataDxfId="84">
      <calculatedColumnFormula>IF(D31="","",(D31/F31)*INDEX(CANT_PROYECTO,MATCH($B$13,ITEM,0)))</calculatedColumnFormula>
    </tableColumn>
  </tableColumns>
  <tableStyleInfo name="TableStyleMedium2" showFirstColumn="0" showLastColumn="0" showRowStripes="1" showColumnStripes="0"/>
</table>
</file>

<file path=xl/tables/table1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9168D8F6-AC04-4E20-8F1A-36DB447F05C1}" name="APU_2" displayName="APU_2" ref="L30:M38" totalsRowShown="0">
  <autoFilter ref="L30:M38" xr:uid="{043C91BA-4E8E-4430-8FAB-2D1692240FB6}"/>
  <tableColumns count="2">
    <tableColumn id="1" xr3:uid="{20E5B3B5-52B9-463F-81AB-80222EA2B283}" name="MATERIAL">
      <calculatedColumnFormula>+IF(B31="","",B31)</calculatedColumnFormula>
    </tableColumn>
    <tableColumn id="2" xr3:uid="{D38C6701-0FE7-45FA-A6F6-377F00C2A7AB}" name="CANTIDAD" dataDxfId="83">
      <calculatedColumnFormula>IF(D31="","",(D31/F31)*INDEX(CANT_PROYECTO,MATCH($B$13,ITEM,0)))</calculatedColumnFormula>
    </tableColumn>
  </tableColumns>
  <tableStyleInfo name="TableStyleMedium2" showFirstColumn="0" showLastColumn="0" showRowStripes="1" showColumnStripes="0"/>
</table>
</file>

<file path=xl/tables/table1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EE209571-14A9-43BD-97BB-5F77653C0B4A}" name="APU_3" displayName="APU_3" ref="L30:N38" totalsRowShown="0">
  <autoFilter ref="L30:N38" xr:uid="{043C91BA-4E8E-4430-8FAB-2D1692240FB6}"/>
  <tableColumns count="3">
    <tableColumn id="1" xr3:uid="{3290D009-9E80-4690-91F0-8FE78BE74EFF}" name="MATERIAL">
      <calculatedColumnFormula>+IF(B31="","",B31)</calculatedColumnFormula>
    </tableColumn>
    <tableColumn id="2" xr3:uid="{41654CC3-DFE8-4464-ABFC-CCF8D94BF570}" name="CANTIDAD" dataDxfId="82">
      <calculatedColumnFormula>IF(D31="","",(D31/F31)*INDEX(CANT_PROYECTO,MATCH($B$13,ITEM,0)))</calculatedColumnFormula>
    </tableColumn>
    <tableColumn id="3" xr3:uid="{412FFBCA-D9EC-47A3-98A2-44616595CFF2}" name="Columna1" dataDxfId="81"/>
  </tableColumns>
  <tableStyleInfo name="TableStyleMedium2" showFirstColumn="0" showLastColumn="0" showRowStripes="1" showColumnStripes="0"/>
</table>
</file>

<file path=xl/tables/table1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9282B0FA-9FA5-4B24-B268-32A122BCD8CA}" name="APU_4" displayName="APU_4" ref="L30:M38" totalsRowShown="0">
  <autoFilter ref="L30:M38" xr:uid="{043C91BA-4E8E-4430-8FAB-2D1692240FB6}"/>
  <tableColumns count="2">
    <tableColumn id="1" xr3:uid="{2F9BE8E2-232B-489B-878A-502A728A95A2}" name="MATERIAL">
      <calculatedColumnFormula>+IF(B31="","",B31)</calculatedColumnFormula>
    </tableColumn>
    <tableColumn id="2" xr3:uid="{433E2371-CF8B-4B41-8D1B-262C0C1DEC62}" name="CANTIDAD" dataDxfId="80">
      <calculatedColumnFormula>IF(D31="","",(D31/F31)*INDEX(CANT_PROYECTO,MATCH($B$13,ITEM,0)))</calculatedColumnFormula>
    </tableColumn>
  </tableColumns>
  <tableStyleInfo name="TableStyleMedium2" showFirstColumn="0" showLastColumn="0" showRowStripes="1" showColumnStripes="0"/>
</table>
</file>

<file path=xl/tables/table1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02A6A1FE-6A44-4361-90FB-AD72E5752B37}" name="APU_5" displayName="APU_5" ref="L31:M39" totalsRowShown="0">
  <autoFilter ref="L31:M39" xr:uid="{043C91BA-4E8E-4430-8FAB-2D1692240FB6}"/>
  <tableColumns count="2">
    <tableColumn id="1" xr3:uid="{1FBA649A-5CB7-42D6-B5A4-8FE0E8386420}" name="MATERIAL">
      <calculatedColumnFormula>+IF(B32="","",B32)</calculatedColumnFormula>
    </tableColumn>
    <tableColumn id="2" xr3:uid="{28356C7F-71E4-42E5-8094-119E086C46C1}" name="CANTIDAD" dataDxfId="79">
      <calculatedColumnFormula>IF(D32="","",(D32/F32)*INDEX(CANT_PROYECTO,MATCH($B$13,ITEM,0)))</calculatedColumnFormula>
    </tableColumn>
  </tableColumns>
  <tableStyleInfo name="TableStyleMedium2" showFirstColumn="0" showLastColumn="0" showRowStripes="1" showColumnStripes="0"/>
</table>
</file>

<file path=xl/tables/table1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4BE8DF48-600E-45D3-AE7B-C54D15EB7CE6}" name="APU_6" displayName="APU_6" ref="L30:M38" totalsRowShown="0">
  <autoFilter ref="L30:M38" xr:uid="{043C91BA-4E8E-4430-8FAB-2D1692240FB6}"/>
  <tableColumns count="2">
    <tableColumn id="1" xr3:uid="{514D8BD7-3D50-44D0-B242-84DE4901D244}" name="MATERIAL">
      <calculatedColumnFormula>+IF(B31="","",B31)</calculatedColumnFormula>
    </tableColumn>
    <tableColumn id="2" xr3:uid="{3EDA2C7A-1F9C-4A26-80C0-461F3B26531F}" name="CANTIDAD" dataDxfId="78">
      <calculatedColumnFormula>IF(D31="","",(D31/F31)*INDEX(CANT_PROYECTO,MATCH($B$13,ITEM,0)))</calculatedColumnFormula>
    </tableColumn>
  </tableColumns>
  <tableStyleInfo name="TableStyleMedium2" showFirstColumn="0" showLastColumn="0" showRowStripes="1" showColumnStripes="0"/>
</table>
</file>

<file path=xl/tables/table1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6A6C482F-C232-4AC8-B175-84D757670687}" name="APU_7" displayName="APU_7" ref="L30:M38" totalsRowShown="0">
  <autoFilter ref="L30:M38" xr:uid="{043C91BA-4E8E-4430-8FAB-2D1692240FB6}"/>
  <tableColumns count="2">
    <tableColumn id="1" xr3:uid="{C5DA49F1-6B20-46DB-BE8B-F6C6D29ACA2D}" name="MATERIAL">
      <calculatedColumnFormula>+IF(B31="","",B31)</calculatedColumnFormula>
    </tableColumn>
    <tableColumn id="2" xr3:uid="{6C24ED8B-47E3-45B1-A132-F91293A6CF06}" name="CANTIDAD" dataDxfId="77">
      <calculatedColumnFormula>IF(D31="","",(D31/F31)*INDEX(CANT_PROYECTO,MATCH($B$13,ITEM,0)))</calculatedColumnFormula>
    </tableColumn>
  </tableColumns>
  <tableStyleInfo name="TableStyleMedium2" showFirstColumn="0" showLastColumn="0" showRowStripes="1" showColumnStripes="0"/>
</table>
</file>

<file path=xl/tables/table1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5E568218-FA98-4F64-A5F4-D54F285328F1}" name="APU_8" displayName="APU_8" ref="L30:M38" totalsRowShown="0">
  <autoFilter ref="L30:M38" xr:uid="{043C91BA-4E8E-4430-8FAB-2D1692240FB6}"/>
  <tableColumns count="2">
    <tableColumn id="1" xr3:uid="{6FCFB353-C1BE-4A4D-8C98-6CF75FB1DC88}" name="MATERIAL">
      <calculatedColumnFormula>+IF(B31="","",B31)</calculatedColumnFormula>
    </tableColumn>
    <tableColumn id="2" xr3:uid="{FBDFFD47-BB61-4515-BC37-160055730F31}" name="CANTIDAD" dataDxfId="76">
      <calculatedColumnFormula>IF(D31="","",(D31/F31)*INDEX(CANT_PROYECTO,MATCH($B$13,ITEM,0)))</calculatedColumnFormula>
    </tableColumn>
  </tableColumns>
  <tableStyleInfo name="TableStyleMedium2" showFirstColumn="0" showLastColumn="0" showRowStripes="1" showColumnStripes="0"/>
</table>
</file>

<file path=xl/tables/table1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E2C02439-22B4-4526-9124-C14C99F18CBD}" name="APU_9" displayName="APU_9" ref="L30:M38" totalsRowShown="0">
  <autoFilter ref="L30:M38" xr:uid="{043C91BA-4E8E-4430-8FAB-2D1692240FB6}"/>
  <tableColumns count="2">
    <tableColumn id="1" xr3:uid="{9A20BBD7-F030-4AFA-B11E-9E365A073725}" name="MATERIAL">
      <calculatedColumnFormula>+IF(B31="","",B31)</calculatedColumnFormula>
    </tableColumn>
    <tableColumn id="2" xr3:uid="{431A4D64-06A8-429A-8B6E-F3CEA1F432A6}" name="CANTIDAD" dataDxfId="75">
      <calculatedColumnFormula>IF(D31="","",(D31/F31)*INDEX(CANT_PROYECTO,MATCH($B$13,ITEM,0)))</calculatedColumnFormula>
    </tableColumn>
  </tableColumns>
  <tableStyleInfo name="TableStyleMedium2" showFirstColumn="0" showLastColumn="0" showRowStripes="1" showColumnStripes="0"/>
</table>
</file>

<file path=xl/tables/table1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70A0EE5A-90F4-4D46-BE32-CD7C844640B4}" name="APU_10" displayName="APU_10" ref="L30:M38" totalsRowShown="0">
  <autoFilter ref="L30:M38" xr:uid="{043C91BA-4E8E-4430-8FAB-2D1692240FB6}"/>
  <tableColumns count="2">
    <tableColumn id="1" xr3:uid="{7063A6FA-85CE-4402-A912-34F62A50E30E}" name="MATERIAL">
      <calculatedColumnFormula>+IF(B31="","",B31)</calculatedColumnFormula>
    </tableColumn>
    <tableColumn id="2" xr3:uid="{957415F6-078D-40E5-8C98-A9AF6F5AFF06}" name="CANTIDAD" dataDxfId="74">
      <calculatedColumnFormula>IF(D31="","",(D31/F31)*INDEX(CANT_PROYECTO,MATCH($B$13,ITEM,0)))</calculatedColumnFormula>
    </tableColumn>
  </tableColumns>
  <tableStyleInfo name="TableStyleMedium2" showFirstColumn="0" showLastColumn="0" showRowStripes="1" showColumnStripes="0"/>
</table>
</file>

<file path=xl/tables/table1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6DAF7ED2-E7DD-4CB7-B767-957FF05C2F18}" name="APU_11" displayName="APU_11" ref="L30:M38" totalsRowShown="0">
  <autoFilter ref="L30:M38" xr:uid="{043C91BA-4E8E-4430-8FAB-2D1692240FB6}"/>
  <tableColumns count="2">
    <tableColumn id="1" xr3:uid="{362545D9-FC63-4B45-9833-A9C5F834D4E1}" name="MATERIAL">
      <calculatedColumnFormula>+IF(B31="","",B31)</calculatedColumnFormula>
    </tableColumn>
    <tableColumn id="2" xr3:uid="{F50AF365-EAC5-4A47-9E9A-D0FD2302672F}" name="CANTIDAD" dataDxfId="73">
      <calculatedColumnFormula>IF(D31="","",(D31/F31)*INDEX(CANT_PROYECTO,MATCH($B$13,ITEM,0)))</calculatedColumnFormula>
    </tableColumn>
  </tableColumns>
  <tableStyleInfo name="TableStyleMedium2" showFirstColumn="0" showLastColumn="0" showRowStripes="1" showColumnStripes="0"/>
</table>
</file>

<file path=xl/tables/table1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EE186DA6-9D09-4A8A-893D-95EF5A55F131}" name="APU_12" displayName="APU_12" ref="L30:M38" totalsRowShown="0">
  <autoFilter ref="L30:M38" xr:uid="{043C91BA-4E8E-4430-8FAB-2D1692240FB6}"/>
  <tableColumns count="2">
    <tableColumn id="1" xr3:uid="{A1FA6E96-F154-45FF-88D2-D9F8E028F599}" name="MATERIAL">
      <calculatedColumnFormula>+IF(B31="","",B31)</calculatedColumnFormula>
    </tableColumn>
    <tableColumn id="2" xr3:uid="{85A46A74-E9F1-4A4B-BB50-7476E7A0E81B}" name="CANTIDAD" dataDxfId="72">
      <calculatedColumnFormula>IF(D31="","",(D31/F31)*INDEX(CANT_PROYECTO,MATCH($B$13,ITEM,0)))</calculatedColumnFormula>
    </tableColumn>
  </tableColumns>
  <tableStyleInfo name="TableStyleMedium2" showFirstColumn="0" showLastColumn="0" showRowStripes="1" showColumnStripes="0"/>
</table>
</file>

<file path=xl/tables/table1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9879D2CC-319E-45DC-B487-01A2332583E8}" name="APU_13" displayName="APU_13" ref="L30:M38" totalsRowShown="0">
  <autoFilter ref="L30:M38" xr:uid="{043C91BA-4E8E-4430-8FAB-2D1692240FB6}"/>
  <tableColumns count="2">
    <tableColumn id="1" xr3:uid="{7128CC93-FCE6-4C3F-B072-21CFA49D81E6}" name="MATERIAL">
      <calculatedColumnFormula>+IF(B31="","",B31)</calculatedColumnFormula>
    </tableColumn>
    <tableColumn id="2" xr3:uid="{2853AAF3-FFA4-45DF-912B-FBEB91BC706F}" name="CANTIDAD" dataDxfId="71">
      <calculatedColumnFormula>IF(D31="","",(D31/F31)*INDEX(CANT_PROYECTO,MATCH($B$13,ITEM,0)))</calculatedColumnFormula>
    </tableColumn>
  </tableColumns>
  <tableStyleInfo name="TableStyleMedium2" showFirstColumn="0" showLastColumn="0" showRowStripes="1" showColumnStripes="0"/>
</table>
</file>

<file path=xl/tables/table1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DA8682F7-74D7-4349-A33D-C0DC7D766C10}" name="APU_14" displayName="APU_14" ref="L30:M38" totalsRowShown="0">
  <autoFilter ref="L30:M38" xr:uid="{043C91BA-4E8E-4430-8FAB-2D1692240FB6}"/>
  <tableColumns count="2">
    <tableColumn id="1" xr3:uid="{24D4BDA7-A9B1-4B13-A289-2702A88F288D}" name="MATERIAL">
      <calculatedColumnFormula>+IF(B31="","",B31)</calculatedColumnFormula>
    </tableColumn>
    <tableColumn id="2" xr3:uid="{AD3DAF66-859D-4B8C-A8CF-5081C1160B06}" name="CANTIDAD" dataDxfId="70">
      <calculatedColumnFormula>IF(D31="","",(D31/F31)*INDEX(CANT_PROYECTO,MATCH($B$13,ITEM,0)))</calculatedColumnFormula>
    </tableColumn>
  </tableColumns>
  <tableStyleInfo name="TableStyleMedium2" showFirstColumn="0" showLastColumn="0" showRowStripes="1" showColumnStripes="0"/>
</table>
</file>

<file path=xl/tables/table1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ADCF545E-33D6-4EFB-9FC3-65400AA1CCB5}" name="APU_15" displayName="APU_15" ref="L30:M38" totalsRowShown="0">
  <autoFilter ref="L30:M38" xr:uid="{043C91BA-4E8E-4430-8FAB-2D1692240FB6}"/>
  <tableColumns count="2">
    <tableColumn id="1" xr3:uid="{A84BD43E-F9CA-414D-9D75-CEF65A10F1A0}" name="MATERIAL">
      <calculatedColumnFormula>+IF(B31="","",B31)</calculatedColumnFormula>
    </tableColumn>
    <tableColumn id="2" xr3:uid="{A53259F9-F678-4478-95E3-DBAC687CFE64}" name="CANTIDAD" dataDxfId="69">
      <calculatedColumnFormula>IF(D31="","",(D31/F31)*INDEX(CANT_PROYECTO,MATCH($B$13,ITEM,0)))</calculatedColumnFormula>
    </tableColumn>
  </tableColumns>
  <tableStyleInfo name="TableStyleMedium2" showFirstColumn="0" showLastColumn="0" showRowStripes="1" showColumnStripes="0"/>
</table>
</file>

<file path=xl/tables/table1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AB3B4B10-A005-48B0-9F3B-BEBDC37DBB57}" name="APU_16" displayName="APU_16" ref="L30:M38" totalsRowShown="0">
  <autoFilter ref="L30:M38" xr:uid="{043C91BA-4E8E-4430-8FAB-2D1692240FB6}"/>
  <tableColumns count="2">
    <tableColumn id="1" xr3:uid="{6C497DDC-4C53-4760-9F94-1A779483532B}" name="MATERIAL">
      <calculatedColumnFormula>+IF(B31="","",B31)</calculatedColumnFormula>
    </tableColumn>
    <tableColumn id="2" xr3:uid="{BA3DD3F1-A1BB-4287-B0D6-9499759E0B18}" name="CANTIDAD" dataDxfId="68">
      <calculatedColumnFormula>IF(D31="","",(D31/F31)*INDEX(CANT_PROYECTO,MATCH($B$13,ITEM,0)))</calculatedColumnFormula>
    </tableColumn>
  </tableColumns>
  <tableStyleInfo name="TableStyleMedium2" showFirstColumn="0" showLastColumn="0" showRowStripes="1" showColumnStripes="0"/>
</table>
</file>

<file path=xl/tables/table1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1E2C0762-8F3D-4D0B-898D-A48D3B9C7AB4}" name="APU_17" displayName="APU_17" ref="L30:M38" totalsRowShown="0">
  <autoFilter ref="L30:M38" xr:uid="{043C91BA-4E8E-4430-8FAB-2D1692240FB6}"/>
  <tableColumns count="2">
    <tableColumn id="1" xr3:uid="{898619CC-41D2-4A40-9C39-F10F4B5F6E3A}" name="MATERIAL">
      <calculatedColumnFormula>+IF(B31="","",B31)</calculatedColumnFormula>
    </tableColumn>
    <tableColumn id="2" xr3:uid="{2F6C9776-B034-4B35-8731-C8AA896BE30C}" name="CANTIDAD" dataDxfId="67">
      <calculatedColumnFormula>IF(D31="","",(D31/F31)*INDEX(CANT_PROYECTO,MATCH($B$13,ITEM,0)))</calculatedColumnFormula>
    </tableColumn>
  </tableColumns>
  <tableStyleInfo name="TableStyleMedium2" showFirstColumn="0" showLastColumn="0" showRowStripes="1" showColumnStripes="0"/>
</table>
</file>

<file path=xl/tables/table1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9B3B038F-A5BE-414A-A630-9D141D5ACBC5}" name="APU_18" displayName="APU_18" ref="L31:M39" totalsRowShown="0">
  <autoFilter ref="L31:M39" xr:uid="{043C91BA-4E8E-4430-8FAB-2D1692240FB6}"/>
  <tableColumns count="2">
    <tableColumn id="1" xr3:uid="{8A0C3169-1F1D-4976-9DC7-80B1476FFD97}" name="MATERIAL">
      <calculatedColumnFormula>+IF(B32="","",B32)</calculatedColumnFormula>
    </tableColumn>
    <tableColumn id="2" xr3:uid="{625BBB75-2DC0-440B-9DDB-C7A16BC86D53}" name="CANTIDAD" dataDxfId="66">
      <calculatedColumnFormula>IF(D32="","",(D32/F32)*INDEX(CANT_PROYECTO,MATCH($B$13,ITEM,0)))</calculatedColumnFormula>
    </tableColumn>
  </tableColumns>
  <tableStyleInfo name="TableStyleMedium2" showFirstColumn="0" showLastColumn="0" showRowStripes="1" showColumnStripes="0"/>
</table>
</file>

<file path=xl/tables/table1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811225D1-F944-4231-9C50-B41D0206B92C}" name="APU_19" displayName="APU_19" ref="L30:M38" totalsRowShown="0">
  <autoFilter ref="L30:M38" xr:uid="{043C91BA-4E8E-4430-8FAB-2D1692240FB6}"/>
  <tableColumns count="2">
    <tableColumn id="1" xr3:uid="{88CA3E5E-2233-4649-A5C6-F13DABDB82BE}" name="MATERIAL">
      <calculatedColumnFormula>+IF(B31="","",B31)</calculatedColumnFormula>
    </tableColumn>
    <tableColumn id="2" xr3:uid="{0CC17F76-F587-4DF7-B0B4-128096826CC8}" name="CANTIDAD" dataDxfId="65">
      <calculatedColumnFormula>IF(D31="","",(D31/F31)*INDEX(CANT_PROYECTO,MATCH($B$13,ITEM,0)))</calculatedColumnFormula>
    </tableColumn>
  </tableColumns>
  <tableStyleInfo name="TableStyleMedium2" showFirstColumn="0" showLastColumn="0" showRowStripes="1" showColumnStripes="0"/>
</table>
</file>

<file path=xl/tables/table1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E7726192-3D9F-45AF-BA60-61916DEBA886}" name="APU_20" displayName="APU_20" ref="L30:M38" totalsRowShown="0">
  <autoFilter ref="L30:M38" xr:uid="{043C91BA-4E8E-4430-8FAB-2D1692240FB6}"/>
  <tableColumns count="2">
    <tableColumn id="1" xr3:uid="{F56348B0-34DD-478B-8D22-79EB0FDA2073}" name="MATERIAL">
      <calculatedColumnFormula>+IF(B31="","",B31)</calculatedColumnFormula>
    </tableColumn>
    <tableColumn id="2" xr3:uid="{506369BE-66DB-424B-AAFD-277D79110BEE}" name="CANTIDAD" dataDxfId="64">
      <calculatedColumnFormula>IF(D31="","",(D31/F31)*INDEX(CANT_PROYECTO,MATCH($B$13,ITEM,0)))</calculatedColumnFormula>
    </tableColumn>
  </tableColumns>
  <tableStyleInfo name="TableStyleMedium2" showFirstColumn="0" showLastColumn="0" showRowStripes="1" showColumnStripes="0"/>
</table>
</file>

<file path=xl/tables/table1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94C93AD8-C15C-4B93-BC3D-02F882BDCAF4}" name="APU_21" displayName="APU_21" ref="L30:M38" totalsRowShown="0">
  <autoFilter ref="L30:M38" xr:uid="{043C91BA-4E8E-4430-8FAB-2D1692240FB6}"/>
  <tableColumns count="2">
    <tableColumn id="1" xr3:uid="{F1538C77-A837-42E1-88E6-AFDEA36DE8B4}" name="MATERIAL">
      <calculatedColumnFormula>+IF(B31="","",B31)</calculatedColumnFormula>
    </tableColumn>
    <tableColumn id="2" xr3:uid="{3FB01565-479E-4AED-AC59-F7FE3A8BEDA1}" name="CANTIDAD" dataDxfId="63">
      <calculatedColumnFormula>IF(D31="","",(D31/F31)*INDEX(CANT_PROYECTO,MATCH($B$13,ITEM,0)))</calculatedColumnFormula>
    </tableColumn>
  </tableColumns>
  <tableStyleInfo name="TableStyleMedium2" showFirstColumn="0" showLastColumn="0" showRowStripes="1" showColumnStripes="0"/>
</table>
</file>

<file path=xl/tables/table1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6F7D041E-287B-486C-AAE9-AA1F83DE54D8}" name="APU_22" displayName="APU_22" ref="L30:M38" totalsRowShown="0">
  <autoFilter ref="L30:M38" xr:uid="{043C91BA-4E8E-4430-8FAB-2D1692240FB6}"/>
  <tableColumns count="2">
    <tableColumn id="1" xr3:uid="{FA643DC9-1709-4E31-8130-05B9EE07AC0E}" name="MATERIAL">
      <calculatedColumnFormula>+IF(B31="","",B31)</calculatedColumnFormula>
    </tableColumn>
    <tableColumn id="2" xr3:uid="{F835080B-9439-4CE9-92B9-D0AAA1BFFE95}" name="CANTIDAD" dataDxfId="62">
      <calculatedColumnFormula>IF(D31="","",(D31/F31)*INDEX(CANT_PROYECTO,MATCH($B$13,ITEM,0)))</calculatedColumnFormula>
    </tableColumn>
  </tableColumns>
  <tableStyleInfo name="TableStyleMedium2" showFirstColumn="0" showLastColumn="0" showRowStripes="1" showColumnStripes="0"/>
</table>
</file>

<file path=xl/tables/table2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8" xr:uid="{EF94D61D-B9A5-4E91-B8C4-F201F2FFE2A4}" name="APU_23" displayName="APU_23" ref="L30:M38" totalsRowShown="0">
  <autoFilter ref="L30:M38" xr:uid="{043C91BA-4E8E-4430-8FAB-2D1692240FB6}"/>
  <tableColumns count="2">
    <tableColumn id="1" xr3:uid="{88401767-73BF-46FF-B278-146A77ADDA08}" name="MATERIAL">
      <calculatedColumnFormula>+IF(B31="","",B31)</calculatedColumnFormula>
    </tableColumn>
    <tableColumn id="2" xr3:uid="{EE64A344-6965-4994-AF1B-70AB585EF32D}" name="CANTIDAD" dataDxfId="61">
      <calculatedColumnFormula>IF(D31="","",(D31/F31)*INDEX(CANT_PROYECTO,MATCH($B$13,ITEM,0)))</calculatedColumnFormula>
    </tableColumn>
  </tableColumns>
  <tableStyleInfo name="TableStyleMedium2" showFirstColumn="0" showLastColumn="0" showRowStripes="1" showColumnStripes="0"/>
</table>
</file>

<file path=xl/tables/table2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9" xr:uid="{33F684B4-AD9F-45D3-A9FB-4693B833C286}" name="APU_24" displayName="APU_24" ref="L30:M38" totalsRowShown="0">
  <autoFilter ref="L30:M38" xr:uid="{043C91BA-4E8E-4430-8FAB-2D1692240FB6}"/>
  <tableColumns count="2">
    <tableColumn id="1" xr3:uid="{B818C8AF-94CD-4F25-961C-52AABD3F5E8D}" name="MATERIAL">
      <calculatedColumnFormula>+IF(B31="","",B31)</calculatedColumnFormula>
    </tableColumn>
    <tableColumn id="2" xr3:uid="{DE66A60B-263A-425D-B4C6-8756D8F07179}" name="CANTIDAD" dataDxfId="60">
      <calculatedColumnFormula>IF(D31="","",(D31/F31)*INDEX(CANT_PROYECTO,MATCH($B$13,ITEM,0)))</calculatedColumnFormula>
    </tableColumn>
  </tableColumns>
  <tableStyleInfo name="TableStyleMedium2" showFirstColumn="0" showLastColumn="0" showRowStripes="1" showColumnStripes="0"/>
</table>
</file>

<file path=xl/tables/table2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2" xr:uid="{EBAB0FC8-915F-4C0E-A355-9ECF19462EB4}" name="APU_25" displayName="APU_25" ref="L30:M38" totalsRowShown="0">
  <autoFilter ref="L30:M38" xr:uid="{043C91BA-4E8E-4430-8FAB-2D1692240FB6}"/>
  <tableColumns count="2">
    <tableColumn id="1" xr3:uid="{737A61A4-EAAD-4175-8492-D96046557A05}" name="MATERIAL">
      <calculatedColumnFormula>+IF(B31="","",B31)</calculatedColumnFormula>
    </tableColumn>
    <tableColumn id="2" xr3:uid="{3AAA5D13-D18D-4F11-943E-E134433DED21}" name="CANTIDAD" dataDxfId="59">
      <calculatedColumnFormula>IF(D31="","",(D31/F31)*INDEX(CANT_PROYECTO,MATCH($B$13,ITEM,0)))</calculatedColumnFormula>
    </tableColumn>
  </tableColumns>
  <tableStyleInfo name="TableStyleMedium2" showFirstColumn="0" showLastColumn="0" showRowStripes="1" showColumnStripes="0"/>
</table>
</file>

<file path=xl/tables/table2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3" xr:uid="{D5B27DAA-A7D9-4359-890C-9077D528D616}" name="APU_26" displayName="APU_26" ref="L30:M38" totalsRowShown="0">
  <autoFilter ref="L30:M38" xr:uid="{043C91BA-4E8E-4430-8FAB-2D1692240FB6}"/>
  <tableColumns count="2">
    <tableColumn id="1" xr3:uid="{EB13D2ED-9346-4B2B-B219-222FE7307612}" name="MATERIAL">
      <calculatedColumnFormula>+IF(B31="","",B31)</calculatedColumnFormula>
    </tableColumn>
    <tableColumn id="2" xr3:uid="{53959051-217F-4278-8F34-208386335CEB}" name="CANTIDAD" dataDxfId="58">
      <calculatedColumnFormula>IF(D31="","",(D31/F31)*INDEX(CANT_PROYECTO,MATCH($B$13,ITEM,0)))</calculatedColumnFormula>
    </tableColumn>
  </tableColumns>
  <tableStyleInfo name="TableStyleMedium2" showFirstColumn="0" showLastColumn="0" showRowStripes="1" showColumnStripes="0"/>
</table>
</file>

<file path=xl/tables/table2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4" xr:uid="{36854B21-10DF-461D-9E0B-F7D516A233C5}" name="APU_27" displayName="APU_27" ref="L30:M38" totalsRowShown="0">
  <autoFilter ref="L30:M38" xr:uid="{043C91BA-4E8E-4430-8FAB-2D1692240FB6}"/>
  <tableColumns count="2">
    <tableColumn id="1" xr3:uid="{E3C9B259-592E-481B-AD4A-A9F7212DDFC5}" name="MATERIAL">
      <calculatedColumnFormula>+IF(B31="","",B31)</calculatedColumnFormula>
    </tableColumn>
    <tableColumn id="2" xr3:uid="{B525AC4F-43C6-4393-88DA-3C545C2212AD}" name="CANTIDAD" dataDxfId="57">
      <calculatedColumnFormula>IF(D31="","",(D31/F31)*INDEX(CANT_PROYECTO,MATCH($B$13,ITEM,0)))</calculatedColumnFormula>
    </tableColumn>
  </tableColumns>
  <tableStyleInfo name="TableStyleMedium2" showFirstColumn="0" showLastColumn="0" showRowStripes="1" showColumnStripes="0"/>
</table>
</file>

<file path=xl/tables/table2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5" xr:uid="{D4FDC82A-453E-4818-A386-A508AFE9CC26}" name="APU_28" displayName="APU_28" ref="L30:M38" totalsRowShown="0">
  <autoFilter ref="L30:M38" xr:uid="{043C91BA-4E8E-4430-8FAB-2D1692240FB6}"/>
  <tableColumns count="2">
    <tableColumn id="1" xr3:uid="{2E14CD4A-9E3B-4F0F-925D-F8D1167501FB}" name="MATERIAL">
      <calculatedColumnFormula>+IF(B31="","",B31)</calculatedColumnFormula>
    </tableColumn>
    <tableColumn id="2" xr3:uid="{EC0D001A-4E6E-4644-A40E-22117C360BCF}" name="CANTIDAD" dataDxfId="56">
      <calculatedColumnFormula>IF(D31="","",(D31/F31)*INDEX(CANT_PROYECTO,MATCH($B$13,ITEM,0)))</calculatedColumnFormula>
    </tableColumn>
  </tableColumns>
  <tableStyleInfo name="TableStyleMedium2" showFirstColumn="0" showLastColumn="0" showRowStripes="1" showColumnStripes="0"/>
</table>
</file>

<file path=xl/tables/table2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6" xr:uid="{D0CAA89F-ADD8-4A5D-9A92-A66C2F9BD6A3}" name="APU_29" displayName="APU_29" ref="L30:M38" totalsRowShown="0">
  <autoFilter ref="L30:M38" xr:uid="{043C91BA-4E8E-4430-8FAB-2D1692240FB6}"/>
  <tableColumns count="2">
    <tableColumn id="1" xr3:uid="{3621C003-C79F-4A8C-8C9E-C413816AF2FB}" name="MATERIAL">
      <calculatedColumnFormula>+IF(B31="","",B31)</calculatedColumnFormula>
    </tableColumn>
    <tableColumn id="2" xr3:uid="{73C5A3A8-3CDC-4AD5-8283-AACA7F555B17}" name="CANTIDAD" dataDxfId="55">
      <calculatedColumnFormula>IF(D31="","",(D31/F31)*INDEX(CANT_PROYECTO,MATCH($B$13,ITEM,0)))</calculatedColumnFormula>
    </tableColumn>
  </tableColumns>
  <tableStyleInfo name="TableStyleMedium2" showFirstColumn="0" showLastColumn="0" showRowStripes="1" showColumnStripes="0"/>
</table>
</file>

<file path=xl/tables/table2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7" xr:uid="{4BEBD122-B334-4864-BCD0-D4E6E266FB96}" name="APU_30" displayName="APU_30" ref="L30:M38" totalsRowShown="0">
  <autoFilter ref="L30:M38" xr:uid="{043C91BA-4E8E-4430-8FAB-2D1692240FB6}"/>
  <tableColumns count="2">
    <tableColumn id="1" xr3:uid="{49D691B1-00A4-42EE-8235-0FDC48CBC400}" name="MATERIAL">
      <calculatedColumnFormula>+IF(B31="","",B31)</calculatedColumnFormula>
    </tableColumn>
    <tableColumn id="2" xr3:uid="{19CE2D61-68A0-42D9-9E66-DFB98212F652}" name="CANTIDAD" dataDxfId="54">
      <calculatedColumnFormula>IF(D31="","",(D31/F31)*INDEX(CANT_PROYECTO,MATCH($B$13,ITEM,0)))</calculatedColumnFormula>
    </tableColumn>
  </tableColumns>
  <tableStyleInfo name="TableStyleMedium2" showFirstColumn="0" showLastColumn="0" showRowStripes="1" showColumnStripes="0"/>
</table>
</file>

<file path=xl/tables/table2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8" xr:uid="{2FF464C5-92B1-4BD6-9F3D-0A42EB57D076}" name="APU_31" displayName="APU_31" ref="L30:M38" totalsRowShown="0">
  <autoFilter ref="L30:M38" xr:uid="{043C91BA-4E8E-4430-8FAB-2D1692240FB6}"/>
  <tableColumns count="2">
    <tableColumn id="1" xr3:uid="{E893B83B-5449-4EA0-B1B7-AC2F405D2051}" name="MATERIAL">
      <calculatedColumnFormula>+IF(B31="","",B31)</calculatedColumnFormula>
    </tableColumn>
    <tableColumn id="2" xr3:uid="{75162775-EB80-4915-9836-F62E7E61C864}" name="CANTIDAD" dataDxfId="53">
      <calculatedColumnFormula>IF(D31="","",(D31/F31)*INDEX(CANT_PROYECTO,MATCH($B$13,ITEM,0)))</calculatedColumnFormula>
    </tableColumn>
  </tableColumns>
  <tableStyleInfo name="TableStyleMedium2" showFirstColumn="0" showLastColumn="0" showRowStripes="1" showColumnStripes="0"/>
</table>
</file>

<file path=xl/tables/table2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0" xr:uid="{AB04BD9C-9296-452A-85FF-80A2023678B5}" name="APU_32" displayName="APU_32" ref="L30:M38" totalsRowShown="0">
  <autoFilter ref="L30:M38" xr:uid="{043C91BA-4E8E-4430-8FAB-2D1692240FB6}"/>
  <tableColumns count="2">
    <tableColumn id="1" xr3:uid="{FDC81A3C-A5FD-4A28-8E77-7A5804B1B35B}" name="MATERIAL">
      <calculatedColumnFormula>+IF(B31="","",B31)</calculatedColumnFormula>
    </tableColumn>
    <tableColumn id="2" xr3:uid="{4B4A25E3-C851-4601-8825-59D3AF996EC7}" name="CANTIDAD" dataDxfId="52">
      <calculatedColumnFormula>IF(D31="","",(D31/F31)*INDEX(CANT_PROYECTO,MATCH($B$13,ITEM,0)))</calculatedColumnFormula>
    </tableColumn>
  </tableColumns>
  <tableStyleInfo name="TableStyleMedium2" showFirstColumn="0" showLastColumn="0" showRowStripes="1" showColumnStripes="0"/>
</table>
</file>

<file path=xl/tables/table2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1" xr:uid="{E87556F2-858F-4511-87C5-8A7BA86F8919}" name="APU_33" displayName="APU_33" ref="L30:M38" totalsRowShown="0">
  <autoFilter ref="L30:M38" xr:uid="{043C91BA-4E8E-4430-8FAB-2D1692240FB6}"/>
  <tableColumns count="2">
    <tableColumn id="1" xr3:uid="{0A11FF4B-503F-4537-A2AC-8981144E726C}" name="MATERIAL">
      <calculatedColumnFormula>+IF(B31="","",B31)</calculatedColumnFormula>
    </tableColumn>
    <tableColumn id="2" xr3:uid="{39891D35-0B42-4245-A8FE-7796A13EF1A6}" name="CANTIDAD" dataDxfId="51">
      <calculatedColumnFormula>IF(D31="","",(D31/F31)*INDEX(CANT_PROYECTO,MATCH($B$13,ITEM,0)))</calculatedColumnFormula>
    </tableColumn>
  </tableColumns>
  <tableStyleInfo name="TableStyleMedium2" showFirstColumn="0" showLastColumn="0" showRowStripes="1" showColumnStripes="0"/>
</table>
</file>

<file path=xl/tables/table2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2" xr:uid="{B016EF52-8D42-4F01-A145-D1609E415044}" name="APU_34" displayName="APU_34" ref="L30:M38" totalsRowShown="0">
  <autoFilter ref="L30:M38" xr:uid="{043C91BA-4E8E-4430-8FAB-2D1692240FB6}"/>
  <tableColumns count="2">
    <tableColumn id="1" xr3:uid="{1C83D1B8-81B4-4B32-B160-E55AFAB9C029}" name="MATERIAL">
      <calculatedColumnFormula>+IF(B31="","",B31)</calculatedColumnFormula>
    </tableColumn>
    <tableColumn id="2" xr3:uid="{A10318B2-0D27-47FD-BC7D-37884F9F6723}" name="CANTIDAD" dataDxfId="50">
      <calculatedColumnFormula>IF(D31="","",(D31/F31)*INDEX(CANT_PROYECTO,MATCH($B$13,ITEM,0)))</calculatedColumnFormula>
    </tableColumn>
  </tableColumns>
  <tableStyleInfo name="TableStyleMedium2" showFirstColumn="0" showLastColumn="0" showRowStripes="1" showColumnStripes="0"/>
</table>
</file>

<file path=xl/tables/table2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3" xr:uid="{A5A3FA01-8907-4C29-B669-4C2FBC01BCBF}" name="APU_35" displayName="APU_35" ref="L30:M38" totalsRowShown="0">
  <autoFilter ref="L30:M38" xr:uid="{043C91BA-4E8E-4430-8FAB-2D1692240FB6}"/>
  <tableColumns count="2">
    <tableColumn id="1" xr3:uid="{0897294A-7DF3-4EC5-A81A-6336A2BFEBD8}" name="MATERIAL">
      <calculatedColumnFormula>+IF(B31="","",B31)</calculatedColumnFormula>
    </tableColumn>
    <tableColumn id="2" xr3:uid="{E266F85F-4C1A-4A35-9A5F-00249EE72B46}" name="CANTIDAD" dataDxfId="49">
      <calculatedColumnFormula>IF(D31="","",(D31/F31)*INDEX(CANT_PROYECTO,MATCH($B$13,ITEM,0)))</calculatedColumnFormula>
    </tableColumn>
  </tableColumns>
  <tableStyleInfo name="TableStyleMedium2" showFirstColumn="0" showLastColumn="0" showRowStripes="1" showColumnStripes="0"/>
</table>
</file>

<file path=xl/tables/table2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4" xr:uid="{202A17E8-6D79-442D-A338-E94592A619D4}" name="APU_36" displayName="APU_36" ref="L30:M38" totalsRowShown="0">
  <autoFilter ref="L30:M38" xr:uid="{043C91BA-4E8E-4430-8FAB-2D1692240FB6}"/>
  <tableColumns count="2">
    <tableColumn id="1" xr3:uid="{51CF7B72-6F5E-46FA-89BE-B78DD355E8F1}" name="MATERIAL">
      <calculatedColumnFormula>+IF(B31="","",B31)</calculatedColumnFormula>
    </tableColumn>
    <tableColumn id="2" xr3:uid="{2DE322F2-64A2-403F-912C-CDDEF76C42EF}" name="CANTIDAD" dataDxfId="48">
      <calculatedColumnFormula>IF(D31="","",(D31/F31)*INDEX(CANT_PROYECTO,MATCH($B$13,ITEM,0)))</calculatedColumnFormula>
    </tableColumn>
  </tableColumns>
  <tableStyleInfo name="TableStyleMedium2" showFirstColumn="0" showLastColumn="0" showRowStripes="1" showColumnStripes="0"/>
</table>
</file>

<file path=xl/tables/table2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5" xr:uid="{50861B12-1547-4D81-88EB-42C3EC3E0DD2}" name="APU_37" displayName="APU_37" ref="L30:M38" totalsRowShown="0">
  <autoFilter ref="L30:M38" xr:uid="{043C91BA-4E8E-4430-8FAB-2D1692240FB6}"/>
  <tableColumns count="2">
    <tableColumn id="1" xr3:uid="{F512B059-08E8-478A-AD70-9D9950DFC4D3}" name="MATERIAL">
      <calculatedColumnFormula>+IF(B31="","",B31)</calculatedColumnFormula>
    </tableColumn>
    <tableColumn id="2" xr3:uid="{98B5EB59-CD48-495D-804C-996572794646}" name="CANTIDAD" dataDxfId="47">
      <calculatedColumnFormula>IF(D31="","",(D31/F31)*INDEX(CANT_PROYECTO,MATCH($B$13,ITEM,0)))</calculatedColumnFormula>
    </tableColumn>
  </tableColumns>
  <tableStyleInfo name="TableStyleMedium2" showFirstColumn="0" showLastColumn="0" showRowStripes="1" showColumnStripes="0"/>
</table>
</file>

<file path=xl/tables/table2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6" xr:uid="{FA75A75D-D4A0-4C5A-AD0D-C9D41AF301BC}" name="APU_38" displayName="APU_38" ref="L30:M38" totalsRowShown="0">
  <autoFilter ref="L30:M38" xr:uid="{043C91BA-4E8E-4430-8FAB-2D1692240FB6}"/>
  <tableColumns count="2">
    <tableColumn id="1" xr3:uid="{5AD954F5-433D-4537-9E6D-59244EFE0048}" name="MATERIAL">
      <calculatedColumnFormula>+IF(B31="","",B31)</calculatedColumnFormula>
    </tableColumn>
    <tableColumn id="2" xr3:uid="{951220E9-3CAB-4616-A394-58BD653F852A}" name="CANTIDAD" dataDxfId="46">
      <calculatedColumnFormula>IF(D31="","",(D31/F31)*INDEX(CANT_PROYECTO,MATCH($B$13,ITEM,0)))</calculatedColumnFormula>
    </tableColumn>
  </tableColumns>
  <tableStyleInfo name="TableStyleMedium2" showFirstColumn="0" showLastColumn="0" showRowStripes="1" showColumnStripes="0"/>
</table>
</file>

<file path=xl/tables/table2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7" xr:uid="{05811631-E93D-49C9-AC31-FA21C2787583}" name="APU_39" displayName="APU_39" ref="L30:M38" totalsRowShown="0">
  <autoFilter ref="L30:M38" xr:uid="{043C91BA-4E8E-4430-8FAB-2D1692240FB6}"/>
  <tableColumns count="2">
    <tableColumn id="1" xr3:uid="{2C12A3ED-8FE8-4F32-8583-7A6FC4F99DE7}" name="MATERIAL">
      <calculatedColumnFormula>+IF(B31="","",B31)</calculatedColumnFormula>
    </tableColumn>
    <tableColumn id="2" xr3:uid="{C648FE66-D9EF-49DD-807B-4BCE094A11B5}" name="CANTIDAD" dataDxfId="45">
      <calculatedColumnFormula>IF(D31="","",(D31/F31)*INDEX(CANT_PROYECTO,MATCH($B$13,ITEM,0)))</calculatedColumnFormula>
    </tableColumn>
  </tableColumns>
  <tableStyleInfo name="TableStyleMedium2" showFirstColumn="0" showLastColumn="0" showRowStripes="1" showColumnStripes="0"/>
</table>
</file>

<file path=xl/tables/table2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8" xr:uid="{73B8AF71-CBF9-4B50-8EDC-BE03F87C2112}" name="APU_40" displayName="APU_40" ref="L30:M38" totalsRowShown="0">
  <autoFilter ref="L30:M38" xr:uid="{043C91BA-4E8E-4430-8FAB-2D1692240FB6}"/>
  <tableColumns count="2">
    <tableColumn id="1" xr3:uid="{2F671D25-F8F7-440B-B685-F718504A50D1}" name="MATERIAL">
      <calculatedColumnFormula>+IF(B31="","",B31)</calculatedColumnFormula>
    </tableColumn>
    <tableColumn id="2" xr3:uid="{3CF98593-02F9-41AD-A706-E5D0139CF653}" name="CANTIDAD" dataDxfId="44">
      <calculatedColumnFormula>IF(D31="","",(D31/F31)*INDEX(CANT_PROYECTO,MATCH($B$13,ITEM,0)))</calculatedColumnFormula>
    </tableColumn>
  </tableColumns>
  <tableStyleInfo name="TableStyleMedium2" showFirstColumn="0" showLastColumn="0" showRowStripes="1" showColumnStripes="0"/>
</table>
</file>

<file path=xl/tables/table2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2" xr:uid="{BC4DD4BD-6582-4818-B51F-290487F32792}" name="APU_41" displayName="APU_41" ref="L30:M38" totalsRowShown="0">
  <autoFilter ref="L30:M38" xr:uid="{043C91BA-4E8E-4430-8FAB-2D1692240FB6}"/>
  <tableColumns count="2">
    <tableColumn id="1" xr3:uid="{3B198E13-0773-4981-99BD-85FED1AA72F5}" name="MATERIAL">
      <calculatedColumnFormula>+IF(B31="","",B31)</calculatedColumnFormula>
    </tableColumn>
    <tableColumn id="2" xr3:uid="{1CABF7BE-968F-4F7C-BFE2-EE23F8989D73}" name="CANTIDAD" dataDxfId="43">
      <calculatedColumnFormula>IF(D31="","",(D31/F31)*INDEX(CANT_PROYECTO,MATCH($B$13,ITEM,0)))</calculatedColumnFormula>
    </tableColumn>
  </tableColumns>
  <tableStyleInfo name="TableStyleMedium2" showFirstColumn="0" showLastColumn="0" showRowStripes="1" showColumnStripes="0"/>
</table>
</file>

<file path=xl/tables/table2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3" xr:uid="{4C97437E-3488-4DCF-9CD2-7E4FF264BE4F}" name="APU_42" displayName="APU_42" ref="L30:M38" totalsRowShown="0">
  <autoFilter ref="L30:M38" xr:uid="{043C91BA-4E8E-4430-8FAB-2D1692240FB6}"/>
  <tableColumns count="2">
    <tableColumn id="1" xr3:uid="{4C272E90-989D-4C4D-BBC6-E7641CB2976C}" name="MATERIAL">
      <calculatedColumnFormula>+IF(B31="","",B31)</calculatedColumnFormula>
    </tableColumn>
    <tableColumn id="2" xr3:uid="{1F5A4CE0-01E1-474B-A422-4DC3D8CFFCF2}" name="CANTIDAD" dataDxfId="42">
      <calculatedColumnFormula>IF(D31="","",(D31/F31)*INDEX(CANT_PROYECTO,MATCH($B$13,ITEM,0)))</calculatedColumnFormula>
    </tableColumn>
  </tableColumns>
  <tableStyleInfo name="TableStyleMedium2" showFirstColumn="0" showLastColumn="0" showRowStripes="1" showColumnStripes="0"/>
</table>
</file>

<file path=xl/tables/table2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4" xr:uid="{98EF4693-B69C-4450-A654-D402B9F24749}" name="APU_43" displayName="APU_43" ref="L30:M38" totalsRowShown="0">
  <autoFilter ref="L30:M38" xr:uid="{043C91BA-4E8E-4430-8FAB-2D1692240FB6}"/>
  <tableColumns count="2">
    <tableColumn id="1" xr3:uid="{4F5A6B3F-34C0-4CD7-8CBF-275B13A04207}" name="MATERIAL">
      <calculatedColumnFormula>+IF(B31="","",B31)</calculatedColumnFormula>
    </tableColumn>
    <tableColumn id="2" xr3:uid="{D877E2BF-8A15-4748-9896-0957A6EBDC62}" name="CANTIDAD" dataDxfId="41">
      <calculatedColumnFormula>IF(D31="","",(D31/F31)*INDEX(CANT_PROYECTO,MATCH($B$13,ITEM,0)))</calculatedColumnFormula>
    </tableColumn>
  </tableColumns>
  <tableStyleInfo name="TableStyleMedium2" showFirstColumn="0" showLastColumn="0" showRowStripes="1" showColumnStripes="0"/>
</table>
</file>

<file path=xl/tables/table2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5" xr:uid="{0A472560-1658-4C5A-A2AB-A943CEAA6532}" name="APU_44" displayName="APU_44" ref="L30:M38" totalsRowShown="0">
  <autoFilter ref="L30:M38" xr:uid="{043C91BA-4E8E-4430-8FAB-2D1692240FB6}"/>
  <tableColumns count="2">
    <tableColumn id="1" xr3:uid="{EB135101-E3CF-4F73-A4F7-A946B6B34632}" name="MATERIAL">
      <calculatedColumnFormula>+IF(B31="","",B31)</calculatedColumnFormula>
    </tableColumn>
    <tableColumn id="2" xr3:uid="{A0C1735B-AE5B-44C3-9606-416912B9EBE6}" name="CANTIDAD" dataDxfId="40">
      <calculatedColumnFormula>IF(D31="","",(D31/F31)*INDEX(CANT_PROYECTO,MATCH($B$13,ITEM,0)))</calculatedColumnFormula>
    </tableColumn>
  </tableColumns>
  <tableStyleInfo name="TableStyleMedium2" showFirstColumn="0" showLastColumn="0" showRowStripes="1" showColumnStripes="0"/>
</table>
</file>

<file path=xl/tables/table2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6" xr:uid="{4D8F1153-35A3-4013-8108-156C17542912}" name="APU_45" displayName="APU_45" ref="L30:M38" totalsRowShown="0">
  <autoFilter ref="L30:M38" xr:uid="{043C91BA-4E8E-4430-8FAB-2D1692240FB6}"/>
  <tableColumns count="2">
    <tableColumn id="1" xr3:uid="{11C18DDE-D481-4500-BE18-F9608F22B675}" name="MATERIAL">
      <calculatedColumnFormula>+IF(B31="","",B31)</calculatedColumnFormula>
    </tableColumn>
    <tableColumn id="2" xr3:uid="{D9AB21F9-1576-4AA4-8C1A-42B9DBC742FE}" name="CANTIDAD" dataDxfId="39">
      <calculatedColumnFormula>IF(D31="","",(D31/F31)*INDEX(CANT_PROYECTO,MATCH($B$13,ITEM,0)))</calculatedColumnFormula>
    </tableColumn>
  </tableColumns>
  <tableStyleInfo name="TableStyleMedium2" showFirstColumn="0" showLastColumn="0" showRowStripes="1" showColumnStripes="0"/>
</table>
</file>

<file path=xl/tables/table2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7" xr:uid="{8D61424A-94A1-4C7A-B187-1F564E6D1A85}" name="APU_46" displayName="APU_46" ref="L30:M38" totalsRowShown="0">
  <autoFilter ref="L30:M38" xr:uid="{043C91BA-4E8E-4430-8FAB-2D1692240FB6}"/>
  <tableColumns count="2">
    <tableColumn id="1" xr3:uid="{682D3F20-822D-4272-95EE-A192BE26EEC2}" name="MATERIAL">
      <calculatedColumnFormula>+IF(B31="","",B31)</calculatedColumnFormula>
    </tableColumn>
    <tableColumn id="2" xr3:uid="{268D8891-1C2A-4431-8BD3-5B08434F00CF}" name="CANTIDAD" dataDxfId="38">
      <calculatedColumnFormula>IF(D31="","",(D31/F31)*INDEX(CANT_PROYECTO,MATCH($B$13,ITEM,0)))</calculatedColumnFormula>
    </tableColumn>
  </tableColumns>
  <tableStyleInfo name="TableStyleMedium2" showFirstColumn="0" showLastColumn="0" showRowStripes="1" showColumnStripes="0"/>
</table>
</file>

<file path=xl/tables/table2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8" xr:uid="{50E872AF-6225-4E38-9797-848157A2756F}" name="APU_47" displayName="APU_47" ref="L30:M38" totalsRowShown="0">
  <autoFilter ref="L30:M38" xr:uid="{043C91BA-4E8E-4430-8FAB-2D1692240FB6}"/>
  <tableColumns count="2">
    <tableColumn id="1" xr3:uid="{68062CD8-BB2A-4CDA-9796-6601393C6070}" name="MATERIAL">
      <calculatedColumnFormula>+IF(B31="","",B31)</calculatedColumnFormula>
    </tableColumn>
    <tableColumn id="2" xr3:uid="{9BADC4F8-FEF1-4A00-9861-BD71AAAEC068}" name="CANTIDAD" dataDxfId="37">
      <calculatedColumnFormula>IF(D31="","",(D31/F31)*INDEX(CANT_PROYECTO,MATCH($B$13,ITEM,0)))</calculatedColumnFormula>
    </tableColumn>
  </tableColumns>
  <tableStyleInfo name="TableStyleMedium2" showFirstColumn="0" showLastColumn="0" showRowStripes="1" showColumnStripes="0"/>
</table>
</file>

<file path=xl/tables/table2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9" xr:uid="{C1FA41FB-C10C-4DA3-A913-C5228F8AA67A}" name="APU_48" displayName="APU_48" ref="L30:M38" totalsRowShown="0">
  <autoFilter ref="L30:M38" xr:uid="{043C91BA-4E8E-4430-8FAB-2D1692240FB6}"/>
  <tableColumns count="2">
    <tableColumn id="1" xr3:uid="{7D5D3B2C-E6E1-491B-8830-346DFFE63C4A}" name="MATERIAL">
      <calculatedColumnFormula>+IF(B31="","",B31)</calculatedColumnFormula>
    </tableColumn>
    <tableColumn id="2" xr3:uid="{F9AD9DF0-20B4-4B8B-A720-DAE7D19A8AA7}" name="CANTIDAD" dataDxfId="36">
      <calculatedColumnFormula>IF(D31="","",(D31/F31)*INDEX(CANT_PROYECTO,MATCH($B$13,ITEM,0)))</calculatedColumnFormula>
    </tableColumn>
  </tableColumns>
  <tableStyleInfo name="TableStyleMedium2" showFirstColumn="0" showLastColumn="0" showRowStripes="1" showColumnStripes="0"/>
</table>
</file>

<file path=xl/tables/table2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0" xr:uid="{D4D78D05-5B98-4EA8-B096-FD30FB24CC51}" name="APU_49" displayName="APU_49" ref="L30:M38" totalsRowShown="0">
  <autoFilter ref="L30:M38" xr:uid="{043C91BA-4E8E-4430-8FAB-2D1692240FB6}"/>
  <tableColumns count="2">
    <tableColumn id="1" xr3:uid="{673F6A76-E5E8-48F9-A53F-D67DA70FCC7D}" name="MATERIAL">
      <calculatedColumnFormula>+IF(B31="","",B31)</calculatedColumnFormula>
    </tableColumn>
    <tableColumn id="2" xr3:uid="{F01108E4-DCB3-4276-8BF7-6740EFF5FA7D}" name="CANTIDAD" dataDxfId="35">
      <calculatedColumnFormula>IF(D31="","",(D31/F31)*INDEX(CANT_PROYECTO,MATCH($B$13,ITEM,0)))</calculatedColumnFormula>
    </tableColumn>
  </tableColumns>
  <tableStyleInfo name="TableStyleMedium2" showFirstColumn="0" showLastColumn="0" showRowStripes="1" showColumnStripes="0"/>
</table>
</file>

<file path=xl/tables/table2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1" xr:uid="{B299FB1D-855D-4380-A7AF-ABC6C50837A0}" name="APU_50" displayName="APU_50" ref="L30:M38" totalsRowShown="0">
  <autoFilter ref="L30:M38" xr:uid="{043C91BA-4E8E-4430-8FAB-2D1692240FB6}"/>
  <tableColumns count="2">
    <tableColumn id="1" xr3:uid="{EE609ADF-5722-4796-A357-7C3EF6A942CA}" name="MATERIAL">
      <calculatedColumnFormula>+IF(B31="","",B31)</calculatedColumnFormula>
    </tableColumn>
    <tableColumn id="2" xr3:uid="{DABC1DED-8F10-4FF1-9A12-EFC64A922346}" name="CANTIDAD" dataDxfId="34">
      <calculatedColumnFormula>IF(D31="","",(D31/F31)*INDEX(CANT_PROYECTO,MATCH($B$13,ITEM,0)))</calculatedColumnFormula>
    </tableColumn>
  </tableColumns>
  <tableStyleInfo name="TableStyleMedium2" showFirstColumn="0" showLastColumn="0" showRowStripes="1" showColumnStripes="0"/>
</table>
</file>

<file path=xl/tables/table2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2" xr:uid="{6F1641CE-82DD-4DA2-B708-FA7DF00AB0E7}" name="APU_51" displayName="APU_51" ref="L30:M38" totalsRowShown="0">
  <autoFilter ref="L30:M38" xr:uid="{043C91BA-4E8E-4430-8FAB-2D1692240FB6}"/>
  <tableColumns count="2">
    <tableColumn id="1" xr3:uid="{D5AD2B54-A18D-4A5E-AC77-336DE9B17C08}" name="MATERIAL">
      <calculatedColumnFormula>+IF(B31="","",B31)</calculatedColumnFormula>
    </tableColumn>
    <tableColumn id="2" xr3:uid="{5EA8A686-AECA-4FB6-BEA7-A9E2DEEBC4BD}" name="CANTIDAD" dataDxfId="33">
      <calculatedColumnFormula>IF(D31="","",(D31/F31)*INDEX(CANT_PROYECTO,MATCH($B$13,ITEM,0)))</calculatedColumnFormula>
    </tableColumn>
  </tableColumns>
  <tableStyleInfo name="TableStyleMedium2" showFirstColumn="0" showLastColumn="0" showRowStripes="1" showColumnStripes="0"/>
</table>
</file>

<file path=xl/tables/table2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3" xr:uid="{F829EE1E-32B1-4F21-9BDC-19784109AD2F}" name="APU_52" displayName="APU_52" ref="L30:M38" totalsRowShown="0">
  <autoFilter ref="L30:M38" xr:uid="{043C91BA-4E8E-4430-8FAB-2D1692240FB6}"/>
  <tableColumns count="2">
    <tableColumn id="1" xr3:uid="{C29240C9-8CE0-4414-AE20-9123F99CA22A}" name="MATERIAL">
      <calculatedColumnFormula>+IF(B31="","",B31)</calculatedColumnFormula>
    </tableColumn>
    <tableColumn id="2" xr3:uid="{9CB685B0-F10A-4245-8E27-8E8DE8AE74C5}" name="CANTIDAD" dataDxfId="32">
      <calculatedColumnFormula>IF(D31="","",(D31/F31)*INDEX(CANT_PROYECTO,MATCH($B$13,ITEM,0)))</calculatedColumnFormula>
    </tableColumn>
  </tableColumns>
  <tableStyleInfo name="TableStyleMedium2" showFirstColumn="0" showLastColumn="0" showRowStripes="1" showColumnStripes="0"/>
</table>
</file>

<file path=xl/tables/table2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4" xr:uid="{75F32BA0-B024-4A8B-9043-A86E11EDF8A3}" name="APU_53" displayName="APU_53" ref="L30:M38" totalsRowShown="0">
  <autoFilter ref="L30:M38" xr:uid="{043C91BA-4E8E-4430-8FAB-2D1692240FB6}"/>
  <tableColumns count="2">
    <tableColumn id="1" xr3:uid="{1B10C104-F0E7-44ED-AAC0-7042CF426BED}" name="MATERIAL">
      <calculatedColumnFormula>+IF(B31="","",B31)</calculatedColumnFormula>
    </tableColumn>
    <tableColumn id="2" xr3:uid="{ED1F923C-40C9-4ADB-B1FB-675AF801ECDA}" name="CANTIDAD" dataDxfId="31">
      <calculatedColumnFormula>IF(D31="","",(D31/F31)*INDEX(CANT_PROYECTO,MATCH($B$13,ITEM,0)))</calculatedColumnFormula>
    </tableColumn>
  </tableColumns>
  <tableStyleInfo name="TableStyleMedium2" showFirstColumn="0" showLastColumn="0" showRowStripes="1" showColumnStripes="0"/>
</table>
</file>

<file path=xl/tables/table2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5" xr:uid="{88F765CB-82B9-4A79-8622-2392DF4E1718}" name="APU_54" displayName="APU_54" ref="L30:M38" totalsRowShown="0">
  <autoFilter ref="L30:M38" xr:uid="{043C91BA-4E8E-4430-8FAB-2D1692240FB6}"/>
  <tableColumns count="2">
    <tableColumn id="1" xr3:uid="{7CA97071-015D-470F-ABBD-229E9ABAE747}" name="MATERIAL">
      <calculatedColumnFormula>+IF(B31="","",B31)</calculatedColumnFormula>
    </tableColumn>
    <tableColumn id="2" xr3:uid="{00C6A5BA-2FCA-4D0A-B292-B62988412144}" name="CANTIDAD" dataDxfId="30">
      <calculatedColumnFormula>IF(D31="","",(D31/F31)*INDEX(CANT_PROYECTO,MATCH($B$13,ITEM,0)))</calculatedColumnFormula>
    </tableColumn>
  </tableColumns>
  <tableStyleInfo name="TableStyleMedium2" showFirstColumn="0" showLastColumn="0" showRowStripes="1" showColumnStripes="0"/>
</table>
</file>

<file path=xl/tables/table2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6" xr:uid="{9925B1A0-94A4-483B-AD01-761834F103E7}" name="APU_55" displayName="APU_55" ref="L30:M38" totalsRowShown="0">
  <autoFilter ref="L30:M38" xr:uid="{043C91BA-4E8E-4430-8FAB-2D1692240FB6}"/>
  <tableColumns count="2">
    <tableColumn id="1" xr3:uid="{A0E5CDD5-5FA7-4BC9-B836-F9C0D628B727}" name="MATERIAL">
      <calculatedColumnFormula>+IF(B31="","",B31)</calculatedColumnFormula>
    </tableColumn>
    <tableColumn id="2" xr3:uid="{D765451D-C3CD-40CE-9EB0-AF7F90753A9B}" name="CANTIDAD" dataDxfId="29">
      <calculatedColumnFormula>IF(D31="","",(D31/F31)*INDEX(CANT_PROYECTO,MATCH($B$13,ITEM,0)))</calculatedColumnFormula>
    </tableColumn>
  </tableColumns>
  <tableStyleInfo name="TableStyleMedium2" showFirstColumn="0" showLastColumn="0" showRowStripes="1" showColumnStripes="0"/>
</table>
</file>

<file path=xl/tables/table2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7" xr:uid="{BD1889A4-1DD5-48F6-AF4D-C7A0EDD41098}" name="APU_56" displayName="APU_56" ref="L30:M38" totalsRowShown="0">
  <autoFilter ref="L30:M38" xr:uid="{043C91BA-4E8E-4430-8FAB-2D1692240FB6}"/>
  <tableColumns count="2">
    <tableColumn id="1" xr3:uid="{FC335153-D1C5-44A0-8D00-2352751F340B}" name="MATERIAL">
      <calculatedColumnFormula>+IF(B31="","",B31)</calculatedColumnFormula>
    </tableColumn>
    <tableColumn id="2" xr3:uid="{28083CB5-59ED-49A5-B7A6-BCC5A1C2D288}" name="CANTIDAD" dataDxfId="28">
      <calculatedColumnFormula>IF(D31="","",(D31/F31)*INDEX(CANT_PROYECTO,MATCH($B$13,ITEM,0)))</calculatedColumnFormula>
    </tableColumn>
  </tableColumns>
  <tableStyleInfo name="TableStyleMedium2" showFirstColumn="0" showLastColumn="0" showRowStripes="1" showColumnStripes="0"/>
</table>
</file>

<file path=xl/tables/table2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8" xr:uid="{B7E692DC-44B5-4B8B-998C-BE6066AE21AD}" name="APU_57" displayName="APU_57" ref="L30:M38" totalsRowShown="0">
  <autoFilter ref="L30:M38" xr:uid="{043C91BA-4E8E-4430-8FAB-2D1692240FB6}"/>
  <tableColumns count="2">
    <tableColumn id="1" xr3:uid="{64177CC8-54FD-4712-958B-B4459EF1EB99}" name="MATERIAL">
      <calculatedColumnFormula>+IF(B31="","",B31)</calculatedColumnFormula>
    </tableColumn>
    <tableColumn id="2" xr3:uid="{8994C87A-A366-4838-90F3-A0B9521C5F6A}" name="CANTIDAD" dataDxfId="27">
      <calculatedColumnFormula>IF(D31="","",(D31/F31)*INDEX(CANT_PROYECTO,MATCH($B$13,ITEM,0)))</calculatedColumnFormula>
    </tableColumn>
  </tableColumns>
  <tableStyleInfo name="TableStyleMedium2" showFirstColumn="0" showLastColumn="0" showRowStripes="1" showColumnStripes="0"/>
</table>
</file>

<file path=xl/tables/table2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9" xr:uid="{6C856C54-DF26-469A-8CA1-086A8DC8530A}" name="APU_58" displayName="APU_58" ref="L30:M38" totalsRowShown="0">
  <autoFilter ref="L30:M38" xr:uid="{043C91BA-4E8E-4430-8FAB-2D1692240FB6}"/>
  <tableColumns count="2">
    <tableColumn id="1" xr3:uid="{B2285DE9-7D07-4B9F-AD8C-508E517013D8}" name="MATERIAL">
      <calculatedColumnFormula>+IF(B31="","",B31)</calculatedColumnFormula>
    </tableColumn>
    <tableColumn id="2" xr3:uid="{0EA9E997-12FE-4680-A326-4C9C854204DC}" name="CANTIDAD" dataDxfId="26">
      <calculatedColumnFormula>IF(D31="","",(D31/F31)*INDEX(CANT_PROYECTO,MATCH($B$13,ITEM,0)))</calculatedColumnFormula>
    </tableColumn>
  </tableColumns>
  <tableStyleInfo name="TableStyleMedium2" showFirstColumn="0" showLastColumn="0" showRowStripes="1" showColumnStripes="0"/>
</table>
</file>

<file path=xl/tables/table2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0" xr:uid="{6D4B7B4B-32EB-423A-A064-185866FE7357}" name="APU_59" displayName="APU_59" ref="L30:M38" totalsRowShown="0">
  <autoFilter ref="L30:M38" xr:uid="{043C91BA-4E8E-4430-8FAB-2D1692240FB6}"/>
  <tableColumns count="2">
    <tableColumn id="1" xr3:uid="{C470E11D-4C09-4CEE-A220-22DAA2114870}" name="MATERIAL">
      <calculatedColumnFormula>+IF(B31="","",B31)</calculatedColumnFormula>
    </tableColumn>
    <tableColumn id="2" xr3:uid="{9DBA0850-6B40-4AE8-B50E-8B82F734B558}" name="CANTIDAD" dataDxfId="25">
      <calculatedColumnFormula>IF(D31="","",(D31/F31)*INDEX(CANT_PROYECTO,MATCH($B$13,ITEM,0)))</calculatedColumnFormula>
    </tableColumn>
  </tableColumns>
  <tableStyleInfo name="TableStyleMedium2" showFirstColumn="0" showLastColumn="0" showRowStripes="1" showColumnStripes="0"/>
</table>
</file>

<file path=xl/tables/table2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1" xr:uid="{508D8323-802B-452E-804D-A95E9DFF2B83}" name="APU_60" displayName="APU_60" ref="L30:M38" totalsRowShown="0">
  <autoFilter ref="L30:M38" xr:uid="{043C91BA-4E8E-4430-8FAB-2D1692240FB6}"/>
  <tableColumns count="2">
    <tableColumn id="1" xr3:uid="{57B4A752-24CA-4CA3-8603-208D16DF6073}" name="MATERIAL">
      <calculatedColumnFormula>+IF(B31="","",B31)</calculatedColumnFormula>
    </tableColumn>
    <tableColumn id="2" xr3:uid="{48B33F5A-236C-456B-AB50-C2F3BC59C803}" name="CANTIDAD" dataDxfId="24">
      <calculatedColumnFormula>IF(D31="","",(D31/F31)*INDEX(CANT_PROYECTO,MATCH($B$13,ITEM,0)))</calculatedColumnFormula>
    </tableColumn>
  </tableColumns>
  <tableStyleInfo name="TableStyleMedium2" showFirstColumn="0" showLastColumn="0" showRowStripes="1" showColumnStripes="0"/>
</table>
</file>

<file path=xl/tables/table2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2" xr:uid="{8DBF5A2B-FCB3-4058-A9B2-47D230592546}" name="APU_61" displayName="APU_61" ref="L30:M38" totalsRowShown="0">
  <autoFilter ref="L30:M38" xr:uid="{043C91BA-4E8E-4430-8FAB-2D1692240FB6}"/>
  <tableColumns count="2">
    <tableColumn id="1" xr3:uid="{1EC35416-A00D-47CD-81D3-6E0978A0BBE8}" name="MATERIAL">
      <calculatedColumnFormula>+IF(B31="","",B31)</calculatedColumnFormula>
    </tableColumn>
    <tableColumn id="2" xr3:uid="{BC5A8EB3-44FD-41F1-A4B4-229457A40543}" name="CANTIDAD" dataDxfId="23">
      <calculatedColumnFormula>IF(D31="","",(D31/F31)*INDEX(CANT_PROYECTO,MATCH($B$13,ITEM,0)))</calculatedColumnFormula>
    </tableColumn>
  </tableColumns>
  <tableStyleInfo name="TableStyleMedium2" showFirstColumn="0" showLastColumn="0" showRowStripes="1" showColumnStripes="0"/>
</table>
</file>

<file path=xl/tables/table2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3" xr:uid="{E6450551-EF1D-4A82-B286-ADAD6983D2B6}" name="APU_62" displayName="APU_62" ref="L30:M38" totalsRowShown="0">
  <autoFilter ref="L30:M38" xr:uid="{043C91BA-4E8E-4430-8FAB-2D1692240FB6}"/>
  <tableColumns count="2">
    <tableColumn id="1" xr3:uid="{D28B8C6D-14DF-4978-95C7-6461CFC63625}" name="MATERIAL">
      <calculatedColumnFormula>+IF(B31="","",B31)</calculatedColumnFormula>
    </tableColumn>
    <tableColumn id="2" xr3:uid="{47FE2D45-9994-415E-98A9-C5D6239F35DC}" name="CANTIDAD" dataDxfId="22">
      <calculatedColumnFormula>IF(D31="","",(D31/F31)*INDEX(CANT_PROYECTO,MATCH($B$13,ITEM,0)))</calculatedColumnFormula>
    </tableColumn>
  </tableColumns>
  <tableStyleInfo name="TableStyleMedium2" showFirstColumn="0" showLastColumn="0" showRowStripes="1" showColumnStripes="0"/>
</table>
</file>

<file path=xl/tables/table2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4" xr:uid="{D86CA030-3EFD-456B-8AF0-463B249B130F}" name="APU_63" displayName="APU_63" ref="L30:M38" totalsRowShown="0">
  <autoFilter ref="L30:M38" xr:uid="{043C91BA-4E8E-4430-8FAB-2D1692240FB6}"/>
  <tableColumns count="2">
    <tableColumn id="1" xr3:uid="{80AC3397-4553-40D6-AEAD-CA14410E025F}" name="MATERIAL">
      <calculatedColumnFormula>+IF(B31="","",B31)</calculatedColumnFormula>
    </tableColumn>
    <tableColumn id="2" xr3:uid="{35CEB736-298F-479A-8CCB-6341EBD7D64A}" name="CANTIDAD" dataDxfId="21">
      <calculatedColumnFormula>IF(D31="","",(D31/F31)*INDEX(CANT_PROYECTO,MATCH($B$13,ITEM,0)))</calculatedColumnFormula>
    </tableColumn>
  </tableColumns>
  <tableStyleInfo name="TableStyleMedium2" showFirstColumn="0" showLastColumn="0" showRowStripes="1" showColumnStripes="0"/>
</table>
</file>

<file path=xl/tables/table2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5" xr:uid="{8730520F-981D-4A16-82BF-9180FFC5B04D}" name="APU_64" displayName="APU_64" ref="L30:M38" totalsRowShown="0">
  <autoFilter ref="L30:M38" xr:uid="{043C91BA-4E8E-4430-8FAB-2D1692240FB6}"/>
  <tableColumns count="2">
    <tableColumn id="1" xr3:uid="{5B45E34C-B15F-4183-9B86-8AF88DCBFE3F}" name="MATERIAL">
      <calculatedColumnFormula>+IF(B31="","",B31)</calculatedColumnFormula>
    </tableColumn>
    <tableColumn id="2" xr3:uid="{B196DB33-68AC-4032-B137-9AC365D6ADFD}" name="CANTIDAD" dataDxfId="20">
      <calculatedColumnFormula>IF(D31="","",(D31/F31)*INDEX(CANT_PROYECTO,MATCH($B$13,ITEM,0)))</calculatedColumnFormula>
    </tableColumn>
  </tableColumns>
  <tableStyleInfo name="TableStyleMedium2" showFirstColumn="0" showLastColumn="0" showRowStripes="1" showColumnStripes="0"/>
</table>
</file>

<file path=xl/tables/table2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6" xr:uid="{A38E9F95-4E64-4A17-BBF8-40E8AEF4864D}" name="APU_65" displayName="APU_65" ref="L30:M38" totalsRowShown="0">
  <autoFilter ref="L30:M38" xr:uid="{043C91BA-4E8E-4430-8FAB-2D1692240FB6}"/>
  <tableColumns count="2">
    <tableColumn id="1" xr3:uid="{6650C881-0BA5-47EB-8469-C520E6BCB6F6}" name="MATERIAL">
      <calculatedColumnFormula>+IF(B31="","",B31)</calculatedColumnFormula>
    </tableColumn>
    <tableColumn id="2" xr3:uid="{1A1990AB-6589-41A9-A218-7DAE6F602577}" name="CANTIDAD" dataDxfId="19">
      <calculatedColumnFormula>IF(D31="","",(D31/F31)*INDEX(CANT_PROYECTO,MATCH($B$13,ITEM,0)))</calculatedColumnFormula>
    </tableColumn>
  </tableColumns>
  <tableStyleInfo name="TableStyleMedium2" showFirstColumn="0" showLastColumn="0" showRowStripes="1" showColumnStripes="0"/>
</table>
</file>

<file path=xl/tables/table2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7" xr:uid="{59FEACFD-367A-4B93-BC87-3CCFA18D06D3}" name="APU_66" displayName="APU_66" ref="L30:M38" totalsRowShown="0">
  <autoFilter ref="L30:M38" xr:uid="{043C91BA-4E8E-4430-8FAB-2D1692240FB6}"/>
  <tableColumns count="2">
    <tableColumn id="1" xr3:uid="{C044DD24-4788-4093-8EFE-7E2F1D06D0F4}" name="MATERIAL">
      <calculatedColumnFormula>+IF(B31="","",B31)</calculatedColumnFormula>
    </tableColumn>
    <tableColumn id="2" xr3:uid="{1CED6ABC-3C98-4CCC-B47A-5A66615943F3}" name="CANTIDAD" dataDxfId="18">
      <calculatedColumnFormula>IF(D31="","",(D31/F31)*INDEX(CANT_PROYECTO,MATCH($B$13,ITEM,0)))</calculatedColumnFormula>
    </tableColumn>
  </tableColumns>
  <tableStyleInfo name="TableStyleMedium2" showFirstColumn="0" showLastColumn="0" showRowStripes="1" showColumnStripes="0"/>
</table>
</file>

<file path=xl/tables/table2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8" xr:uid="{96E3D8A8-AC4C-448D-BFE2-38526B116370}" name="APU_67" displayName="APU_67" ref="L30:M38" totalsRowShown="0">
  <autoFilter ref="L30:M38" xr:uid="{043C91BA-4E8E-4430-8FAB-2D1692240FB6}"/>
  <tableColumns count="2">
    <tableColumn id="1" xr3:uid="{90736F44-56B6-4D7A-83D7-595B7640A311}" name="MATERIAL">
      <calculatedColumnFormula>+IF(B31="","",B31)</calculatedColumnFormula>
    </tableColumn>
    <tableColumn id="2" xr3:uid="{289109ED-B738-46A9-9537-0307A3913183}" name="CANTIDAD" dataDxfId="17">
      <calculatedColumnFormula>IF(D31="","",(D31/F31)*INDEX(CANT_PROYECTO,MATCH($B$13,ITEM,0)))</calculatedColumnFormula>
    </tableColumn>
  </tableColumns>
  <tableStyleInfo name="TableStyleMedium2" showFirstColumn="0" showLastColumn="0" showRowStripes="1" showColumnStripes="0"/>
</table>
</file>

<file path=xl/tables/table2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9" xr:uid="{2E802518-32DE-4405-958C-EE1AC0DEE0AC}" name="APU_68" displayName="APU_68" ref="L30:M38" totalsRowShown="0">
  <autoFilter ref="L30:M38" xr:uid="{043C91BA-4E8E-4430-8FAB-2D1692240FB6}"/>
  <tableColumns count="2">
    <tableColumn id="1" xr3:uid="{0D8AE259-1EA6-4024-9307-11894187D842}" name="MATERIAL">
      <calculatedColumnFormula>+IF(B31="","",B31)</calculatedColumnFormula>
    </tableColumn>
    <tableColumn id="2" xr3:uid="{74931A44-FD9B-430A-B17F-3A180BEC6BEC}" name="CANTIDAD" dataDxfId="16">
      <calculatedColumnFormula>IF(D31="","",(D31/F31)*INDEX(CANT_PROYECTO,MATCH($B$13,ITEM,0)))</calculatedColumnFormula>
    </tableColumn>
  </tableColumns>
  <tableStyleInfo name="TableStyleMedium2" showFirstColumn="0" showLastColumn="0" showRowStripes="1" showColumnStripes="0"/>
</table>
</file>

<file path=xl/tables/table2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0" xr:uid="{33D2DADA-BD4F-47F4-92E1-032535EFA7C2}" name="APU_69" displayName="APU_69" ref="L30:M38" totalsRowShown="0">
  <autoFilter ref="L30:M38" xr:uid="{043C91BA-4E8E-4430-8FAB-2D1692240FB6}"/>
  <tableColumns count="2">
    <tableColumn id="1" xr3:uid="{F5E1D8EA-7FB6-4375-A645-9D802B6B7E9B}" name="MATERIAL">
      <calculatedColumnFormula>+IF(B31="","",B31)</calculatedColumnFormula>
    </tableColumn>
    <tableColumn id="2" xr3:uid="{3371CBC1-9D71-47BD-A861-A4934694B7A4}" name="CANTIDAD" dataDxfId="15">
      <calculatedColumnFormula>IF(D31="","",(D31/F31)*INDEX(CANT_PROYECTO,MATCH($B$13,ITEM,0)))</calculatedColumnFormula>
    </tableColumn>
  </tableColumns>
  <tableStyleInfo name="TableStyleMedium2" showFirstColumn="0" showLastColumn="0" showRowStripes="1" showColumnStripes="0"/>
</table>
</file>

<file path=xl/tables/table2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1" xr:uid="{FCD46AAB-0644-406C-9170-07C10F4EBEC6}" name="APU_70" displayName="APU_70" ref="L30:M38" totalsRowShown="0">
  <autoFilter ref="L30:M38" xr:uid="{043C91BA-4E8E-4430-8FAB-2D1692240FB6}"/>
  <tableColumns count="2">
    <tableColumn id="1" xr3:uid="{1327A233-4B12-4A35-88CC-277A1924CC58}" name="MATERIAL">
      <calculatedColumnFormula>+IF(B31="","",B31)</calculatedColumnFormula>
    </tableColumn>
    <tableColumn id="2" xr3:uid="{1B5E791D-E015-47AF-AD96-79E88FD37BEF}" name="CANTIDAD" dataDxfId="14">
      <calculatedColumnFormula>IF(D31="","",(D31/F31)*INDEX(CANT_PROYECTO,MATCH($B$13,ITEM,0)))</calculatedColumnFormula>
    </tableColumn>
  </tableColumns>
  <tableStyleInfo name="TableStyleMedium2" showFirstColumn="0" showLastColumn="0" showRowStripes="1" showColumnStripes="0"/>
</table>
</file>

<file path=xl/tables/table2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2" xr:uid="{6D752537-43E8-4B2A-B748-7BCB39183E4E}" name="APU_71" displayName="APU_71" ref="L30:M38" totalsRowShown="0">
  <autoFilter ref="L30:M38" xr:uid="{043C91BA-4E8E-4430-8FAB-2D1692240FB6}"/>
  <tableColumns count="2">
    <tableColumn id="1" xr3:uid="{C0300AC5-D4C9-4428-8CB6-9A1620CC4456}" name="MATERIAL">
      <calculatedColumnFormula>+IF(B31="","",B31)</calculatedColumnFormula>
    </tableColumn>
    <tableColumn id="2" xr3:uid="{9EE7A0AD-0D5B-4F8F-AD19-4C740B19CEA1}" name="CANTIDAD" dataDxfId="13">
      <calculatedColumnFormula>IF(D31="","",(D31/F31)*INDEX(CANT_PROYECTO,MATCH($B$13,ITEM,0)))</calculatedColumnFormula>
    </tableColumn>
  </tableColumns>
  <tableStyleInfo name="TableStyleMedium2" showFirstColumn="0" showLastColumn="0" showRowStripes="1" showColumnStripes="0"/>
</table>
</file>

<file path=xl/tables/table2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3" xr:uid="{103E8885-4F67-4CA9-822F-E4B4FE3C7C0D}" name="APU_72" displayName="APU_72" ref="L30:M38" totalsRowShown="0">
  <autoFilter ref="L30:M38" xr:uid="{043C91BA-4E8E-4430-8FAB-2D1692240FB6}"/>
  <tableColumns count="2">
    <tableColumn id="1" xr3:uid="{1F8FBB8D-D05E-40FB-8337-B509069C2E2E}" name="MATERIAL">
      <calculatedColumnFormula>+IF(B31="","",B31)</calculatedColumnFormula>
    </tableColumn>
    <tableColumn id="2" xr3:uid="{B95DD4E6-0BE8-40A1-8401-98687DEC5A08}" name="CANTIDAD" dataDxfId="12">
      <calculatedColumnFormula>IF(D31="","",(D31/F31)*INDEX(CANT_PROYECTO,MATCH($B$13,ITEM,0)))</calculatedColumnFormula>
    </tableColumn>
  </tableColumns>
  <tableStyleInfo name="TableStyleMedium2" showFirstColumn="0" showLastColumn="0" showRowStripes="1" showColumnStripes="0"/>
</table>
</file>

<file path=xl/tables/table2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4" xr:uid="{326E1162-1057-47B5-81F6-523041AD48E9}" name="APU_73" displayName="APU_73" ref="L30:M38" totalsRowShown="0">
  <autoFilter ref="L30:M38" xr:uid="{043C91BA-4E8E-4430-8FAB-2D1692240FB6}"/>
  <tableColumns count="2">
    <tableColumn id="1" xr3:uid="{3B324D0C-80AE-4C14-A60B-6D8DEB739193}" name="MATERIAL">
      <calculatedColumnFormula>+IF(B31="","",B31)</calculatedColumnFormula>
    </tableColumn>
    <tableColumn id="2" xr3:uid="{43F36504-C137-4C27-ABD2-E1EF77E3AC72}" name="CANTIDAD" dataDxfId="11">
      <calculatedColumnFormula>IF(D31="","",(D31/F31)*INDEX(CANT_PROYECTO,MATCH($B$13,ITEM,0)))</calculatedColumnFormula>
    </tableColumn>
  </tableColumns>
  <tableStyleInfo name="TableStyleMedium2" showFirstColumn="0" showLastColumn="0" showRowStripes="1" showColumnStripes="0"/>
</table>
</file>

<file path=xl/tables/table2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5" xr:uid="{877F19F5-AEDD-481B-A67F-7B45C22F9587}" name="APU_74" displayName="APU_74" ref="L30:M38" totalsRowShown="0">
  <autoFilter ref="L30:M38" xr:uid="{043C91BA-4E8E-4430-8FAB-2D1692240FB6}"/>
  <tableColumns count="2">
    <tableColumn id="1" xr3:uid="{A5976D61-AFBD-485E-8A49-5F58BD9351F5}" name="MATERIAL">
      <calculatedColumnFormula>+IF(B31="","",B31)</calculatedColumnFormula>
    </tableColumn>
    <tableColumn id="2" xr3:uid="{E1AA5447-C396-4E05-A3DA-2F1C71BB3BA6}" name="CANTIDAD" dataDxfId="10">
      <calculatedColumnFormula>IF(D31="","",(D31/F31)*INDEX(CANT_PROYECTO,MATCH($B$13,ITEM,0)))</calculatedColumnFormula>
    </tableColumn>
  </tableColumns>
  <tableStyleInfo name="TableStyleMedium2" showFirstColumn="0" showLastColumn="0" showRowStripes="1" showColumnStripes="0"/>
</table>
</file>

<file path=xl/tables/table2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6" xr:uid="{B9E19F55-E3AE-43A8-A8E6-FC2D8ACEFB75}" name="APU_75" displayName="APU_75" ref="L30:M38" totalsRowShown="0">
  <autoFilter ref="L30:M38" xr:uid="{043C91BA-4E8E-4430-8FAB-2D1692240FB6}"/>
  <tableColumns count="2">
    <tableColumn id="1" xr3:uid="{8A4365FA-89E8-4650-8EB8-4FA554D5015F}" name="MATERIAL">
      <calculatedColumnFormula>+IF(B31="","",B31)</calculatedColumnFormula>
    </tableColumn>
    <tableColumn id="2" xr3:uid="{B5A22FC4-5BF3-4C8D-AE55-D85ACE02E446}" name="CANTIDAD" dataDxfId="9">
      <calculatedColumnFormula>IF(D31="","",(D31/F31)*INDEX(CANT_PROYECTO,MATCH($B$13,ITEM,0)))</calculatedColumnFormula>
    </tableColumn>
  </tableColumns>
  <tableStyleInfo name="TableStyleMedium2" showFirstColumn="0" showLastColumn="0" showRowStripes="1" showColumnStripes="0"/>
</table>
</file>

<file path=xl/tables/table2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7" xr:uid="{F8A7C2C1-9A98-4AC1-825A-E8A71EB79ACC}" name="APU_76" displayName="APU_76" ref="L30:M38" totalsRowShown="0">
  <autoFilter ref="L30:M38" xr:uid="{043C91BA-4E8E-4430-8FAB-2D1692240FB6}"/>
  <tableColumns count="2">
    <tableColumn id="1" xr3:uid="{D3F89A02-CF38-426C-949D-4F6F38B526A5}" name="MATERIAL">
      <calculatedColumnFormula>+IF(B31="","",B31)</calculatedColumnFormula>
    </tableColumn>
    <tableColumn id="2" xr3:uid="{D72650D9-7856-48EC-B6BF-55AA8934B24A}" name="CANTIDAD" dataDxfId="8">
      <calculatedColumnFormula>IF(D31="","",(D31/F31)*INDEX(CANT_PROYECTO,MATCH($B$13,ITEM,0)))</calculatedColumnFormula>
    </tableColumn>
  </tableColumns>
  <tableStyleInfo name="TableStyleMedium2" showFirstColumn="0" showLastColumn="0" showRowStripes="1" showColumnStripes="0"/>
</table>
</file>

<file path=xl/tables/table2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8" xr:uid="{DF61C2C7-7F61-43DB-B12B-4A8C6CC86910}" name="APU_77" displayName="APU_77" ref="L30:M38" totalsRowShown="0">
  <autoFilter ref="L30:M38" xr:uid="{043C91BA-4E8E-4430-8FAB-2D1692240FB6}"/>
  <tableColumns count="2">
    <tableColumn id="1" xr3:uid="{B10D4DE5-0F08-41BA-8F94-A278C8D770E4}" name="MATERIAL">
      <calculatedColumnFormula>+IF(B31="","",B31)</calculatedColumnFormula>
    </tableColumn>
    <tableColumn id="2" xr3:uid="{E61A0B53-A0F2-44E2-B70D-BB48192DC1C0}" name="CANTIDAD" dataDxfId="7">
      <calculatedColumnFormula>IF(D31="","",(D31/F31)*INDEX(CANT_PROYECTO,MATCH($B$13,ITEM,0)))</calculatedColumnFormula>
    </tableColumn>
  </tableColumns>
  <tableStyleInfo name="TableStyleMedium2" showFirstColumn="0" showLastColumn="0" showRowStripes="1" showColumnStripes="0"/>
</table>
</file>

<file path=xl/tables/table2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9" xr:uid="{44C48F67-CF04-4520-B8AE-60E0D4F67CDA}" name="APU_78" displayName="APU_78" ref="L30:M38" totalsRowShown="0">
  <autoFilter ref="L30:M38" xr:uid="{043C91BA-4E8E-4430-8FAB-2D1692240FB6}"/>
  <tableColumns count="2">
    <tableColumn id="1" xr3:uid="{D49164FB-F598-46F4-A75D-ADE4D2A2BD10}" name="MATERIAL">
      <calculatedColumnFormula>+IF(B31="","",B31)</calculatedColumnFormula>
    </tableColumn>
    <tableColumn id="2" xr3:uid="{C7202376-589C-4A73-A3E4-9B4132A8EA35}" name="CANTIDAD" dataDxfId="6">
      <calculatedColumnFormula>IF(D31="","",(D31/F31)*INDEX(CANT_PROYECTO,MATCH($B$13,ITEM,0)))</calculatedColumnFormula>
    </tableColumn>
  </tableColumns>
  <tableStyleInfo name="TableStyleMedium2" showFirstColumn="0" showLastColumn="0" showRowStripes="1" showColumnStripes="0"/>
</table>
</file>

<file path=xl/tables/table2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0" xr:uid="{AC3D5AFE-95F2-496D-B360-37A46A833FE9}" name="APU_79" displayName="APU_79" ref="L30:M38" totalsRowShown="0">
  <autoFilter ref="L30:M38" xr:uid="{043C91BA-4E8E-4430-8FAB-2D1692240FB6}"/>
  <tableColumns count="2">
    <tableColumn id="1" xr3:uid="{413B1E8D-29D9-4C9D-8C69-8F59EB7D468E}" name="MATERIAL">
      <calculatedColumnFormula>+IF(B31="","",B31)</calculatedColumnFormula>
    </tableColumn>
    <tableColumn id="2" xr3:uid="{44457485-599D-4C7F-8E9F-EE01BBE11EFD}" name="CANTIDAD" dataDxfId="5">
      <calculatedColumnFormula>IF(D31="","",(D31/F31)*INDEX(CANT_PROYECTO,MATCH($B$13,ITEM,0)))</calculatedColumnFormula>
    </tableColumn>
  </tableColumns>
  <tableStyleInfo name="TableStyleMedium2" showFirstColumn="0" showLastColumn="0" showRowStripes="1" showColumnStripes="0"/>
</table>
</file>

<file path=xl/tables/table2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1" xr:uid="{EB546D0E-3E16-4FFE-BDA1-54B4338C2F1D}" name="APU_80" displayName="APU_80" ref="L30:M38" totalsRowShown="0">
  <autoFilter ref="L30:M38" xr:uid="{043C91BA-4E8E-4430-8FAB-2D1692240FB6}"/>
  <tableColumns count="2">
    <tableColumn id="1" xr3:uid="{F0D9BA05-EC02-4A87-87D6-511EA738DBDC}" name="MATERIAL">
      <calculatedColumnFormula>+IF(B31="","",B31)</calculatedColumnFormula>
    </tableColumn>
    <tableColumn id="2" xr3:uid="{C4F697BC-D2F4-4E5D-93C7-C37DE9C027A5}" name="CANTIDAD" dataDxfId="4">
      <calculatedColumnFormula>IF(D31="","",(D31/F31)*INDEX(CANT_PROYECTO,MATCH($B$13,ITEM,0)))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2013 - 2022 테마">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2.xml"/><Relationship Id="rId1" Type="http://schemas.openxmlformats.org/officeDocument/2006/relationships/printerSettings" Target="../printerSettings/printerSettings1.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 Id="rId9"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2.xml"/><Relationship Id="rId4" Type="http://schemas.openxmlformats.org/officeDocument/2006/relationships/table" Target="../tables/table1.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5.bin"/><Relationship Id="rId6" Type="http://schemas.openxmlformats.org/officeDocument/2006/relationships/comments" Target="../comments3.xml"/><Relationship Id="rId5" Type="http://schemas.openxmlformats.org/officeDocument/2006/relationships/table" Target="../tables/table3.xml"/><Relationship Id="rId4" Type="http://schemas.openxmlformats.org/officeDocument/2006/relationships/table" Target="../tables/table2.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7.xml"/><Relationship Id="rId1" Type="http://schemas.openxmlformats.org/officeDocument/2006/relationships/printerSettings" Target="../printerSettings/printerSettings6.bin"/><Relationship Id="rId5" Type="http://schemas.openxmlformats.org/officeDocument/2006/relationships/comments" Target="../comments4.xml"/><Relationship Id="rId4" Type="http://schemas.openxmlformats.org/officeDocument/2006/relationships/table" Target="../tables/table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8.xml"/><Relationship Id="rId1" Type="http://schemas.openxmlformats.org/officeDocument/2006/relationships/printerSettings" Target="../printerSettings/printerSettings7.bin"/><Relationship Id="rId5" Type="http://schemas.openxmlformats.org/officeDocument/2006/relationships/comments" Target="../comments5.xml"/><Relationship Id="rId4" Type="http://schemas.openxmlformats.org/officeDocument/2006/relationships/table" Target="../tables/table5.xml"/></Relationships>
</file>

<file path=xl/worksheets/_rels/sheet9.xml.rels><?xml version="1.0" encoding="UTF-8" standalone="yes"?>
<Relationships xmlns="http://schemas.openxmlformats.org/package/2006/relationships"><Relationship Id="rId13" Type="http://schemas.openxmlformats.org/officeDocument/2006/relationships/table" Target="../tables/table15.xml"/><Relationship Id="rId18" Type="http://schemas.openxmlformats.org/officeDocument/2006/relationships/table" Target="../tables/table20.xml"/><Relationship Id="rId26" Type="http://schemas.openxmlformats.org/officeDocument/2006/relationships/table" Target="../tables/table28.xml"/><Relationship Id="rId39" Type="http://schemas.openxmlformats.org/officeDocument/2006/relationships/table" Target="../tables/table41.xml"/><Relationship Id="rId21" Type="http://schemas.openxmlformats.org/officeDocument/2006/relationships/table" Target="../tables/table23.xml"/><Relationship Id="rId34" Type="http://schemas.openxmlformats.org/officeDocument/2006/relationships/table" Target="../tables/table36.xml"/><Relationship Id="rId42" Type="http://schemas.openxmlformats.org/officeDocument/2006/relationships/table" Target="../tables/table44.xml"/><Relationship Id="rId47" Type="http://schemas.openxmlformats.org/officeDocument/2006/relationships/table" Target="../tables/table49.xml"/><Relationship Id="rId50" Type="http://schemas.openxmlformats.org/officeDocument/2006/relationships/table" Target="../tables/table52.xml"/><Relationship Id="rId55" Type="http://schemas.openxmlformats.org/officeDocument/2006/relationships/table" Target="../tables/table57.xml"/><Relationship Id="rId7" Type="http://schemas.openxmlformats.org/officeDocument/2006/relationships/table" Target="../tables/table9.xml"/><Relationship Id="rId2" Type="http://schemas.openxmlformats.org/officeDocument/2006/relationships/drawing" Target="../drawings/drawing9.xml"/><Relationship Id="rId16" Type="http://schemas.openxmlformats.org/officeDocument/2006/relationships/table" Target="../tables/table18.xml"/><Relationship Id="rId20" Type="http://schemas.openxmlformats.org/officeDocument/2006/relationships/table" Target="../tables/table22.xml"/><Relationship Id="rId29" Type="http://schemas.openxmlformats.org/officeDocument/2006/relationships/table" Target="../tables/table31.xml"/><Relationship Id="rId41" Type="http://schemas.openxmlformats.org/officeDocument/2006/relationships/table" Target="../tables/table43.xml"/><Relationship Id="rId54" Type="http://schemas.openxmlformats.org/officeDocument/2006/relationships/table" Target="../tables/table56.xml"/><Relationship Id="rId1" Type="http://schemas.openxmlformats.org/officeDocument/2006/relationships/printerSettings" Target="../printerSettings/printerSettings8.bin"/><Relationship Id="rId6" Type="http://schemas.openxmlformats.org/officeDocument/2006/relationships/table" Target="../tables/table8.xml"/><Relationship Id="rId11" Type="http://schemas.openxmlformats.org/officeDocument/2006/relationships/table" Target="../tables/table13.xml"/><Relationship Id="rId24" Type="http://schemas.openxmlformats.org/officeDocument/2006/relationships/table" Target="../tables/table26.xml"/><Relationship Id="rId32" Type="http://schemas.openxmlformats.org/officeDocument/2006/relationships/table" Target="../tables/table34.xml"/><Relationship Id="rId37" Type="http://schemas.openxmlformats.org/officeDocument/2006/relationships/table" Target="../tables/table39.xml"/><Relationship Id="rId40" Type="http://schemas.openxmlformats.org/officeDocument/2006/relationships/table" Target="../tables/table42.xml"/><Relationship Id="rId45" Type="http://schemas.openxmlformats.org/officeDocument/2006/relationships/table" Target="../tables/table47.xml"/><Relationship Id="rId53" Type="http://schemas.openxmlformats.org/officeDocument/2006/relationships/table" Target="../tables/table55.xml"/><Relationship Id="rId58" Type="http://schemas.openxmlformats.org/officeDocument/2006/relationships/table" Target="../tables/table60.xml"/><Relationship Id="rId5" Type="http://schemas.openxmlformats.org/officeDocument/2006/relationships/table" Target="../tables/table7.xml"/><Relationship Id="rId15" Type="http://schemas.openxmlformats.org/officeDocument/2006/relationships/table" Target="../tables/table17.xml"/><Relationship Id="rId23" Type="http://schemas.openxmlformats.org/officeDocument/2006/relationships/table" Target="../tables/table25.xml"/><Relationship Id="rId28" Type="http://schemas.openxmlformats.org/officeDocument/2006/relationships/table" Target="../tables/table30.xml"/><Relationship Id="rId36" Type="http://schemas.openxmlformats.org/officeDocument/2006/relationships/table" Target="../tables/table38.xml"/><Relationship Id="rId49" Type="http://schemas.openxmlformats.org/officeDocument/2006/relationships/table" Target="../tables/table51.xml"/><Relationship Id="rId57" Type="http://schemas.openxmlformats.org/officeDocument/2006/relationships/table" Target="../tables/table59.xml"/><Relationship Id="rId61" Type="http://schemas.openxmlformats.org/officeDocument/2006/relationships/comments" Target="../comments6.xml"/><Relationship Id="rId10" Type="http://schemas.openxmlformats.org/officeDocument/2006/relationships/table" Target="../tables/table12.xml"/><Relationship Id="rId19" Type="http://schemas.openxmlformats.org/officeDocument/2006/relationships/table" Target="../tables/table21.xml"/><Relationship Id="rId31" Type="http://schemas.openxmlformats.org/officeDocument/2006/relationships/table" Target="../tables/table33.xml"/><Relationship Id="rId44" Type="http://schemas.openxmlformats.org/officeDocument/2006/relationships/table" Target="../tables/table46.xml"/><Relationship Id="rId52" Type="http://schemas.openxmlformats.org/officeDocument/2006/relationships/table" Target="../tables/table54.xml"/><Relationship Id="rId60" Type="http://schemas.openxmlformats.org/officeDocument/2006/relationships/table" Target="../tables/table62.xml"/><Relationship Id="rId4" Type="http://schemas.openxmlformats.org/officeDocument/2006/relationships/table" Target="../tables/table6.xml"/><Relationship Id="rId9" Type="http://schemas.openxmlformats.org/officeDocument/2006/relationships/table" Target="../tables/table11.xml"/><Relationship Id="rId14" Type="http://schemas.openxmlformats.org/officeDocument/2006/relationships/table" Target="../tables/table16.xml"/><Relationship Id="rId22" Type="http://schemas.openxmlformats.org/officeDocument/2006/relationships/table" Target="../tables/table24.xml"/><Relationship Id="rId27" Type="http://schemas.openxmlformats.org/officeDocument/2006/relationships/table" Target="../tables/table29.xml"/><Relationship Id="rId30" Type="http://schemas.openxmlformats.org/officeDocument/2006/relationships/table" Target="../tables/table32.xml"/><Relationship Id="rId35" Type="http://schemas.openxmlformats.org/officeDocument/2006/relationships/table" Target="../tables/table37.xml"/><Relationship Id="rId43" Type="http://schemas.openxmlformats.org/officeDocument/2006/relationships/table" Target="../tables/table45.xml"/><Relationship Id="rId48" Type="http://schemas.openxmlformats.org/officeDocument/2006/relationships/table" Target="../tables/table50.xml"/><Relationship Id="rId56" Type="http://schemas.openxmlformats.org/officeDocument/2006/relationships/table" Target="../tables/table58.xml"/><Relationship Id="rId8" Type="http://schemas.openxmlformats.org/officeDocument/2006/relationships/table" Target="../tables/table10.xml"/><Relationship Id="rId51" Type="http://schemas.openxmlformats.org/officeDocument/2006/relationships/table" Target="../tables/table53.xml"/><Relationship Id="rId3" Type="http://schemas.openxmlformats.org/officeDocument/2006/relationships/vmlDrawing" Target="../drawings/vmlDrawing7.vml"/><Relationship Id="rId12" Type="http://schemas.openxmlformats.org/officeDocument/2006/relationships/table" Target="../tables/table14.xml"/><Relationship Id="rId17" Type="http://schemas.openxmlformats.org/officeDocument/2006/relationships/table" Target="../tables/table19.xml"/><Relationship Id="rId25" Type="http://schemas.openxmlformats.org/officeDocument/2006/relationships/table" Target="../tables/table27.xml"/><Relationship Id="rId33" Type="http://schemas.openxmlformats.org/officeDocument/2006/relationships/table" Target="../tables/table35.xml"/><Relationship Id="rId38" Type="http://schemas.openxmlformats.org/officeDocument/2006/relationships/table" Target="../tables/table40.xml"/><Relationship Id="rId46" Type="http://schemas.openxmlformats.org/officeDocument/2006/relationships/table" Target="../tables/table48.xml"/><Relationship Id="rId59" Type="http://schemas.openxmlformats.org/officeDocument/2006/relationships/table" Target="../tables/table61.xml"/></Relationships>
</file>

<file path=xl/worksheets/_rels/sheet10.xml.rels><?xml version="1.0" encoding="UTF-8" standalone="yes"?>
<Relationships xmlns="http://schemas.openxmlformats.org/package/2006/relationships"><Relationship Id="rId13" Type="http://schemas.openxmlformats.org/officeDocument/2006/relationships/table" Target="../tables/table73.xml"/><Relationship Id="rId18" Type="http://schemas.openxmlformats.org/officeDocument/2006/relationships/table" Target="../tables/table78.xml"/><Relationship Id="rId26" Type="http://schemas.openxmlformats.org/officeDocument/2006/relationships/table" Target="../tables/table86.xml"/><Relationship Id="rId39" Type="http://schemas.openxmlformats.org/officeDocument/2006/relationships/table" Target="../tables/table99.xml"/><Relationship Id="rId21" Type="http://schemas.openxmlformats.org/officeDocument/2006/relationships/table" Target="../tables/table81.xml"/><Relationship Id="rId34" Type="http://schemas.openxmlformats.org/officeDocument/2006/relationships/table" Target="../tables/table94.xml"/><Relationship Id="rId42" Type="http://schemas.openxmlformats.org/officeDocument/2006/relationships/table" Target="../tables/table102.xml"/><Relationship Id="rId47" Type="http://schemas.openxmlformats.org/officeDocument/2006/relationships/table" Target="../tables/table107.xml"/><Relationship Id="rId50" Type="http://schemas.openxmlformats.org/officeDocument/2006/relationships/table" Target="../tables/table110.xml"/><Relationship Id="rId55" Type="http://schemas.openxmlformats.org/officeDocument/2006/relationships/table" Target="../tables/table115.xml"/><Relationship Id="rId7" Type="http://schemas.openxmlformats.org/officeDocument/2006/relationships/table" Target="../tables/table67.xml"/><Relationship Id="rId12" Type="http://schemas.openxmlformats.org/officeDocument/2006/relationships/table" Target="../tables/table72.xml"/><Relationship Id="rId17" Type="http://schemas.openxmlformats.org/officeDocument/2006/relationships/table" Target="../tables/table77.xml"/><Relationship Id="rId25" Type="http://schemas.openxmlformats.org/officeDocument/2006/relationships/table" Target="../tables/table85.xml"/><Relationship Id="rId33" Type="http://schemas.openxmlformats.org/officeDocument/2006/relationships/table" Target="../tables/table93.xml"/><Relationship Id="rId38" Type="http://schemas.openxmlformats.org/officeDocument/2006/relationships/table" Target="../tables/table98.xml"/><Relationship Id="rId46" Type="http://schemas.openxmlformats.org/officeDocument/2006/relationships/table" Target="../tables/table106.xml"/><Relationship Id="rId59" Type="http://schemas.openxmlformats.org/officeDocument/2006/relationships/table" Target="../tables/table119.xml"/><Relationship Id="rId2" Type="http://schemas.openxmlformats.org/officeDocument/2006/relationships/vmlDrawing" Target="../drawings/vmlDrawing8.vml"/><Relationship Id="rId16" Type="http://schemas.openxmlformats.org/officeDocument/2006/relationships/table" Target="../tables/table76.xml"/><Relationship Id="rId20" Type="http://schemas.openxmlformats.org/officeDocument/2006/relationships/table" Target="../tables/table80.xml"/><Relationship Id="rId29" Type="http://schemas.openxmlformats.org/officeDocument/2006/relationships/table" Target="../tables/table89.xml"/><Relationship Id="rId41" Type="http://schemas.openxmlformats.org/officeDocument/2006/relationships/table" Target="../tables/table101.xml"/><Relationship Id="rId54" Type="http://schemas.openxmlformats.org/officeDocument/2006/relationships/table" Target="../tables/table114.xml"/><Relationship Id="rId1" Type="http://schemas.openxmlformats.org/officeDocument/2006/relationships/drawing" Target="../drawings/drawing10.xml"/><Relationship Id="rId6" Type="http://schemas.openxmlformats.org/officeDocument/2006/relationships/table" Target="../tables/table66.xml"/><Relationship Id="rId11" Type="http://schemas.openxmlformats.org/officeDocument/2006/relationships/table" Target="../tables/table71.xml"/><Relationship Id="rId24" Type="http://schemas.openxmlformats.org/officeDocument/2006/relationships/table" Target="../tables/table84.xml"/><Relationship Id="rId32" Type="http://schemas.openxmlformats.org/officeDocument/2006/relationships/table" Target="../tables/table92.xml"/><Relationship Id="rId37" Type="http://schemas.openxmlformats.org/officeDocument/2006/relationships/table" Target="../tables/table97.xml"/><Relationship Id="rId40" Type="http://schemas.openxmlformats.org/officeDocument/2006/relationships/table" Target="../tables/table100.xml"/><Relationship Id="rId45" Type="http://schemas.openxmlformats.org/officeDocument/2006/relationships/table" Target="../tables/table105.xml"/><Relationship Id="rId53" Type="http://schemas.openxmlformats.org/officeDocument/2006/relationships/table" Target="../tables/table113.xml"/><Relationship Id="rId58" Type="http://schemas.openxmlformats.org/officeDocument/2006/relationships/table" Target="../tables/table118.xml"/><Relationship Id="rId5" Type="http://schemas.openxmlformats.org/officeDocument/2006/relationships/table" Target="../tables/table65.xml"/><Relationship Id="rId15" Type="http://schemas.openxmlformats.org/officeDocument/2006/relationships/table" Target="../tables/table75.xml"/><Relationship Id="rId23" Type="http://schemas.openxmlformats.org/officeDocument/2006/relationships/table" Target="../tables/table83.xml"/><Relationship Id="rId28" Type="http://schemas.openxmlformats.org/officeDocument/2006/relationships/table" Target="../tables/table88.xml"/><Relationship Id="rId36" Type="http://schemas.openxmlformats.org/officeDocument/2006/relationships/table" Target="../tables/table96.xml"/><Relationship Id="rId49" Type="http://schemas.openxmlformats.org/officeDocument/2006/relationships/table" Target="../tables/table109.xml"/><Relationship Id="rId57" Type="http://schemas.openxmlformats.org/officeDocument/2006/relationships/table" Target="../tables/table117.xml"/><Relationship Id="rId10" Type="http://schemas.openxmlformats.org/officeDocument/2006/relationships/table" Target="../tables/table70.xml"/><Relationship Id="rId19" Type="http://schemas.openxmlformats.org/officeDocument/2006/relationships/table" Target="../tables/table79.xml"/><Relationship Id="rId31" Type="http://schemas.openxmlformats.org/officeDocument/2006/relationships/table" Target="../tables/table91.xml"/><Relationship Id="rId44" Type="http://schemas.openxmlformats.org/officeDocument/2006/relationships/table" Target="../tables/table104.xml"/><Relationship Id="rId52" Type="http://schemas.openxmlformats.org/officeDocument/2006/relationships/table" Target="../tables/table112.xml"/><Relationship Id="rId60" Type="http://schemas.openxmlformats.org/officeDocument/2006/relationships/comments" Target="../comments7.xml"/><Relationship Id="rId4" Type="http://schemas.openxmlformats.org/officeDocument/2006/relationships/table" Target="../tables/table64.xml"/><Relationship Id="rId9" Type="http://schemas.openxmlformats.org/officeDocument/2006/relationships/table" Target="../tables/table69.xml"/><Relationship Id="rId14" Type="http://schemas.openxmlformats.org/officeDocument/2006/relationships/table" Target="../tables/table74.xml"/><Relationship Id="rId22" Type="http://schemas.openxmlformats.org/officeDocument/2006/relationships/table" Target="../tables/table82.xml"/><Relationship Id="rId27" Type="http://schemas.openxmlformats.org/officeDocument/2006/relationships/table" Target="../tables/table87.xml"/><Relationship Id="rId30" Type="http://schemas.openxmlformats.org/officeDocument/2006/relationships/table" Target="../tables/table90.xml"/><Relationship Id="rId35" Type="http://schemas.openxmlformats.org/officeDocument/2006/relationships/table" Target="../tables/table95.xml"/><Relationship Id="rId43" Type="http://schemas.openxmlformats.org/officeDocument/2006/relationships/table" Target="../tables/table103.xml"/><Relationship Id="rId48" Type="http://schemas.openxmlformats.org/officeDocument/2006/relationships/table" Target="../tables/table108.xml"/><Relationship Id="rId56" Type="http://schemas.openxmlformats.org/officeDocument/2006/relationships/table" Target="../tables/table116.xml"/><Relationship Id="rId8" Type="http://schemas.openxmlformats.org/officeDocument/2006/relationships/table" Target="../tables/table68.xml"/><Relationship Id="rId51" Type="http://schemas.openxmlformats.org/officeDocument/2006/relationships/table" Target="../tables/table111.xml"/><Relationship Id="rId3" Type="http://schemas.openxmlformats.org/officeDocument/2006/relationships/table" Target="../tables/table63.xml"/></Relationships>
</file>

<file path=xl/worksheets/_rels/sheet11.xml.rels><?xml version="1.0" encoding="UTF-8" standalone="yes"?>
<Relationships xmlns="http://schemas.openxmlformats.org/package/2006/relationships"><Relationship Id="rId13" Type="http://schemas.openxmlformats.org/officeDocument/2006/relationships/table" Target="../tables/table130.xml"/><Relationship Id="rId18" Type="http://schemas.openxmlformats.org/officeDocument/2006/relationships/table" Target="../tables/table135.xml"/><Relationship Id="rId26" Type="http://schemas.openxmlformats.org/officeDocument/2006/relationships/table" Target="../tables/table143.xml"/><Relationship Id="rId39" Type="http://schemas.openxmlformats.org/officeDocument/2006/relationships/table" Target="../tables/table156.xml"/><Relationship Id="rId21" Type="http://schemas.openxmlformats.org/officeDocument/2006/relationships/table" Target="../tables/table138.xml"/><Relationship Id="rId34" Type="http://schemas.openxmlformats.org/officeDocument/2006/relationships/table" Target="../tables/table151.xml"/><Relationship Id="rId42" Type="http://schemas.openxmlformats.org/officeDocument/2006/relationships/table" Target="../tables/table159.xml"/><Relationship Id="rId47" Type="http://schemas.openxmlformats.org/officeDocument/2006/relationships/table" Target="../tables/table164.xml"/><Relationship Id="rId50" Type="http://schemas.openxmlformats.org/officeDocument/2006/relationships/table" Target="../tables/table167.xml"/><Relationship Id="rId55" Type="http://schemas.openxmlformats.org/officeDocument/2006/relationships/table" Target="../tables/table172.xml"/><Relationship Id="rId7" Type="http://schemas.openxmlformats.org/officeDocument/2006/relationships/table" Target="../tables/table124.xml"/><Relationship Id="rId12" Type="http://schemas.openxmlformats.org/officeDocument/2006/relationships/table" Target="../tables/table129.xml"/><Relationship Id="rId17" Type="http://schemas.openxmlformats.org/officeDocument/2006/relationships/table" Target="../tables/table134.xml"/><Relationship Id="rId25" Type="http://schemas.openxmlformats.org/officeDocument/2006/relationships/table" Target="../tables/table142.xml"/><Relationship Id="rId33" Type="http://schemas.openxmlformats.org/officeDocument/2006/relationships/table" Target="../tables/table150.xml"/><Relationship Id="rId38" Type="http://schemas.openxmlformats.org/officeDocument/2006/relationships/table" Target="../tables/table155.xml"/><Relationship Id="rId46" Type="http://schemas.openxmlformats.org/officeDocument/2006/relationships/table" Target="../tables/table163.xml"/><Relationship Id="rId59" Type="http://schemas.openxmlformats.org/officeDocument/2006/relationships/table" Target="../tables/table176.xml"/><Relationship Id="rId2" Type="http://schemas.openxmlformats.org/officeDocument/2006/relationships/vmlDrawing" Target="../drawings/vmlDrawing9.vml"/><Relationship Id="rId16" Type="http://schemas.openxmlformats.org/officeDocument/2006/relationships/table" Target="../tables/table133.xml"/><Relationship Id="rId20" Type="http://schemas.openxmlformats.org/officeDocument/2006/relationships/table" Target="../tables/table137.xml"/><Relationship Id="rId29" Type="http://schemas.openxmlformats.org/officeDocument/2006/relationships/table" Target="../tables/table146.xml"/><Relationship Id="rId41" Type="http://schemas.openxmlformats.org/officeDocument/2006/relationships/table" Target="../tables/table158.xml"/><Relationship Id="rId54" Type="http://schemas.openxmlformats.org/officeDocument/2006/relationships/table" Target="../tables/table171.xml"/><Relationship Id="rId1" Type="http://schemas.openxmlformats.org/officeDocument/2006/relationships/drawing" Target="../drawings/drawing11.xml"/><Relationship Id="rId6" Type="http://schemas.openxmlformats.org/officeDocument/2006/relationships/table" Target="../tables/table123.xml"/><Relationship Id="rId11" Type="http://schemas.openxmlformats.org/officeDocument/2006/relationships/table" Target="../tables/table128.xml"/><Relationship Id="rId24" Type="http://schemas.openxmlformats.org/officeDocument/2006/relationships/table" Target="../tables/table141.xml"/><Relationship Id="rId32" Type="http://schemas.openxmlformats.org/officeDocument/2006/relationships/table" Target="../tables/table149.xml"/><Relationship Id="rId37" Type="http://schemas.openxmlformats.org/officeDocument/2006/relationships/table" Target="../tables/table154.xml"/><Relationship Id="rId40" Type="http://schemas.openxmlformats.org/officeDocument/2006/relationships/table" Target="../tables/table157.xml"/><Relationship Id="rId45" Type="http://schemas.openxmlformats.org/officeDocument/2006/relationships/table" Target="../tables/table162.xml"/><Relationship Id="rId53" Type="http://schemas.openxmlformats.org/officeDocument/2006/relationships/table" Target="../tables/table170.xml"/><Relationship Id="rId58" Type="http://schemas.openxmlformats.org/officeDocument/2006/relationships/table" Target="../tables/table175.xml"/><Relationship Id="rId5" Type="http://schemas.openxmlformats.org/officeDocument/2006/relationships/table" Target="../tables/table122.xml"/><Relationship Id="rId15" Type="http://schemas.openxmlformats.org/officeDocument/2006/relationships/table" Target="../tables/table132.xml"/><Relationship Id="rId23" Type="http://schemas.openxmlformats.org/officeDocument/2006/relationships/table" Target="../tables/table140.xml"/><Relationship Id="rId28" Type="http://schemas.openxmlformats.org/officeDocument/2006/relationships/table" Target="../tables/table145.xml"/><Relationship Id="rId36" Type="http://schemas.openxmlformats.org/officeDocument/2006/relationships/table" Target="../tables/table153.xml"/><Relationship Id="rId49" Type="http://schemas.openxmlformats.org/officeDocument/2006/relationships/table" Target="../tables/table166.xml"/><Relationship Id="rId57" Type="http://schemas.openxmlformats.org/officeDocument/2006/relationships/table" Target="../tables/table174.xml"/><Relationship Id="rId10" Type="http://schemas.openxmlformats.org/officeDocument/2006/relationships/table" Target="../tables/table127.xml"/><Relationship Id="rId19" Type="http://schemas.openxmlformats.org/officeDocument/2006/relationships/table" Target="../tables/table136.xml"/><Relationship Id="rId31" Type="http://schemas.openxmlformats.org/officeDocument/2006/relationships/table" Target="../tables/table148.xml"/><Relationship Id="rId44" Type="http://schemas.openxmlformats.org/officeDocument/2006/relationships/table" Target="../tables/table161.xml"/><Relationship Id="rId52" Type="http://schemas.openxmlformats.org/officeDocument/2006/relationships/table" Target="../tables/table169.xml"/><Relationship Id="rId60" Type="http://schemas.openxmlformats.org/officeDocument/2006/relationships/comments" Target="../comments8.xml"/><Relationship Id="rId4" Type="http://schemas.openxmlformats.org/officeDocument/2006/relationships/table" Target="../tables/table121.xml"/><Relationship Id="rId9" Type="http://schemas.openxmlformats.org/officeDocument/2006/relationships/table" Target="../tables/table126.xml"/><Relationship Id="rId14" Type="http://schemas.openxmlformats.org/officeDocument/2006/relationships/table" Target="../tables/table131.xml"/><Relationship Id="rId22" Type="http://schemas.openxmlformats.org/officeDocument/2006/relationships/table" Target="../tables/table139.xml"/><Relationship Id="rId27" Type="http://schemas.openxmlformats.org/officeDocument/2006/relationships/table" Target="../tables/table144.xml"/><Relationship Id="rId30" Type="http://schemas.openxmlformats.org/officeDocument/2006/relationships/table" Target="../tables/table147.xml"/><Relationship Id="rId35" Type="http://schemas.openxmlformats.org/officeDocument/2006/relationships/table" Target="../tables/table152.xml"/><Relationship Id="rId43" Type="http://schemas.openxmlformats.org/officeDocument/2006/relationships/table" Target="../tables/table160.xml"/><Relationship Id="rId48" Type="http://schemas.openxmlformats.org/officeDocument/2006/relationships/table" Target="../tables/table165.xml"/><Relationship Id="rId56" Type="http://schemas.openxmlformats.org/officeDocument/2006/relationships/table" Target="../tables/table173.xml"/><Relationship Id="rId8" Type="http://schemas.openxmlformats.org/officeDocument/2006/relationships/table" Target="../tables/table125.xml"/><Relationship Id="rId51" Type="http://schemas.openxmlformats.org/officeDocument/2006/relationships/table" Target="../tables/table168.xml"/><Relationship Id="rId3" Type="http://schemas.openxmlformats.org/officeDocument/2006/relationships/table" Target="../tables/table120.xml"/></Relationships>
</file>

<file path=xl/worksheets/_rels/sheet12.xml.rels><?xml version="1.0" encoding="UTF-8" standalone="yes"?>
<Relationships xmlns="http://schemas.openxmlformats.org/package/2006/relationships"><Relationship Id="rId8" Type="http://schemas.microsoft.com/office/2007/relationships/slicer" Target="../slicers/slicer2.xml"/><Relationship Id="rId3" Type="http://schemas.openxmlformats.org/officeDocument/2006/relationships/pivotTable" Target="../pivotTables/pivotTable3.xml"/><Relationship Id="rId7" Type="http://schemas.openxmlformats.org/officeDocument/2006/relationships/drawing" Target="../drawings/drawing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9.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13.xml.rels><?xml version="1.0" encoding="UTF-8" standalone="yes"?>
<Relationships xmlns="http://schemas.openxmlformats.org/package/2006/relationships"><Relationship Id="rId13" Type="http://schemas.openxmlformats.org/officeDocument/2006/relationships/externalLinkPath" Target="/Users/mayelysterlingortega/Downloads/TUPEY%20OFERTA%2005:08.xlsm" TargetMode="External"/><Relationship Id="rId18" Type="http://schemas.openxmlformats.org/officeDocument/2006/relationships/externalLinkPath" Target="/Users/mayelysterlingortega/Downloads/TUPEY%20OFERTA%2005:08.xlsm" TargetMode="External"/><Relationship Id="rId26" Type="http://schemas.openxmlformats.org/officeDocument/2006/relationships/externalLinkPath" Target="/Users/mayelysterlingortega/Downloads/TUPEY%20OFERTA%2005:08.xlsm" TargetMode="External"/><Relationship Id="rId39" Type="http://schemas.openxmlformats.org/officeDocument/2006/relationships/externalLinkPath" Target="/Users/mayelysterlingortega/Downloads/TUPEY%20OFERTA%2005:08.xlsm" TargetMode="External"/><Relationship Id="rId21" Type="http://schemas.openxmlformats.org/officeDocument/2006/relationships/externalLinkPath" Target="/Users/mayelysterlingortega/Downloads/TUPEY%20OFERTA%2005:08.xlsm" TargetMode="External"/><Relationship Id="rId34" Type="http://schemas.openxmlformats.org/officeDocument/2006/relationships/externalLinkPath" Target="/Users/mayelysterlingortega/Downloads/TUPEY%20OFERTA%2005:08.xlsm" TargetMode="External"/><Relationship Id="rId42" Type="http://schemas.openxmlformats.org/officeDocument/2006/relationships/externalLinkPath" Target="/Users/mayelysterlingortega/Downloads/TUPEY%20OFERTA%2005:08.xlsm" TargetMode="External"/><Relationship Id="rId47" Type="http://schemas.openxmlformats.org/officeDocument/2006/relationships/externalLinkPath" Target="/Users/mayelysterlingortega/Downloads/TUPEY%20OFERTA%2005:08.xlsm" TargetMode="External"/><Relationship Id="rId50" Type="http://schemas.openxmlformats.org/officeDocument/2006/relationships/externalLinkPath" Target="/Users/mayelysterlingortega/Downloads/TUPEY%20OFERTA%2005:08.xlsm" TargetMode="External"/><Relationship Id="rId55" Type="http://schemas.openxmlformats.org/officeDocument/2006/relationships/externalLinkPath" Target="/Users/mayelysterlingortega/Downloads/TUPEY%20OFERTA%2005:08.xlsm" TargetMode="External"/><Relationship Id="rId63" Type="http://schemas.openxmlformats.org/officeDocument/2006/relationships/externalLinkPath" Target="/Users/mayelysterlingortega/Downloads/TUPEY%20OFERTA%2005:08.xlsm" TargetMode="External"/><Relationship Id="rId68" Type="http://schemas.openxmlformats.org/officeDocument/2006/relationships/externalLinkPath" Target="/Users/mayelysterlingortega/Downloads/TUPEY%20OFERTA%2005:08.xlsm" TargetMode="External"/><Relationship Id="rId76" Type="http://schemas.openxmlformats.org/officeDocument/2006/relationships/externalLinkPath" Target="/Users/mayelysterlingortega/Downloads/TUPEY%20OFERTA%2005:08.xlsm" TargetMode="External"/><Relationship Id="rId7" Type="http://schemas.openxmlformats.org/officeDocument/2006/relationships/externalLinkPath" Target="/Users/mayelysterlingortega/Downloads/TUPEY%20OFERTA%2005:08.xlsm" TargetMode="External"/><Relationship Id="rId71" Type="http://schemas.openxmlformats.org/officeDocument/2006/relationships/externalLinkPath" Target="/Users/mayelysterlingortega/Downloads/TUPEY%20OFERTA%2005:08.xlsm" TargetMode="External"/><Relationship Id="rId2" Type="http://schemas.openxmlformats.org/officeDocument/2006/relationships/externalLinkPath" Target="/Users/mayelysterlingortega/Downloads/TUPEY%20OFERTA%2005:08.xlsm" TargetMode="External"/><Relationship Id="rId16" Type="http://schemas.openxmlformats.org/officeDocument/2006/relationships/externalLinkPath" Target="/Users/mayelysterlingortega/Downloads/TUPEY%20OFERTA%2005:08.xlsm" TargetMode="External"/><Relationship Id="rId29" Type="http://schemas.openxmlformats.org/officeDocument/2006/relationships/externalLinkPath" Target="/Users/mayelysterlingortega/Downloads/TUPEY%20OFERTA%2005:08.xlsm" TargetMode="External"/><Relationship Id="rId11" Type="http://schemas.openxmlformats.org/officeDocument/2006/relationships/externalLinkPath" Target="/Users/mayelysterlingortega/Downloads/TUPEY%20OFERTA%2005:08.xlsm" TargetMode="External"/><Relationship Id="rId24" Type="http://schemas.openxmlformats.org/officeDocument/2006/relationships/externalLinkPath" Target="/Users/mayelysterlingortega/Downloads/TUPEY%20OFERTA%2005:08.xlsm" TargetMode="External"/><Relationship Id="rId32" Type="http://schemas.openxmlformats.org/officeDocument/2006/relationships/externalLinkPath" Target="/Users/mayelysterlingortega/Downloads/TUPEY%20OFERTA%2005:08.xlsm" TargetMode="External"/><Relationship Id="rId37" Type="http://schemas.openxmlformats.org/officeDocument/2006/relationships/externalLinkPath" Target="/Users/mayelysterlingortega/Downloads/TUPEY%20OFERTA%2005:08.xlsm" TargetMode="External"/><Relationship Id="rId40" Type="http://schemas.openxmlformats.org/officeDocument/2006/relationships/externalLinkPath" Target="/Users/mayelysterlingortega/Downloads/TUPEY%20OFERTA%2005:08.xlsm" TargetMode="External"/><Relationship Id="rId45" Type="http://schemas.openxmlformats.org/officeDocument/2006/relationships/externalLinkPath" Target="/Users/mayelysterlingortega/Downloads/TUPEY%20OFERTA%2005:08.xlsm" TargetMode="External"/><Relationship Id="rId53" Type="http://schemas.openxmlformats.org/officeDocument/2006/relationships/externalLinkPath" Target="/Users/mayelysterlingortega/Downloads/TUPEY%20OFERTA%2005:08.xlsm" TargetMode="External"/><Relationship Id="rId58" Type="http://schemas.openxmlformats.org/officeDocument/2006/relationships/externalLinkPath" Target="/Users/mayelysterlingortega/Downloads/TUPEY%20OFERTA%2005:08.xlsm" TargetMode="External"/><Relationship Id="rId66" Type="http://schemas.openxmlformats.org/officeDocument/2006/relationships/externalLinkPath" Target="/Users/mayelysterlingortega/Downloads/TUPEY%20OFERTA%2005:08.xlsm" TargetMode="External"/><Relationship Id="rId74" Type="http://schemas.openxmlformats.org/officeDocument/2006/relationships/externalLinkPath" Target="/Users/mayelysterlingortega/Downloads/TUPEY%20OFERTA%2005:08.xlsm" TargetMode="External"/><Relationship Id="rId79" Type="http://schemas.openxmlformats.org/officeDocument/2006/relationships/externalLinkPath" Target="/Users/mayelysterlingortega/Downloads/TUPEY%20OFERTA%2005:08.xlsm" TargetMode="External"/><Relationship Id="rId5" Type="http://schemas.openxmlformats.org/officeDocument/2006/relationships/externalLinkPath" Target="/Users/mayelysterlingortega/Downloads/TUPEY%20OFERTA%2005:08.xlsm" TargetMode="External"/><Relationship Id="rId61" Type="http://schemas.openxmlformats.org/officeDocument/2006/relationships/externalLinkPath" Target="/Users/mayelysterlingortega/Downloads/TUPEY%20OFERTA%2005:08.xlsm" TargetMode="External"/><Relationship Id="rId10" Type="http://schemas.openxmlformats.org/officeDocument/2006/relationships/externalLinkPath" Target="/Users/mayelysterlingortega/Downloads/TUPEY%20OFERTA%2005:08.xlsm" TargetMode="External"/><Relationship Id="rId19" Type="http://schemas.openxmlformats.org/officeDocument/2006/relationships/externalLinkPath" Target="/Users/mayelysterlingortega/Downloads/TUPEY%20OFERTA%2005:08.xlsm" TargetMode="External"/><Relationship Id="rId31" Type="http://schemas.openxmlformats.org/officeDocument/2006/relationships/externalLinkPath" Target="/Users/mayelysterlingortega/Downloads/TUPEY%20OFERTA%2005:08.xlsm" TargetMode="External"/><Relationship Id="rId44" Type="http://schemas.openxmlformats.org/officeDocument/2006/relationships/externalLinkPath" Target="/Users/mayelysterlingortega/Downloads/TUPEY%20OFERTA%2005:08.xlsm" TargetMode="External"/><Relationship Id="rId52" Type="http://schemas.openxmlformats.org/officeDocument/2006/relationships/externalLinkPath" Target="/Users/mayelysterlingortega/Downloads/TUPEY%20OFERTA%2005:08.xlsm" TargetMode="External"/><Relationship Id="rId60" Type="http://schemas.openxmlformats.org/officeDocument/2006/relationships/externalLinkPath" Target="/Users/mayelysterlingortega/Downloads/TUPEY%20OFERTA%2005:08.xlsm" TargetMode="External"/><Relationship Id="rId65" Type="http://schemas.openxmlformats.org/officeDocument/2006/relationships/externalLinkPath" Target="/Users/mayelysterlingortega/Downloads/TUPEY%20OFERTA%2005:08.xlsm" TargetMode="External"/><Relationship Id="rId73" Type="http://schemas.openxmlformats.org/officeDocument/2006/relationships/externalLinkPath" Target="/Users/mayelysterlingortega/Downloads/TUPEY%20OFERTA%2005:08.xlsm" TargetMode="External"/><Relationship Id="rId78" Type="http://schemas.openxmlformats.org/officeDocument/2006/relationships/externalLinkPath" Target="/Users/mayelysterlingortega/Downloads/TUPEY%20OFERTA%2005:08.xlsm" TargetMode="External"/><Relationship Id="rId81" Type="http://schemas.openxmlformats.org/officeDocument/2006/relationships/drawing" Target="../drawings/drawing13.xml"/><Relationship Id="rId4" Type="http://schemas.openxmlformats.org/officeDocument/2006/relationships/externalLinkPath" Target="/Users/mayelysterlingortega/Downloads/TUPEY%20OFERTA%2005:08.xlsm" TargetMode="External"/><Relationship Id="rId9" Type="http://schemas.openxmlformats.org/officeDocument/2006/relationships/externalLinkPath" Target="/Users/mayelysterlingortega/Downloads/TUPEY%20OFERTA%2005:08.xlsm" TargetMode="External"/><Relationship Id="rId14" Type="http://schemas.openxmlformats.org/officeDocument/2006/relationships/externalLinkPath" Target="/Users/mayelysterlingortega/Downloads/TUPEY%20OFERTA%2005:08.xlsm" TargetMode="External"/><Relationship Id="rId22" Type="http://schemas.openxmlformats.org/officeDocument/2006/relationships/externalLinkPath" Target="/Users/mayelysterlingortega/Downloads/TUPEY%20OFERTA%2005:08.xlsm" TargetMode="External"/><Relationship Id="rId27" Type="http://schemas.openxmlformats.org/officeDocument/2006/relationships/externalLinkPath" Target="/Users/mayelysterlingortega/Downloads/TUPEY%20OFERTA%2005:08.xlsm" TargetMode="External"/><Relationship Id="rId30" Type="http://schemas.openxmlformats.org/officeDocument/2006/relationships/externalLinkPath" Target="/Users/mayelysterlingortega/Downloads/TUPEY%20OFERTA%2005:08.xlsm" TargetMode="External"/><Relationship Id="rId35" Type="http://schemas.openxmlformats.org/officeDocument/2006/relationships/externalLinkPath" Target="/Users/mayelysterlingortega/Downloads/TUPEY%20OFERTA%2005:08.xlsm" TargetMode="External"/><Relationship Id="rId43" Type="http://schemas.openxmlformats.org/officeDocument/2006/relationships/externalLinkPath" Target="/Users/mayelysterlingortega/Downloads/TUPEY%20OFERTA%2005:08.xlsm" TargetMode="External"/><Relationship Id="rId48" Type="http://schemas.openxmlformats.org/officeDocument/2006/relationships/externalLinkPath" Target="/Users/mayelysterlingortega/Downloads/TUPEY%20OFERTA%2005:08.xlsm" TargetMode="External"/><Relationship Id="rId56" Type="http://schemas.openxmlformats.org/officeDocument/2006/relationships/externalLinkPath" Target="/Users/mayelysterlingortega/Downloads/TUPEY%20OFERTA%2005:08.xlsm" TargetMode="External"/><Relationship Id="rId64" Type="http://schemas.openxmlformats.org/officeDocument/2006/relationships/externalLinkPath" Target="/Users/mayelysterlingortega/Downloads/TUPEY%20OFERTA%2005:08.xlsm" TargetMode="External"/><Relationship Id="rId69" Type="http://schemas.openxmlformats.org/officeDocument/2006/relationships/externalLinkPath" Target="/Users/mayelysterlingortega/Downloads/TUPEY%20OFERTA%2005:08.xlsm" TargetMode="External"/><Relationship Id="rId77" Type="http://schemas.openxmlformats.org/officeDocument/2006/relationships/externalLinkPath" Target="/Users/mayelysterlingortega/Downloads/TUPEY%20OFERTA%2005:08.xlsm" TargetMode="External"/><Relationship Id="rId8" Type="http://schemas.openxmlformats.org/officeDocument/2006/relationships/externalLinkPath" Target="/Users/mayelysterlingortega/Downloads/TUPEY%20OFERTA%2005:08.xlsm" TargetMode="External"/><Relationship Id="rId51" Type="http://schemas.openxmlformats.org/officeDocument/2006/relationships/externalLinkPath" Target="/Users/mayelysterlingortega/Downloads/TUPEY%20OFERTA%2005:08.xlsm" TargetMode="External"/><Relationship Id="rId72" Type="http://schemas.openxmlformats.org/officeDocument/2006/relationships/externalLinkPath" Target="/Users/mayelysterlingortega/Downloads/TUPEY%20OFERTA%2005:08.xlsm" TargetMode="External"/><Relationship Id="rId80" Type="http://schemas.openxmlformats.org/officeDocument/2006/relationships/externalLinkPath" Target="/Users/mayelysterlingortega/Downloads/TUPEY%20OFERTA%2005:08.xlsm" TargetMode="External"/><Relationship Id="rId3" Type="http://schemas.openxmlformats.org/officeDocument/2006/relationships/externalLinkPath" Target="/Users/mayelysterlingortega/Downloads/TUPEY%20OFERTA%2005:08.xlsm" TargetMode="External"/><Relationship Id="rId12" Type="http://schemas.openxmlformats.org/officeDocument/2006/relationships/externalLinkPath" Target="/Users/mayelysterlingortega/Downloads/TUPEY%20OFERTA%2005:08.xlsm" TargetMode="External"/><Relationship Id="rId17" Type="http://schemas.openxmlformats.org/officeDocument/2006/relationships/externalLinkPath" Target="/Users/mayelysterlingortega/Downloads/TUPEY%20OFERTA%2005:08.xlsm" TargetMode="External"/><Relationship Id="rId25" Type="http://schemas.openxmlformats.org/officeDocument/2006/relationships/externalLinkPath" Target="/Users/mayelysterlingortega/Downloads/TUPEY%20OFERTA%2005:08.xlsm" TargetMode="External"/><Relationship Id="rId33" Type="http://schemas.openxmlformats.org/officeDocument/2006/relationships/externalLinkPath" Target="/Users/mayelysterlingortega/Downloads/TUPEY%20OFERTA%2005:08.xlsm" TargetMode="External"/><Relationship Id="rId38" Type="http://schemas.openxmlformats.org/officeDocument/2006/relationships/externalLinkPath" Target="/Users/mayelysterlingortega/Downloads/TUPEY%20OFERTA%2005:08.xlsm" TargetMode="External"/><Relationship Id="rId46" Type="http://schemas.openxmlformats.org/officeDocument/2006/relationships/externalLinkPath" Target="/Users/mayelysterlingortega/Downloads/TUPEY%20OFERTA%2005:08.xlsm" TargetMode="External"/><Relationship Id="rId59" Type="http://schemas.openxmlformats.org/officeDocument/2006/relationships/externalLinkPath" Target="/Users/mayelysterlingortega/Downloads/TUPEY%20OFERTA%2005:08.xlsm" TargetMode="External"/><Relationship Id="rId67" Type="http://schemas.openxmlformats.org/officeDocument/2006/relationships/externalLinkPath" Target="/Users/mayelysterlingortega/Downloads/TUPEY%20OFERTA%2005:08.xlsm" TargetMode="External"/><Relationship Id="rId20" Type="http://schemas.openxmlformats.org/officeDocument/2006/relationships/externalLinkPath" Target="/Users/mayelysterlingortega/Downloads/TUPEY%20OFERTA%2005:08.xlsm" TargetMode="External"/><Relationship Id="rId41" Type="http://schemas.openxmlformats.org/officeDocument/2006/relationships/externalLinkPath" Target="/Users/mayelysterlingortega/Downloads/TUPEY%20OFERTA%2005:08.xlsm" TargetMode="External"/><Relationship Id="rId54" Type="http://schemas.openxmlformats.org/officeDocument/2006/relationships/externalLinkPath" Target="/Users/mayelysterlingortega/Downloads/TUPEY%20OFERTA%2005:08.xlsm" TargetMode="External"/><Relationship Id="rId62" Type="http://schemas.openxmlformats.org/officeDocument/2006/relationships/externalLinkPath" Target="/Users/mayelysterlingortega/Downloads/TUPEY%20OFERTA%2005:08.xlsm" TargetMode="External"/><Relationship Id="rId70" Type="http://schemas.openxmlformats.org/officeDocument/2006/relationships/externalLinkPath" Target="/Users/mayelysterlingortega/Downloads/TUPEY%20OFERTA%2005:08.xlsm" TargetMode="External"/><Relationship Id="rId75" Type="http://schemas.openxmlformats.org/officeDocument/2006/relationships/externalLinkPath" Target="/Users/mayelysterlingortega/Downloads/TUPEY%20OFERTA%2005:08.xlsm" TargetMode="External"/><Relationship Id="rId1" Type="http://schemas.openxmlformats.org/officeDocument/2006/relationships/externalLinkPath" Target="/Users/mayelysterlingortega/Downloads/TUPEY%20OFERTA%2005:08.xlsm" TargetMode="External"/><Relationship Id="rId6" Type="http://schemas.openxmlformats.org/officeDocument/2006/relationships/externalLinkPath" Target="/Users/mayelysterlingortega/Downloads/TUPEY%20OFERTA%2005:08.xlsm" TargetMode="External"/><Relationship Id="rId15" Type="http://schemas.openxmlformats.org/officeDocument/2006/relationships/externalLinkPath" Target="/Users/mayelysterlingortega/Downloads/TUPEY%20OFERTA%2005:08.xlsm" TargetMode="External"/><Relationship Id="rId23" Type="http://schemas.openxmlformats.org/officeDocument/2006/relationships/externalLinkPath" Target="/Users/mayelysterlingortega/Downloads/TUPEY%20OFERTA%2005:08.xlsm" TargetMode="External"/><Relationship Id="rId28" Type="http://schemas.openxmlformats.org/officeDocument/2006/relationships/externalLinkPath" Target="/Users/mayelysterlingortega/Downloads/TUPEY%20OFERTA%2005:08.xlsm" TargetMode="External"/><Relationship Id="rId36" Type="http://schemas.openxmlformats.org/officeDocument/2006/relationships/externalLinkPath" Target="/Users/mayelysterlingortega/Downloads/TUPEY%20OFERTA%2005:08.xlsm" TargetMode="External"/><Relationship Id="rId49" Type="http://schemas.openxmlformats.org/officeDocument/2006/relationships/externalLinkPath" Target="/Users/mayelysterlingortega/Downloads/TUPEY%20OFERTA%2005:08.xlsm" TargetMode="External"/><Relationship Id="rId57" Type="http://schemas.openxmlformats.org/officeDocument/2006/relationships/externalLinkPath" Target="/Users/mayelysterlingortega/Downloads/TUPEY%20OFERTA%2005:08.xlsm" TargetMode="External"/></Relationships>
</file>

<file path=xl/worksheets/_rels/sheet14.xml.rels><?xml version="1.0" encoding="UTF-8" standalone="yes"?>
<Relationships xmlns="http://schemas.openxmlformats.org/package/2006/relationships"><Relationship Id="rId2" Type="http://schemas.openxmlformats.org/officeDocument/2006/relationships/table" Target="../tables/table177.xml"/><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178.xml"/><Relationship Id="rId2" Type="http://schemas.openxmlformats.org/officeDocument/2006/relationships/drawing" Target="../drawings/drawing15.x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3" Type="http://schemas.openxmlformats.org/officeDocument/2006/relationships/table" Target="../tables/table179.xml"/><Relationship Id="rId2" Type="http://schemas.openxmlformats.org/officeDocument/2006/relationships/drawing" Target="../drawings/drawing16.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3" Type="http://schemas.openxmlformats.org/officeDocument/2006/relationships/table" Target="../tables/table180.xml"/><Relationship Id="rId2" Type="http://schemas.openxmlformats.org/officeDocument/2006/relationships/drawing" Target="../drawings/drawing17.x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3" Type="http://schemas.openxmlformats.org/officeDocument/2006/relationships/table" Target="../tables/table181.xml"/><Relationship Id="rId2" Type="http://schemas.openxmlformats.org/officeDocument/2006/relationships/drawing" Target="../drawings/drawing18.x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3" Type="http://schemas.openxmlformats.org/officeDocument/2006/relationships/table" Target="../tables/table182.xml"/><Relationship Id="rId2" Type="http://schemas.openxmlformats.org/officeDocument/2006/relationships/drawing" Target="../drawings/drawing19.x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3" Type="http://schemas.openxmlformats.org/officeDocument/2006/relationships/table" Target="../tables/table183.xml"/><Relationship Id="rId2" Type="http://schemas.openxmlformats.org/officeDocument/2006/relationships/drawing" Target="../drawings/drawing20.xml"/><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3" Type="http://schemas.openxmlformats.org/officeDocument/2006/relationships/table" Target="../tables/table184.xml"/><Relationship Id="rId2" Type="http://schemas.openxmlformats.org/officeDocument/2006/relationships/drawing" Target="../drawings/drawing21.xml"/><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3" Type="http://schemas.openxmlformats.org/officeDocument/2006/relationships/table" Target="../tables/table185.xml"/><Relationship Id="rId2" Type="http://schemas.openxmlformats.org/officeDocument/2006/relationships/drawing" Target="../drawings/drawing22.xml"/><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3" Type="http://schemas.openxmlformats.org/officeDocument/2006/relationships/table" Target="../tables/table186.xml"/><Relationship Id="rId2" Type="http://schemas.openxmlformats.org/officeDocument/2006/relationships/drawing" Target="../drawings/drawing23.x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3" Type="http://schemas.openxmlformats.org/officeDocument/2006/relationships/table" Target="../tables/table187.xml"/><Relationship Id="rId2" Type="http://schemas.openxmlformats.org/officeDocument/2006/relationships/drawing" Target="../drawings/drawing24.x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3" Type="http://schemas.openxmlformats.org/officeDocument/2006/relationships/table" Target="../tables/table188.xml"/><Relationship Id="rId2" Type="http://schemas.openxmlformats.org/officeDocument/2006/relationships/drawing" Target="../drawings/drawing2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3" Type="http://schemas.openxmlformats.org/officeDocument/2006/relationships/table" Target="../tables/table189.xml"/><Relationship Id="rId2" Type="http://schemas.openxmlformats.org/officeDocument/2006/relationships/drawing" Target="../drawings/drawing26.xml"/><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3" Type="http://schemas.openxmlformats.org/officeDocument/2006/relationships/table" Target="../tables/table190.xml"/><Relationship Id="rId2" Type="http://schemas.openxmlformats.org/officeDocument/2006/relationships/drawing" Target="../drawings/drawing27.xml"/><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3" Type="http://schemas.openxmlformats.org/officeDocument/2006/relationships/table" Target="../tables/table191.xml"/><Relationship Id="rId2" Type="http://schemas.openxmlformats.org/officeDocument/2006/relationships/drawing" Target="../drawings/drawing28.xml"/><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3" Type="http://schemas.openxmlformats.org/officeDocument/2006/relationships/table" Target="../tables/table192.xml"/><Relationship Id="rId2" Type="http://schemas.openxmlformats.org/officeDocument/2006/relationships/drawing" Target="../drawings/drawing29.xml"/><Relationship Id="rId1" Type="http://schemas.openxmlformats.org/officeDocument/2006/relationships/printerSettings" Target="../printerSettings/printerSettings24.bin"/></Relationships>
</file>

<file path=xl/worksheets/_rels/sheet30.xml.rels><?xml version="1.0" encoding="UTF-8" standalone="yes"?>
<Relationships xmlns="http://schemas.openxmlformats.org/package/2006/relationships"><Relationship Id="rId3" Type="http://schemas.openxmlformats.org/officeDocument/2006/relationships/table" Target="../tables/table193.xml"/><Relationship Id="rId2" Type="http://schemas.openxmlformats.org/officeDocument/2006/relationships/drawing" Target="../drawings/drawing30.xml"/><Relationship Id="rId1" Type="http://schemas.openxmlformats.org/officeDocument/2006/relationships/printerSettings" Target="../printerSettings/printerSettings25.bin"/></Relationships>
</file>

<file path=xl/worksheets/_rels/sheet31.xml.rels><?xml version="1.0" encoding="UTF-8" standalone="yes"?>
<Relationships xmlns="http://schemas.openxmlformats.org/package/2006/relationships"><Relationship Id="rId3" Type="http://schemas.openxmlformats.org/officeDocument/2006/relationships/table" Target="../tables/table194.xml"/><Relationship Id="rId2" Type="http://schemas.openxmlformats.org/officeDocument/2006/relationships/drawing" Target="../drawings/drawing31.xml"/><Relationship Id="rId1" Type="http://schemas.openxmlformats.org/officeDocument/2006/relationships/printerSettings" Target="../printerSettings/printerSettings26.bin"/></Relationships>
</file>

<file path=xl/worksheets/_rels/sheet32.xml.rels><?xml version="1.0" encoding="UTF-8" standalone="yes"?>
<Relationships xmlns="http://schemas.openxmlformats.org/package/2006/relationships"><Relationship Id="rId3" Type="http://schemas.openxmlformats.org/officeDocument/2006/relationships/table" Target="../tables/table195.xml"/><Relationship Id="rId2" Type="http://schemas.openxmlformats.org/officeDocument/2006/relationships/drawing" Target="../drawings/drawing32.xml"/><Relationship Id="rId1" Type="http://schemas.openxmlformats.org/officeDocument/2006/relationships/printerSettings" Target="../printerSettings/printerSettings27.bin"/></Relationships>
</file>

<file path=xl/worksheets/_rels/sheet33.xml.rels><?xml version="1.0" encoding="UTF-8" standalone="yes"?>
<Relationships xmlns="http://schemas.openxmlformats.org/package/2006/relationships"><Relationship Id="rId3" Type="http://schemas.openxmlformats.org/officeDocument/2006/relationships/table" Target="../tables/table196.xml"/><Relationship Id="rId2" Type="http://schemas.openxmlformats.org/officeDocument/2006/relationships/drawing" Target="../drawings/drawing33.xml"/><Relationship Id="rId1" Type="http://schemas.openxmlformats.org/officeDocument/2006/relationships/printerSettings" Target="../printerSettings/printerSettings28.bin"/></Relationships>
</file>

<file path=xl/worksheets/_rels/sheet34.xml.rels><?xml version="1.0" encoding="UTF-8" standalone="yes"?>
<Relationships xmlns="http://schemas.openxmlformats.org/package/2006/relationships"><Relationship Id="rId3" Type="http://schemas.openxmlformats.org/officeDocument/2006/relationships/table" Target="../tables/table197.xml"/><Relationship Id="rId2" Type="http://schemas.openxmlformats.org/officeDocument/2006/relationships/drawing" Target="../drawings/drawing34.xml"/><Relationship Id="rId1" Type="http://schemas.openxmlformats.org/officeDocument/2006/relationships/printerSettings" Target="../printerSettings/printerSettings29.bin"/></Relationships>
</file>

<file path=xl/worksheets/_rels/sheet35.xml.rels><?xml version="1.0" encoding="UTF-8" standalone="yes"?>
<Relationships xmlns="http://schemas.openxmlformats.org/package/2006/relationships"><Relationship Id="rId3" Type="http://schemas.openxmlformats.org/officeDocument/2006/relationships/table" Target="../tables/table198.xml"/><Relationship Id="rId2" Type="http://schemas.openxmlformats.org/officeDocument/2006/relationships/drawing" Target="../drawings/drawing35.xml"/><Relationship Id="rId1" Type="http://schemas.openxmlformats.org/officeDocument/2006/relationships/printerSettings" Target="../printerSettings/printerSettings30.bin"/></Relationships>
</file>

<file path=xl/worksheets/_rels/sheet36.xml.rels><?xml version="1.0" encoding="UTF-8" standalone="yes"?>
<Relationships xmlns="http://schemas.openxmlformats.org/package/2006/relationships"><Relationship Id="rId3" Type="http://schemas.openxmlformats.org/officeDocument/2006/relationships/table" Target="../tables/table199.xml"/><Relationship Id="rId2" Type="http://schemas.openxmlformats.org/officeDocument/2006/relationships/drawing" Target="../drawings/drawing36.xml"/><Relationship Id="rId1" Type="http://schemas.openxmlformats.org/officeDocument/2006/relationships/printerSettings" Target="../printerSettings/printerSettings31.bin"/></Relationships>
</file>

<file path=xl/worksheets/_rels/sheet37.xml.rels><?xml version="1.0" encoding="UTF-8" standalone="yes"?>
<Relationships xmlns="http://schemas.openxmlformats.org/package/2006/relationships"><Relationship Id="rId3" Type="http://schemas.openxmlformats.org/officeDocument/2006/relationships/table" Target="../tables/table200.xml"/><Relationship Id="rId2" Type="http://schemas.openxmlformats.org/officeDocument/2006/relationships/drawing" Target="../drawings/drawing37.xml"/><Relationship Id="rId1" Type="http://schemas.openxmlformats.org/officeDocument/2006/relationships/printerSettings" Target="../printerSettings/printerSettings32.bin"/></Relationships>
</file>

<file path=xl/worksheets/_rels/sheet38.xml.rels><?xml version="1.0" encoding="UTF-8" standalone="yes"?>
<Relationships xmlns="http://schemas.openxmlformats.org/package/2006/relationships"><Relationship Id="rId3" Type="http://schemas.openxmlformats.org/officeDocument/2006/relationships/table" Target="../tables/table201.xml"/><Relationship Id="rId2" Type="http://schemas.openxmlformats.org/officeDocument/2006/relationships/drawing" Target="../drawings/drawing38.xml"/><Relationship Id="rId1" Type="http://schemas.openxmlformats.org/officeDocument/2006/relationships/printerSettings" Target="../printerSettings/printerSettings33.bin"/></Relationships>
</file>

<file path=xl/worksheets/_rels/sheet39.xml.rels><?xml version="1.0" encoding="UTF-8" standalone="yes"?>
<Relationships xmlns="http://schemas.openxmlformats.org/package/2006/relationships"><Relationship Id="rId3" Type="http://schemas.openxmlformats.org/officeDocument/2006/relationships/table" Target="../tables/table202.xml"/><Relationship Id="rId2" Type="http://schemas.openxmlformats.org/officeDocument/2006/relationships/drawing" Target="../drawings/drawing39.xml"/><Relationship Id="rId1" Type="http://schemas.openxmlformats.org/officeDocument/2006/relationships/printerSettings" Target="../printerSettings/printerSettings34.bin"/></Relationships>
</file>

<file path=xl/worksheets/_rels/sheet40.xml.rels><?xml version="1.0" encoding="UTF-8" standalone="yes"?>
<Relationships xmlns="http://schemas.openxmlformats.org/package/2006/relationships"><Relationship Id="rId3" Type="http://schemas.openxmlformats.org/officeDocument/2006/relationships/table" Target="../tables/table203.xml"/><Relationship Id="rId2" Type="http://schemas.openxmlformats.org/officeDocument/2006/relationships/drawing" Target="../drawings/drawing40.xml"/><Relationship Id="rId1" Type="http://schemas.openxmlformats.org/officeDocument/2006/relationships/printerSettings" Target="../printerSettings/printerSettings35.bin"/></Relationships>
</file>

<file path=xl/worksheets/_rels/sheet41.xml.rels><?xml version="1.0" encoding="UTF-8" standalone="yes"?>
<Relationships xmlns="http://schemas.openxmlformats.org/package/2006/relationships"><Relationship Id="rId3" Type="http://schemas.openxmlformats.org/officeDocument/2006/relationships/table" Target="../tables/table204.xml"/><Relationship Id="rId2" Type="http://schemas.openxmlformats.org/officeDocument/2006/relationships/drawing" Target="../drawings/drawing41.xml"/><Relationship Id="rId1" Type="http://schemas.openxmlformats.org/officeDocument/2006/relationships/printerSettings" Target="../printerSettings/printerSettings36.bin"/></Relationships>
</file>

<file path=xl/worksheets/_rels/sheet42.xml.rels><?xml version="1.0" encoding="UTF-8" standalone="yes"?>
<Relationships xmlns="http://schemas.openxmlformats.org/package/2006/relationships"><Relationship Id="rId3" Type="http://schemas.openxmlformats.org/officeDocument/2006/relationships/table" Target="../tables/table205.xml"/><Relationship Id="rId2" Type="http://schemas.openxmlformats.org/officeDocument/2006/relationships/drawing" Target="../drawings/drawing42.xml"/><Relationship Id="rId1" Type="http://schemas.openxmlformats.org/officeDocument/2006/relationships/printerSettings" Target="../printerSettings/printerSettings37.bin"/></Relationships>
</file>

<file path=xl/worksheets/_rels/sheet43.xml.rels><?xml version="1.0" encoding="UTF-8" standalone="yes"?>
<Relationships xmlns="http://schemas.openxmlformats.org/package/2006/relationships"><Relationship Id="rId3" Type="http://schemas.openxmlformats.org/officeDocument/2006/relationships/table" Target="../tables/table206.xml"/><Relationship Id="rId2" Type="http://schemas.openxmlformats.org/officeDocument/2006/relationships/drawing" Target="../drawings/drawing43.xml"/><Relationship Id="rId1" Type="http://schemas.openxmlformats.org/officeDocument/2006/relationships/printerSettings" Target="../printerSettings/printerSettings38.bin"/></Relationships>
</file>

<file path=xl/worksheets/_rels/sheet44.xml.rels><?xml version="1.0" encoding="UTF-8" standalone="yes"?>
<Relationships xmlns="http://schemas.openxmlformats.org/package/2006/relationships"><Relationship Id="rId3" Type="http://schemas.openxmlformats.org/officeDocument/2006/relationships/table" Target="../tables/table207.xml"/><Relationship Id="rId2" Type="http://schemas.openxmlformats.org/officeDocument/2006/relationships/drawing" Target="../drawings/drawing44.xml"/><Relationship Id="rId1" Type="http://schemas.openxmlformats.org/officeDocument/2006/relationships/printerSettings" Target="../printerSettings/printerSettings39.bin"/></Relationships>
</file>

<file path=xl/worksheets/_rels/sheet45.xml.rels><?xml version="1.0" encoding="UTF-8" standalone="yes"?>
<Relationships xmlns="http://schemas.openxmlformats.org/package/2006/relationships"><Relationship Id="rId3" Type="http://schemas.openxmlformats.org/officeDocument/2006/relationships/table" Target="../tables/table208.xml"/><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worksheets/_rels/sheet46.xml.rels><?xml version="1.0" encoding="UTF-8" standalone="yes"?>
<Relationships xmlns="http://schemas.openxmlformats.org/package/2006/relationships"><Relationship Id="rId3" Type="http://schemas.openxmlformats.org/officeDocument/2006/relationships/table" Target="../tables/table209.xml"/><Relationship Id="rId2" Type="http://schemas.openxmlformats.org/officeDocument/2006/relationships/drawing" Target="../drawings/drawing46.xml"/><Relationship Id="rId1" Type="http://schemas.openxmlformats.org/officeDocument/2006/relationships/printerSettings" Target="../printerSettings/printerSettings41.bin"/></Relationships>
</file>

<file path=xl/worksheets/_rels/sheet47.xml.rels><?xml version="1.0" encoding="UTF-8" standalone="yes"?>
<Relationships xmlns="http://schemas.openxmlformats.org/package/2006/relationships"><Relationship Id="rId3" Type="http://schemas.openxmlformats.org/officeDocument/2006/relationships/table" Target="../tables/table210.xml"/><Relationship Id="rId2" Type="http://schemas.openxmlformats.org/officeDocument/2006/relationships/drawing" Target="../drawings/drawing47.xml"/><Relationship Id="rId1" Type="http://schemas.openxmlformats.org/officeDocument/2006/relationships/printerSettings" Target="../printerSettings/printerSettings42.bin"/></Relationships>
</file>

<file path=xl/worksheets/_rels/sheet48.xml.rels><?xml version="1.0" encoding="UTF-8" standalone="yes"?>
<Relationships xmlns="http://schemas.openxmlformats.org/package/2006/relationships"><Relationship Id="rId3" Type="http://schemas.openxmlformats.org/officeDocument/2006/relationships/table" Target="../tables/table211.xml"/><Relationship Id="rId2" Type="http://schemas.openxmlformats.org/officeDocument/2006/relationships/drawing" Target="../drawings/drawing48.xml"/><Relationship Id="rId1" Type="http://schemas.openxmlformats.org/officeDocument/2006/relationships/printerSettings" Target="../printerSettings/printerSettings43.bin"/></Relationships>
</file>

<file path=xl/worksheets/_rels/sheet49.xml.rels><?xml version="1.0" encoding="UTF-8" standalone="yes"?>
<Relationships xmlns="http://schemas.openxmlformats.org/package/2006/relationships"><Relationship Id="rId3" Type="http://schemas.openxmlformats.org/officeDocument/2006/relationships/table" Target="../tables/table212.xml"/><Relationship Id="rId2" Type="http://schemas.openxmlformats.org/officeDocument/2006/relationships/drawing" Target="../drawings/drawing49.xml"/><Relationship Id="rId1" Type="http://schemas.openxmlformats.org/officeDocument/2006/relationships/printerSettings" Target="../printerSettings/printerSettings44.bin"/></Relationships>
</file>

<file path=xl/worksheets/_rels/sheet50.xml.rels><?xml version="1.0" encoding="UTF-8" standalone="yes"?>
<Relationships xmlns="http://schemas.openxmlformats.org/package/2006/relationships"><Relationship Id="rId3" Type="http://schemas.openxmlformats.org/officeDocument/2006/relationships/table" Target="../tables/table213.xml"/><Relationship Id="rId2" Type="http://schemas.openxmlformats.org/officeDocument/2006/relationships/drawing" Target="../drawings/drawing50.xml"/><Relationship Id="rId1" Type="http://schemas.openxmlformats.org/officeDocument/2006/relationships/printerSettings" Target="../printerSettings/printerSettings45.bin"/></Relationships>
</file>

<file path=xl/worksheets/_rels/sheet51.xml.rels><?xml version="1.0" encoding="UTF-8" standalone="yes"?>
<Relationships xmlns="http://schemas.openxmlformats.org/package/2006/relationships"><Relationship Id="rId3" Type="http://schemas.openxmlformats.org/officeDocument/2006/relationships/table" Target="../tables/table214.xml"/><Relationship Id="rId2" Type="http://schemas.openxmlformats.org/officeDocument/2006/relationships/drawing" Target="../drawings/drawing51.xml"/><Relationship Id="rId1" Type="http://schemas.openxmlformats.org/officeDocument/2006/relationships/printerSettings" Target="../printerSettings/printerSettings46.bin"/></Relationships>
</file>

<file path=xl/worksheets/_rels/sheet52.xml.rels><?xml version="1.0" encoding="UTF-8" standalone="yes"?>
<Relationships xmlns="http://schemas.openxmlformats.org/package/2006/relationships"><Relationship Id="rId3" Type="http://schemas.openxmlformats.org/officeDocument/2006/relationships/table" Target="../tables/table215.xml"/><Relationship Id="rId2" Type="http://schemas.openxmlformats.org/officeDocument/2006/relationships/drawing" Target="../drawings/drawing52.xml"/><Relationship Id="rId1" Type="http://schemas.openxmlformats.org/officeDocument/2006/relationships/printerSettings" Target="../printerSettings/printerSettings47.bin"/></Relationships>
</file>

<file path=xl/worksheets/_rels/sheet53.xml.rels><?xml version="1.0" encoding="UTF-8" standalone="yes"?>
<Relationships xmlns="http://schemas.openxmlformats.org/package/2006/relationships"><Relationship Id="rId3" Type="http://schemas.openxmlformats.org/officeDocument/2006/relationships/table" Target="../tables/table216.xml"/><Relationship Id="rId2" Type="http://schemas.openxmlformats.org/officeDocument/2006/relationships/drawing" Target="../drawings/drawing53.xml"/><Relationship Id="rId1" Type="http://schemas.openxmlformats.org/officeDocument/2006/relationships/printerSettings" Target="../printerSettings/printerSettings48.bin"/></Relationships>
</file>

<file path=xl/worksheets/_rels/sheet54.xml.rels><?xml version="1.0" encoding="UTF-8" standalone="yes"?>
<Relationships xmlns="http://schemas.openxmlformats.org/package/2006/relationships"><Relationship Id="rId3" Type="http://schemas.openxmlformats.org/officeDocument/2006/relationships/table" Target="../tables/table217.xml"/><Relationship Id="rId2" Type="http://schemas.openxmlformats.org/officeDocument/2006/relationships/drawing" Target="../drawings/drawing54.xml"/><Relationship Id="rId1" Type="http://schemas.openxmlformats.org/officeDocument/2006/relationships/printerSettings" Target="../printerSettings/printerSettings49.bin"/></Relationships>
</file>

<file path=xl/worksheets/_rels/sheet55.xml.rels><?xml version="1.0" encoding="UTF-8" standalone="yes"?>
<Relationships xmlns="http://schemas.openxmlformats.org/package/2006/relationships"><Relationship Id="rId3" Type="http://schemas.openxmlformats.org/officeDocument/2006/relationships/table" Target="../tables/table218.xml"/><Relationship Id="rId2" Type="http://schemas.openxmlformats.org/officeDocument/2006/relationships/drawing" Target="../drawings/drawing55.xml"/><Relationship Id="rId1" Type="http://schemas.openxmlformats.org/officeDocument/2006/relationships/printerSettings" Target="../printerSettings/printerSettings50.bin"/></Relationships>
</file>

<file path=xl/worksheets/_rels/sheet56.xml.rels><?xml version="1.0" encoding="UTF-8" standalone="yes"?>
<Relationships xmlns="http://schemas.openxmlformats.org/package/2006/relationships"><Relationship Id="rId3" Type="http://schemas.openxmlformats.org/officeDocument/2006/relationships/table" Target="../tables/table219.xml"/><Relationship Id="rId2" Type="http://schemas.openxmlformats.org/officeDocument/2006/relationships/drawing" Target="../drawings/drawing56.xml"/><Relationship Id="rId1" Type="http://schemas.openxmlformats.org/officeDocument/2006/relationships/printerSettings" Target="../printerSettings/printerSettings51.bin"/></Relationships>
</file>

<file path=xl/worksheets/_rels/sheet57.xml.rels><?xml version="1.0" encoding="UTF-8" standalone="yes"?>
<Relationships xmlns="http://schemas.openxmlformats.org/package/2006/relationships"><Relationship Id="rId3" Type="http://schemas.openxmlformats.org/officeDocument/2006/relationships/table" Target="../tables/table220.xml"/><Relationship Id="rId2" Type="http://schemas.openxmlformats.org/officeDocument/2006/relationships/drawing" Target="../drawings/drawing57.xml"/><Relationship Id="rId1" Type="http://schemas.openxmlformats.org/officeDocument/2006/relationships/printerSettings" Target="../printerSettings/printerSettings52.bin"/></Relationships>
</file>

<file path=xl/worksheets/_rels/sheet58.xml.rels><?xml version="1.0" encoding="UTF-8" standalone="yes"?>
<Relationships xmlns="http://schemas.openxmlformats.org/package/2006/relationships"><Relationship Id="rId3" Type="http://schemas.openxmlformats.org/officeDocument/2006/relationships/table" Target="../tables/table221.xml"/><Relationship Id="rId2" Type="http://schemas.openxmlformats.org/officeDocument/2006/relationships/drawing" Target="../drawings/drawing58.xml"/><Relationship Id="rId1" Type="http://schemas.openxmlformats.org/officeDocument/2006/relationships/printerSettings" Target="../printerSettings/printerSettings53.bin"/></Relationships>
</file>

<file path=xl/worksheets/_rels/sheet59.xml.rels><?xml version="1.0" encoding="UTF-8" standalone="yes"?>
<Relationships xmlns="http://schemas.openxmlformats.org/package/2006/relationships"><Relationship Id="rId3" Type="http://schemas.openxmlformats.org/officeDocument/2006/relationships/table" Target="../tables/table222.xml"/><Relationship Id="rId2" Type="http://schemas.openxmlformats.org/officeDocument/2006/relationships/drawing" Target="../drawings/drawing59.xml"/><Relationship Id="rId1" Type="http://schemas.openxmlformats.org/officeDocument/2006/relationships/printerSettings" Target="../printerSettings/printerSettings54.bin"/></Relationships>
</file>

<file path=xl/worksheets/_rels/sheet60.xml.rels><?xml version="1.0" encoding="UTF-8" standalone="yes"?>
<Relationships xmlns="http://schemas.openxmlformats.org/package/2006/relationships"><Relationship Id="rId3" Type="http://schemas.openxmlformats.org/officeDocument/2006/relationships/table" Target="../tables/table223.xml"/><Relationship Id="rId2" Type="http://schemas.openxmlformats.org/officeDocument/2006/relationships/drawing" Target="../drawings/drawing60.xml"/><Relationship Id="rId1" Type="http://schemas.openxmlformats.org/officeDocument/2006/relationships/printerSettings" Target="../printerSettings/printerSettings55.bin"/></Relationships>
</file>

<file path=xl/worksheets/_rels/sheet61.xml.rels><?xml version="1.0" encoding="UTF-8" standalone="yes"?>
<Relationships xmlns="http://schemas.openxmlformats.org/package/2006/relationships"><Relationship Id="rId3" Type="http://schemas.openxmlformats.org/officeDocument/2006/relationships/table" Target="../tables/table224.xml"/><Relationship Id="rId2" Type="http://schemas.openxmlformats.org/officeDocument/2006/relationships/drawing" Target="../drawings/drawing61.xml"/><Relationship Id="rId1" Type="http://schemas.openxmlformats.org/officeDocument/2006/relationships/printerSettings" Target="../printerSettings/printerSettings56.bin"/></Relationships>
</file>

<file path=xl/worksheets/_rels/sheet62.xml.rels><?xml version="1.0" encoding="UTF-8" standalone="yes"?>
<Relationships xmlns="http://schemas.openxmlformats.org/package/2006/relationships"><Relationship Id="rId3" Type="http://schemas.openxmlformats.org/officeDocument/2006/relationships/table" Target="../tables/table225.xml"/><Relationship Id="rId2" Type="http://schemas.openxmlformats.org/officeDocument/2006/relationships/drawing" Target="../drawings/drawing62.xml"/><Relationship Id="rId1" Type="http://schemas.openxmlformats.org/officeDocument/2006/relationships/printerSettings" Target="../printerSettings/printerSettings57.bin"/></Relationships>
</file>

<file path=xl/worksheets/_rels/sheet63.xml.rels><?xml version="1.0" encoding="UTF-8" standalone="yes"?>
<Relationships xmlns="http://schemas.openxmlformats.org/package/2006/relationships"><Relationship Id="rId3" Type="http://schemas.openxmlformats.org/officeDocument/2006/relationships/table" Target="../tables/table226.xml"/><Relationship Id="rId2" Type="http://schemas.openxmlformats.org/officeDocument/2006/relationships/drawing" Target="../drawings/drawing63.xml"/><Relationship Id="rId1" Type="http://schemas.openxmlformats.org/officeDocument/2006/relationships/printerSettings" Target="../printerSettings/printerSettings58.bin"/></Relationships>
</file>

<file path=xl/worksheets/_rels/sheet64.xml.rels><?xml version="1.0" encoding="UTF-8" standalone="yes"?>
<Relationships xmlns="http://schemas.openxmlformats.org/package/2006/relationships"><Relationship Id="rId3" Type="http://schemas.openxmlformats.org/officeDocument/2006/relationships/table" Target="../tables/table227.xml"/><Relationship Id="rId2" Type="http://schemas.openxmlformats.org/officeDocument/2006/relationships/drawing" Target="../drawings/drawing64.xml"/><Relationship Id="rId1" Type="http://schemas.openxmlformats.org/officeDocument/2006/relationships/printerSettings" Target="../printerSettings/printerSettings59.bin"/></Relationships>
</file>

<file path=xl/worksheets/_rels/sheet65.xml.rels><?xml version="1.0" encoding="UTF-8" standalone="yes"?>
<Relationships xmlns="http://schemas.openxmlformats.org/package/2006/relationships"><Relationship Id="rId3" Type="http://schemas.openxmlformats.org/officeDocument/2006/relationships/table" Target="../tables/table228.xml"/><Relationship Id="rId2" Type="http://schemas.openxmlformats.org/officeDocument/2006/relationships/drawing" Target="../drawings/drawing65.xml"/><Relationship Id="rId1" Type="http://schemas.openxmlformats.org/officeDocument/2006/relationships/printerSettings" Target="../printerSettings/printerSettings60.bin"/></Relationships>
</file>

<file path=xl/worksheets/_rels/sheet66.xml.rels><?xml version="1.0" encoding="UTF-8" standalone="yes"?>
<Relationships xmlns="http://schemas.openxmlformats.org/package/2006/relationships"><Relationship Id="rId3" Type="http://schemas.openxmlformats.org/officeDocument/2006/relationships/table" Target="../tables/table229.xml"/><Relationship Id="rId2" Type="http://schemas.openxmlformats.org/officeDocument/2006/relationships/drawing" Target="../drawings/drawing66.xml"/><Relationship Id="rId1" Type="http://schemas.openxmlformats.org/officeDocument/2006/relationships/printerSettings" Target="../printerSettings/printerSettings61.bin"/></Relationships>
</file>

<file path=xl/worksheets/_rels/sheet67.xml.rels><?xml version="1.0" encoding="UTF-8" standalone="yes"?>
<Relationships xmlns="http://schemas.openxmlformats.org/package/2006/relationships"><Relationship Id="rId3" Type="http://schemas.openxmlformats.org/officeDocument/2006/relationships/table" Target="../tables/table230.xml"/><Relationship Id="rId2" Type="http://schemas.openxmlformats.org/officeDocument/2006/relationships/drawing" Target="../drawings/drawing67.xml"/><Relationship Id="rId1" Type="http://schemas.openxmlformats.org/officeDocument/2006/relationships/printerSettings" Target="../printerSettings/printerSettings62.bin"/></Relationships>
</file>

<file path=xl/worksheets/_rels/sheet68.xml.rels><?xml version="1.0" encoding="UTF-8" standalone="yes"?>
<Relationships xmlns="http://schemas.openxmlformats.org/package/2006/relationships"><Relationship Id="rId2" Type="http://schemas.openxmlformats.org/officeDocument/2006/relationships/table" Target="../tables/table231.xml"/><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2" Type="http://schemas.openxmlformats.org/officeDocument/2006/relationships/table" Target="../tables/table232.xml"/><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3" Type="http://schemas.openxmlformats.org/officeDocument/2006/relationships/table" Target="../tables/table233.xml"/><Relationship Id="rId2" Type="http://schemas.openxmlformats.org/officeDocument/2006/relationships/drawing" Target="../drawings/drawing70.xml"/><Relationship Id="rId1" Type="http://schemas.openxmlformats.org/officeDocument/2006/relationships/printerSettings" Target="../printerSettings/printerSettings63.bin"/></Relationships>
</file>

<file path=xl/worksheets/_rels/sheet71.xml.rels><?xml version="1.0" encoding="UTF-8" standalone="yes"?>
<Relationships xmlns="http://schemas.openxmlformats.org/package/2006/relationships"><Relationship Id="rId3" Type="http://schemas.openxmlformats.org/officeDocument/2006/relationships/table" Target="../tables/table234.xml"/><Relationship Id="rId2" Type="http://schemas.openxmlformats.org/officeDocument/2006/relationships/drawing" Target="../drawings/drawing71.xml"/><Relationship Id="rId1" Type="http://schemas.openxmlformats.org/officeDocument/2006/relationships/printerSettings" Target="../printerSettings/printerSettings64.bin"/></Relationships>
</file>

<file path=xl/worksheets/_rels/sheet72.xml.rels><?xml version="1.0" encoding="UTF-8" standalone="yes"?>
<Relationships xmlns="http://schemas.openxmlformats.org/package/2006/relationships"><Relationship Id="rId3" Type="http://schemas.openxmlformats.org/officeDocument/2006/relationships/table" Target="../tables/table235.xml"/><Relationship Id="rId2" Type="http://schemas.openxmlformats.org/officeDocument/2006/relationships/drawing" Target="../drawings/drawing72.xml"/><Relationship Id="rId1" Type="http://schemas.openxmlformats.org/officeDocument/2006/relationships/printerSettings" Target="../printerSettings/printerSettings65.bin"/></Relationships>
</file>

<file path=xl/worksheets/_rels/sheet73.xml.rels><?xml version="1.0" encoding="UTF-8" standalone="yes"?>
<Relationships xmlns="http://schemas.openxmlformats.org/package/2006/relationships"><Relationship Id="rId3" Type="http://schemas.openxmlformats.org/officeDocument/2006/relationships/table" Target="../tables/table236.xml"/><Relationship Id="rId2" Type="http://schemas.openxmlformats.org/officeDocument/2006/relationships/drawing" Target="../drawings/drawing73.xml"/><Relationship Id="rId1" Type="http://schemas.openxmlformats.org/officeDocument/2006/relationships/printerSettings" Target="../printerSettings/printerSettings66.bin"/></Relationships>
</file>

<file path=xl/worksheets/_rels/sheet74.xml.rels><?xml version="1.0" encoding="UTF-8" standalone="yes"?>
<Relationships xmlns="http://schemas.openxmlformats.org/package/2006/relationships"><Relationship Id="rId3" Type="http://schemas.openxmlformats.org/officeDocument/2006/relationships/table" Target="../tables/table237.xml"/><Relationship Id="rId2" Type="http://schemas.openxmlformats.org/officeDocument/2006/relationships/drawing" Target="../drawings/drawing74.xml"/><Relationship Id="rId1" Type="http://schemas.openxmlformats.org/officeDocument/2006/relationships/printerSettings" Target="../printerSettings/printerSettings67.bin"/></Relationships>
</file>

<file path=xl/worksheets/_rels/sheet75.xml.rels><?xml version="1.0" encoding="UTF-8" standalone="yes"?>
<Relationships xmlns="http://schemas.openxmlformats.org/package/2006/relationships"><Relationship Id="rId3" Type="http://schemas.openxmlformats.org/officeDocument/2006/relationships/table" Target="../tables/table238.xml"/><Relationship Id="rId2" Type="http://schemas.openxmlformats.org/officeDocument/2006/relationships/drawing" Target="../drawings/drawing75.xml"/><Relationship Id="rId1" Type="http://schemas.openxmlformats.org/officeDocument/2006/relationships/printerSettings" Target="../printerSettings/printerSettings68.bin"/></Relationships>
</file>

<file path=xl/worksheets/_rels/sheet76.xml.rels><?xml version="1.0" encoding="UTF-8" standalone="yes"?>
<Relationships xmlns="http://schemas.openxmlformats.org/package/2006/relationships"><Relationship Id="rId3" Type="http://schemas.openxmlformats.org/officeDocument/2006/relationships/table" Target="../tables/table239.xml"/><Relationship Id="rId2" Type="http://schemas.openxmlformats.org/officeDocument/2006/relationships/drawing" Target="../drawings/drawing76.xml"/><Relationship Id="rId1" Type="http://schemas.openxmlformats.org/officeDocument/2006/relationships/printerSettings" Target="../printerSettings/printerSettings69.bin"/></Relationships>
</file>

<file path=xl/worksheets/_rels/sheet77.xml.rels><?xml version="1.0" encoding="UTF-8" standalone="yes"?>
<Relationships xmlns="http://schemas.openxmlformats.org/package/2006/relationships"><Relationship Id="rId3" Type="http://schemas.openxmlformats.org/officeDocument/2006/relationships/table" Target="../tables/table240.xml"/><Relationship Id="rId2" Type="http://schemas.openxmlformats.org/officeDocument/2006/relationships/drawing" Target="../drawings/drawing77.xml"/><Relationship Id="rId1" Type="http://schemas.openxmlformats.org/officeDocument/2006/relationships/printerSettings" Target="../printerSettings/printerSettings70.bin"/></Relationships>
</file>

<file path=xl/worksheets/_rels/sheet78.xml.rels><?xml version="1.0" encoding="UTF-8" standalone="yes"?>
<Relationships xmlns="http://schemas.openxmlformats.org/package/2006/relationships"><Relationship Id="rId3" Type="http://schemas.openxmlformats.org/officeDocument/2006/relationships/table" Target="../tables/table241.xml"/><Relationship Id="rId2" Type="http://schemas.openxmlformats.org/officeDocument/2006/relationships/drawing" Target="../drawings/drawing78.xml"/><Relationship Id="rId1" Type="http://schemas.openxmlformats.org/officeDocument/2006/relationships/printerSettings" Target="../printerSettings/printerSettings71.bin"/></Relationships>
</file>

<file path=xl/worksheets/_rels/sheet79.xml.rels><?xml version="1.0" encoding="UTF-8" standalone="yes"?>
<Relationships xmlns="http://schemas.openxmlformats.org/package/2006/relationships"><Relationship Id="rId3" Type="http://schemas.openxmlformats.org/officeDocument/2006/relationships/table" Target="../tables/table242.xml"/><Relationship Id="rId2" Type="http://schemas.openxmlformats.org/officeDocument/2006/relationships/drawing" Target="../drawings/drawing79.xml"/><Relationship Id="rId1" Type="http://schemas.openxmlformats.org/officeDocument/2006/relationships/printerSettings" Target="../printerSettings/printerSettings72.bin"/></Relationships>
</file>

<file path=xl/worksheets/_rels/sheet80.xml.rels><?xml version="1.0" encoding="UTF-8" standalone="yes"?>
<Relationships xmlns="http://schemas.openxmlformats.org/package/2006/relationships"><Relationship Id="rId3" Type="http://schemas.openxmlformats.org/officeDocument/2006/relationships/table" Target="../tables/table243.xml"/><Relationship Id="rId2" Type="http://schemas.openxmlformats.org/officeDocument/2006/relationships/drawing" Target="../drawings/drawing80.xml"/><Relationship Id="rId1" Type="http://schemas.openxmlformats.org/officeDocument/2006/relationships/printerSettings" Target="../printerSettings/printerSettings73.bin"/></Relationships>
</file>

<file path=xl/worksheets/_rels/sheet81.xml.rels><?xml version="1.0" encoding="UTF-8" standalone="yes"?>
<Relationships xmlns="http://schemas.openxmlformats.org/package/2006/relationships"><Relationship Id="rId3" Type="http://schemas.openxmlformats.org/officeDocument/2006/relationships/table" Target="../tables/table244.xml"/><Relationship Id="rId2" Type="http://schemas.openxmlformats.org/officeDocument/2006/relationships/drawing" Target="../drawings/drawing81.xml"/><Relationship Id="rId1" Type="http://schemas.openxmlformats.org/officeDocument/2006/relationships/printerSettings" Target="../printerSettings/printerSettings74.bin"/></Relationships>
</file>

<file path=xl/worksheets/_rels/sheet82.xml.rels><?xml version="1.0" encoding="UTF-8" standalone="yes"?>
<Relationships xmlns="http://schemas.openxmlformats.org/package/2006/relationships"><Relationship Id="rId3" Type="http://schemas.openxmlformats.org/officeDocument/2006/relationships/table" Target="../tables/table245.xml"/><Relationship Id="rId2" Type="http://schemas.openxmlformats.org/officeDocument/2006/relationships/drawing" Target="../drawings/drawing82.xml"/><Relationship Id="rId1" Type="http://schemas.openxmlformats.org/officeDocument/2006/relationships/printerSettings" Target="../printerSettings/printerSettings75.bin"/></Relationships>
</file>

<file path=xl/worksheets/_rels/sheet83.xml.rels><?xml version="1.0" encoding="UTF-8" standalone="yes"?>
<Relationships xmlns="http://schemas.openxmlformats.org/package/2006/relationships"><Relationship Id="rId3" Type="http://schemas.openxmlformats.org/officeDocument/2006/relationships/table" Target="../tables/table246.xml"/><Relationship Id="rId2" Type="http://schemas.openxmlformats.org/officeDocument/2006/relationships/drawing" Target="../drawings/drawing83.xml"/><Relationship Id="rId1" Type="http://schemas.openxmlformats.org/officeDocument/2006/relationships/printerSettings" Target="../printerSettings/printerSettings76.bin"/></Relationships>
</file>

<file path=xl/worksheets/_rels/sheet84.xml.rels><?xml version="1.0" encoding="UTF-8" standalone="yes"?>
<Relationships xmlns="http://schemas.openxmlformats.org/package/2006/relationships"><Relationship Id="rId2" Type="http://schemas.openxmlformats.org/officeDocument/2006/relationships/table" Target="../tables/table247.xml"/><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2" Type="http://schemas.openxmlformats.org/officeDocument/2006/relationships/table" Target="../tables/table248.xml"/><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2" Type="http://schemas.openxmlformats.org/officeDocument/2006/relationships/table" Target="../tables/table249.xml"/><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2" Type="http://schemas.openxmlformats.org/officeDocument/2006/relationships/table" Target="../tables/table250.xml"/><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2" Type="http://schemas.openxmlformats.org/officeDocument/2006/relationships/table" Target="../tables/table251.xml"/><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2" Type="http://schemas.openxmlformats.org/officeDocument/2006/relationships/table" Target="../tables/table252.xml"/><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2" Type="http://schemas.openxmlformats.org/officeDocument/2006/relationships/table" Target="../tables/table253.xml"/><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2" Type="http://schemas.openxmlformats.org/officeDocument/2006/relationships/table" Target="../tables/table254.xml"/><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2" Type="http://schemas.openxmlformats.org/officeDocument/2006/relationships/table" Target="../tables/table255.xml"/><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2" Type="http://schemas.openxmlformats.org/officeDocument/2006/relationships/table" Target="../tables/table256.xml"/><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2" Type="http://schemas.openxmlformats.org/officeDocument/2006/relationships/table" Target="../tables/table257.xml"/><Relationship Id="rId1" Type="http://schemas.openxmlformats.org/officeDocument/2006/relationships/drawing" Target="../drawings/drawing9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7E7015-5483-42C0-9739-FC520F487262}">
  <sheetPr codeName="Hoja92"/>
  <dimension ref="A1"/>
  <sheetViews>
    <sheetView showGridLines="0" showRowColHeaders="0" workbookViewId="0">
      <selection activeCell="J16" sqref="J16"/>
    </sheetView>
  </sheetViews>
  <sheetFormatPr defaultColWidth="11" defaultRowHeight="16.5" x14ac:dyDescent="0.3"/>
  <sheetData/>
  <phoneticPr fontId="42" type="noConversion"/>
  <pageMargins left="0.7" right="0.7" top="0.75" bottom="0.75" header="0.3" footer="0.3"/>
  <drawing r:id="rId1"/>
  <picture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A8944-A937-4CC7-9A19-5A69ACEE45EE}">
  <sheetPr codeName="Hoja1"/>
  <dimension ref="A1:Q161"/>
  <sheetViews>
    <sheetView topLeftCell="A16" zoomScale="32" zoomScaleNormal="25" zoomScaleSheetLayoutView="70" workbookViewId="0">
      <selection activeCell="Q78" sqref="Q78"/>
    </sheetView>
  </sheetViews>
  <sheetFormatPr defaultColWidth="11" defaultRowHeight="16.5" x14ac:dyDescent="0.3"/>
  <cols>
    <col min="2" max="2" width="26" customWidth="1"/>
    <col min="3" max="3" width="21.375" customWidth="1"/>
    <col min="4" max="4" width="15.375" customWidth="1"/>
    <col min="5" max="5" width="13.375" customWidth="1"/>
    <col min="6" max="6" width="27.375" customWidth="1"/>
    <col min="7" max="7" width="51.375" bestFit="1" customWidth="1"/>
    <col min="8" max="9" width="23.375" customWidth="1"/>
    <col min="10" max="10" width="56.375" bestFit="1" customWidth="1"/>
    <col min="11" max="11" width="3.125" customWidth="1"/>
    <col min="12" max="19" width="23.375" customWidth="1"/>
  </cols>
  <sheetData>
    <row r="1" spans="1:15" ht="26.25" hidden="1" x14ac:dyDescent="0.45">
      <c r="A1" s="122"/>
      <c r="B1" s="122" t="s">
        <v>175</v>
      </c>
      <c r="C1" s="122" t="str">
        <f>NOMBRE_DEL_PROYECTO</f>
        <v>MYT ENERGY PARQUE FOTOVOLTAICO TEPUY 108 MW</v>
      </c>
      <c r="D1" s="122"/>
      <c r="E1" s="122"/>
      <c r="F1" s="122"/>
      <c r="G1" s="122"/>
      <c r="H1" s="123"/>
      <c r="I1" s="123"/>
      <c r="J1" s="210" t="s">
        <v>271</v>
      </c>
      <c r="K1" s="7"/>
      <c r="L1" s="211">
        <f ca="1">TODAY()</f>
        <v>45726</v>
      </c>
    </row>
    <row r="2" spans="1:15" ht="26.25" hidden="1" x14ac:dyDescent="0.45">
      <c r="A2" s="122"/>
      <c r="B2" s="203" t="s">
        <v>3</v>
      </c>
      <c r="C2" s="419">
        <f ca="1">FECHA</f>
        <v>45726</v>
      </c>
      <c r="D2" s="420"/>
      <c r="E2" s="123"/>
      <c r="F2" s="203" t="s">
        <v>3</v>
      </c>
      <c r="G2" s="204">
        <f ca="1">FECHA</f>
        <v>45726</v>
      </c>
      <c r="H2" s="123"/>
      <c r="I2" s="123"/>
      <c r="J2" s="212" t="s">
        <v>269</v>
      </c>
      <c r="L2" s="213"/>
      <c r="N2" s="209"/>
      <c r="O2" s="209"/>
    </row>
    <row r="3" spans="1:15" ht="27" hidden="1" thickBot="1" x14ac:dyDescent="0.5">
      <c r="A3" s="122"/>
      <c r="B3" s="203" t="s">
        <v>133</v>
      </c>
      <c r="C3" s="421" t="str">
        <f>NOMBRE_DEL_PROYECTO</f>
        <v>MYT ENERGY PARQUE FOTOVOLTAICO TEPUY 108 MW</v>
      </c>
      <c r="D3" s="422"/>
      <c r="E3" s="123"/>
      <c r="F3" s="203" t="s">
        <v>133</v>
      </c>
      <c r="G3" s="203" t="str">
        <f>NOMBRE_DEL_PROYECTO</f>
        <v>MYT ENERGY PARQUE FOTOVOLTAICO TEPUY 108 MW</v>
      </c>
      <c r="H3" s="123"/>
      <c r="I3" s="123"/>
      <c r="J3" s="214" t="s">
        <v>270</v>
      </c>
      <c r="K3" s="13"/>
      <c r="L3" s="215" t="str">
        <f>IF(L2="","",L2-L1)</f>
        <v/>
      </c>
    </row>
    <row r="4" spans="1:15" ht="27" hidden="1" thickBot="1" x14ac:dyDescent="0.5">
      <c r="A4" s="122"/>
      <c r="B4" s="203" t="s">
        <v>159</v>
      </c>
      <c r="C4" s="423">
        <f>+COSTO_DIRECTO_OPTIMO</f>
        <v>22921775250.606571</v>
      </c>
      <c r="D4" s="424"/>
      <c r="E4" s="123"/>
      <c r="F4" s="203" t="s">
        <v>160</v>
      </c>
      <c r="G4" s="137">
        <v>0</v>
      </c>
      <c r="H4" s="123"/>
      <c r="I4" s="123"/>
      <c r="J4" s="123"/>
    </row>
    <row r="5" spans="1:15" ht="27" hidden="1" thickBot="1" x14ac:dyDescent="0.5">
      <c r="A5" s="122"/>
      <c r="B5" s="123"/>
      <c r="C5" s="123"/>
      <c r="D5" s="123"/>
      <c r="E5" s="123"/>
      <c r="F5" s="123"/>
      <c r="G5" s="123"/>
      <c r="H5" s="123"/>
      <c r="I5" s="123"/>
      <c r="J5" s="207" t="s">
        <v>267</v>
      </c>
      <c r="K5" s="208"/>
      <c r="L5" t="b">
        <v>0</v>
      </c>
    </row>
    <row r="6" spans="1:15" ht="27" hidden="1" thickBot="1" x14ac:dyDescent="0.5">
      <c r="A6" s="122"/>
      <c r="B6" s="123"/>
      <c r="C6" s="123"/>
      <c r="D6" s="123"/>
      <c r="E6" s="123"/>
      <c r="F6" s="123"/>
      <c r="G6" s="123"/>
      <c r="H6" s="123"/>
      <c r="I6" s="123"/>
      <c r="J6" s="207" t="s">
        <v>266</v>
      </c>
      <c r="K6" s="208"/>
      <c r="L6" t="b">
        <v>0</v>
      </c>
    </row>
    <row r="7" spans="1:15" ht="27" hidden="1" thickBot="1" x14ac:dyDescent="0.5">
      <c r="A7" s="122"/>
      <c r="B7" s="123"/>
      <c r="C7" s="123"/>
      <c r="D7" s="123"/>
      <c r="E7" s="123"/>
      <c r="F7" s="123"/>
      <c r="G7" s="123"/>
      <c r="H7" s="123"/>
      <c r="I7" s="123"/>
      <c r="J7" s="207" t="s">
        <v>268</v>
      </c>
      <c r="K7" s="208"/>
      <c r="L7" t="b">
        <v>0</v>
      </c>
    </row>
    <row r="8" spans="1:15" ht="45" hidden="1" customHeight="1" x14ac:dyDescent="0.45">
      <c r="A8" s="122"/>
      <c r="B8" s="205" t="s">
        <v>161</v>
      </c>
      <c r="C8" s="425">
        <f>TOTAL_ADMINISTRACION</f>
        <v>560365999.32654035</v>
      </c>
      <c r="D8" s="425"/>
      <c r="E8" s="123"/>
      <c r="F8" s="123"/>
      <c r="G8" s="123"/>
      <c r="H8" s="123"/>
      <c r="I8" s="123"/>
      <c r="J8" s="123"/>
    </row>
    <row r="9" spans="1:15" ht="28.9" hidden="1" customHeight="1" x14ac:dyDescent="0.45">
      <c r="A9" s="122"/>
      <c r="B9" s="205" t="s">
        <v>162</v>
      </c>
      <c r="C9" s="427">
        <f>+C8/C12</f>
        <v>2.318455786431221E-2</v>
      </c>
      <c r="D9" s="427"/>
      <c r="E9" s="123"/>
      <c r="F9" s="123"/>
      <c r="G9" s="123"/>
      <c r="H9" s="123"/>
      <c r="I9" s="123"/>
      <c r="J9" s="123"/>
    </row>
    <row r="10" spans="1:15" ht="26.25" hidden="1" x14ac:dyDescent="0.45">
      <c r="A10" s="122"/>
      <c r="B10" s="203" t="s">
        <v>163</v>
      </c>
      <c r="C10" s="206">
        <v>0.03</v>
      </c>
      <c r="D10" s="203">
        <f>+C10*C4</f>
        <v>687653257.51819706</v>
      </c>
      <c r="E10" s="123"/>
      <c r="F10" s="123"/>
      <c r="G10" s="123"/>
      <c r="H10" s="123"/>
      <c r="I10" s="123"/>
      <c r="J10" s="123"/>
    </row>
    <row r="11" spans="1:15" ht="26.25" hidden="1" x14ac:dyDescent="0.45">
      <c r="A11" s="122"/>
      <c r="B11" s="203" t="s">
        <v>164</v>
      </c>
      <c r="C11" s="425">
        <f>+C8+D10</f>
        <v>1248019256.8447375</v>
      </c>
      <c r="D11" s="425">
        <v>17730.040139111112</v>
      </c>
      <c r="E11" s="123">
        <f>+D10+C8</f>
        <v>1248019256.8447375</v>
      </c>
      <c r="F11" s="123"/>
      <c r="G11" s="123"/>
      <c r="H11" s="123"/>
      <c r="I11" s="123"/>
      <c r="J11" s="123"/>
    </row>
    <row r="12" spans="1:15" ht="30" hidden="1" customHeight="1" x14ac:dyDescent="0.45">
      <c r="A12" s="122"/>
      <c r="B12" s="205" t="s">
        <v>176</v>
      </c>
      <c r="C12" s="425">
        <f>+C11+C4</f>
        <v>24169794507.451309</v>
      </c>
      <c r="D12" s="425"/>
      <c r="E12" s="123"/>
      <c r="F12" s="123"/>
      <c r="G12" s="123"/>
      <c r="H12" s="123"/>
      <c r="I12" s="123"/>
      <c r="J12" s="123"/>
    </row>
    <row r="13" spans="1:15" ht="21" hidden="1" customHeight="1" x14ac:dyDescent="0.45">
      <c r="A13" s="122"/>
      <c r="B13" s="203" t="s">
        <v>178</v>
      </c>
      <c r="C13" s="425">
        <f>+G4-C12</f>
        <v>-24169794507.451309</v>
      </c>
      <c r="D13" s="426"/>
      <c r="E13" s="123">
        <f>COSTO_DIRECTO_OPTIMO</f>
        <v>22921775250.606571</v>
      </c>
      <c r="F13" s="123"/>
      <c r="G13" s="123"/>
      <c r="H13" s="123"/>
      <c r="I13" s="123"/>
      <c r="J13" s="123"/>
    </row>
    <row r="14" spans="1:15" ht="26.25" hidden="1" x14ac:dyDescent="0.45">
      <c r="A14" s="122"/>
      <c r="B14" s="203" t="s">
        <v>165</v>
      </c>
      <c r="C14" s="427" t="e">
        <f>+C13/G4</f>
        <v>#DIV/0!</v>
      </c>
      <c r="D14" s="427"/>
      <c r="E14" s="123"/>
      <c r="F14" s="123"/>
      <c r="G14" s="123"/>
      <c r="H14" s="123"/>
      <c r="I14" s="123"/>
      <c r="J14" s="123"/>
    </row>
    <row r="15" spans="1:15" hidden="1" x14ac:dyDescent="0.3"/>
    <row r="17" spans="2:17" ht="17.25" thickBot="1" x14ac:dyDescent="0.35"/>
    <row r="18" spans="2:17" x14ac:dyDescent="0.3">
      <c r="B18" s="6"/>
      <c r="C18" s="7"/>
      <c r="D18" s="7"/>
      <c r="E18" s="7"/>
      <c r="F18" s="7"/>
      <c r="G18" s="7"/>
      <c r="H18" s="7"/>
      <c r="I18" s="7"/>
      <c r="J18" s="7"/>
      <c r="K18" s="7"/>
      <c r="L18" s="7"/>
      <c r="M18" s="7"/>
      <c r="N18" s="7"/>
      <c r="O18" s="7"/>
      <c r="P18" s="7"/>
      <c r="Q18" s="8"/>
    </row>
    <row r="19" spans="2:17" x14ac:dyDescent="0.3">
      <c r="B19" s="9"/>
      <c r="Q19" s="11"/>
    </row>
    <row r="20" spans="2:17" x14ac:dyDescent="0.3">
      <c r="B20" s="9"/>
      <c r="Q20" s="11"/>
    </row>
    <row r="21" spans="2:17" x14ac:dyDescent="0.3">
      <c r="B21" s="9"/>
      <c r="Q21" s="11"/>
    </row>
    <row r="22" spans="2:17" x14ac:dyDescent="0.3">
      <c r="B22" s="9"/>
      <c r="Q22" s="11"/>
    </row>
    <row r="23" spans="2:17" ht="25.15" customHeight="1" x14ac:dyDescent="0.3">
      <c r="B23" s="9"/>
      <c r="Q23" s="11"/>
    </row>
    <row r="24" spans="2:17" x14ac:dyDescent="0.3">
      <c r="B24" s="9"/>
      <c r="Q24" s="11"/>
    </row>
    <row r="25" spans="2:17" x14ac:dyDescent="0.3">
      <c r="B25" s="9"/>
      <c r="Q25" s="11"/>
    </row>
    <row r="26" spans="2:17" x14ac:dyDescent="0.3">
      <c r="B26" s="9"/>
      <c r="Q26" s="11"/>
    </row>
    <row r="27" spans="2:17" x14ac:dyDescent="0.3">
      <c r="B27" s="9"/>
      <c r="Q27" s="11"/>
    </row>
    <row r="28" spans="2:17" x14ac:dyDescent="0.3">
      <c r="B28" s="9"/>
      <c r="Q28" s="11"/>
    </row>
    <row r="29" spans="2:17" x14ac:dyDescent="0.3">
      <c r="B29" s="9"/>
      <c r="Q29" s="11"/>
    </row>
    <row r="30" spans="2:17" x14ac:dyDescent="0.3">
      <c r="B30" s="9"/>
      <c r="Q30" s="11"/>
    </row>
    <row r="31" spans="2:17" x14ac:dyDescent="0.3">
      <c r="B31" s="9"/>
      <c r="Q31" s="11"/>
    </row>
    <row r="32" spans="2:17" x14ac:dyDescent="0.3">
      <c r="B32" s="9"/>
      <c r="Q32" s="11"/>
    </row>
    <row r="33" spans="2:17" x14ac:dyDescent="0.3">
      <c r="B33" s="9"/>
      <c r="Q33" s="11"/>
    </row>
    <row r="34" spans="2:17" x14ac:dyDescent="0.3">
      <c r="B34" s="9"/>
      <c r="Q34" s="11"/>
    </row>
    <row r="35" spans="2:17" x14ac:dyDescent="0.3">
      <c r="B35" s="9"/>
      <c r="Q35" s="11"/>
    </row>
    <row r="36" spans="2:17" x14ac:dyDescent="0.3">
      <c r="B36" s="9"/>
      <c r="Q36" s="11"/>
    </row>
    <row r="37" spans="2:17" x14ac:dyDescent="0.3">
      <c r="B37" s="9"/>
      <c r="Q37" s="11"/>
    </row>
    <row r="38" spans="2:17" x14ac:dyDescent="0.3">
      <c r="B38" s="9"/>
      <c r="Q38" s="11"/>
    </row>
    <row r="39" spans="2:17" x14ac:dyDescent="0.3">
      <c r="B39" s="9"/>
      <c r="Q39" s="11"/>
    </row>
    <row r="40" spans="2:17" x14ac:dyDescent="0.3">
      <c r="B40" s="9"/>
      <c r="Q40" s="11"/>
    </row>
    <row r="41" spans="2:17" x14ac:dyDescent="0.3">
      <c r="B41" s="9"/>
      <c r="Q41" s="11"/>
    </row>
    <row r="42" spans="2:17" x14ac:dyDescent="0.3">
      <c r="B42" s="9"/>
      <c r="Q42" s="11"/>
    </row>
    <row r="43" spans="2:17" x14ac:dyDescent="0.3">
      <c r="B43" s="9"/>
      <c r="Q43" s="11"/>
    </row>
    <row r="44" spans="2:17" x14ac:dyDescent="0.3">
      <c r="B44" s="9"/>
      <c r="Q44" s="11"/>
    </row>
    <row r="45" spans="2:17" x14ac:dyDescent="0.3">
      <c r="B45" s="9"/>
      <c r="Q45" s="11"/>
    </row>
    <row r="46" spans="2:17" x14ac:dyDescent="0.3">
      <c r="B46" s="9"/>
      <c r="Q46" s="11"/>
    </row>
    <row r="47" spans="2:17" x14ac:dyDescent="0.3">
      <c r="B47" s="9"/>
      <c r="Q47" s="11"/>
    </row>
    <row r="48" spans="2:17" x14ac:dyDescent="0.3">
      <c r="B48" s="9"/>
      <c r="Q48" s="11"/>
    </row>
    <row r="49" spans="2:17" x14ac:dyDescent="0.3">
      <c r="B49" s="9"/>
      <c r="Q49" s="11"/>
    </row>
    <row r="50" spans="2:17" x14ac:dyDescent="0.3">
      <c r="B50" s="9"/>
      <c r="Q50" s="11"/>
    </row>
    <row r="51" spans="2:17" ht="17.25" thickBot="1" x14ac:dyDescent="0.35">
      <c r="B51" s="15"/>
      <c r="C51" s="13"/>
      <c r="D51" s="13"/>
      <c r="E51" s="13"/>
      <c r="F51" s="13"/>
      <c r="G51" s="13"/>
      <c r="H51" s="13"/>
      <c r="I51" s="13"/>
      <c r="J51" s="13"/>
      <c r="K51" s="13"/>
      <c r="L51" s="13"/>
      <c r="M51" s="13"/>
      <c r="N51" s="13"/>
      <c r="O51" s="13"/>
      <c r="P51" s="13"/>
      <c r="Q51" s="14"/>
    </row>
    <row r="52" spans="2:17" x14ac:dyDescent="0.3">
      <c r="B52" s="6"/>
      <c r="C52" s="7"/>
      <c r="D52" s="7"/>
      <c r="E52" s="7"/>
      <c r="F52" s="7"/>
      <c r="G52" s="7"/>
      <c r="H52" s="7"/>
      <c r="I52" s="7"/>
      <c r="J52" s="7"/>
      <c r="K52" s="7"/>
      <c r="L52" s="7"/>
      <c r="M52" s="7"/>
      <c r="N52" s="7"/>
      <c r="O52" s="7"/>
      <c r="P52" s="7"/>
      <c r="Q52" s="8"/>
    </row>
    <row r="53" spans="2:17" ht="24" customHeight="1" x14ac:dyDescent="0.3">
      <c r="B53" s="9"/>
      <c r="C53" s="124"/>
      <c r="D53" s="124"/>
      <c r="E53" s="124"/>
      <c r="F53" s="124"/>
      <c r="G53" s="124"/>
      <c r="H53" s="124"/>
      <c r="I53" s="124"/>
      <c r="J53" s="124"/>
      <c r="K53" s="124"/>
      <c r="Q53" s="11"/>
    </row>
    <row r="54" spans="2:17" ht="14.65" customHeight="1" x14ac:dyDescent="0.3">
      <c r="B54" s="9"/>
      <c r="C54" s="124"/>
      <c r="D54" s="124"/>
      <c r="E54" s="124"/>
      <c r="F54" s="124"/>
      <c r="G54" s="124"/>
      <c r="H54" s="124"/>
      <c r="I54" s="124"/>
      <c r="J54" s="124"/>
      <c r="K54" s="124"/>
      <c r="Q54" s="11"/>
    </row>
    <row r="55" spans="2:17" x14ac:dyDescent="0.3">
      <c r="B55" s="9"/>
      <c r="Q55" s="11"/>
    </row>
    <row r="56" spans="2:17" x14ac:dyDescent="0.3">
      <c r="B56" s="9"/>
      <c r="Q56" s="11"/>
    </row>
    <row r="57" spans="2:17" x14ac:dyDescent="0.3">
      <c r="B57" s="9"/>
      <c r="Q57" s="11"/>
    </row>
    <row r="58" spans="2:17" x14ac:dyDescent="0.3">
      <c r="B58" s="9"/>
      <c r="Q58" s="11"/>
    </row>
    <row r="59" spans="2:17" x14ac:dyDescent="0.3">
      <c r="B59" s="9"/>
      <c r="Q59" s="11"/>
    </row>
    <row r="60" spans="2:17" x14ac:dyDescent="0.3">
      <c r="B60" s="9"/>
      <c r="Q60" s="11"/>
    </row>
    <row r="61" spans="2:17" x14ac:dyDescent="0.3">
      <c r="B61" s="9"/>
      <c r="Q61" s="11"/>
    </row>
    <row r="62" spans="2:17" x14ac:dyDescent="0.3">
      <c r="B62" s="9"/>
      <c r="Q62" s="11"/>
    </row>
    <row r="63" spans="2:17" x14ac:dyDescent="0.3">
      <c r="B63" s="9"/>
      <c r="Q63" s="11"/>
    </row>
    <row r="64" spans="2:17" x14ac:dyDescent="0.3">
      <c r="B64" s="9"/>
      <c r="Q64" s="11"/>
    </row>
    <row r="65" spans="2:17" x14ac:dyDescent="0.3">
      <c r="B65" s="9"/>
      <c r="Q65" s="11"/>
    </row>
    <row r="66" spans="2:17" x14ac:dyDescent="0.3">
      <c r="B66" s="9"/>
      <c r="Q66" s="11"/>
    </row>
    <row r="67" spans="2:17" x14ac:dyDescent="0.3">
      <c r="B67" s="9"/>
      <c r="Q67" s="11"/>
    </row>
    <row r="68" spans="2:17" x14ac:dyDescent="0.3">
      <c r="B68" s="9"/>
      <c r="Q68" s="11"/>
    </row>
    <row r="69" spans="2:17" x14ac:dyDescent="0.3">
      <c r="B69" s="9"/>
      <c r="Q69" s="11"/>
    </row>
    <row r="70" spans="2:17" x14ac:dyDescent="0.3">
      <c r="B70" s="9"/>
      <c r="Q70" s="11"/>
    </row>
    <row r="71" spans="2:17" x14ac:dyDescent="0.3">
      <c r="B71" s="9"/>
      <c r="Q71" s="11"/>
    </row>
    <row r="72" spans="2:17" x14ac:dyDescent="0.3">
      <c r="B72" s="9"/>
      <c r="Q72" s="11"/>
    </row>
    <row r="73" spans="2:17" x14ac:dyDescent="0.3">
      <c r="B73" s="9"/>
      <c r="Q73" s="11"/>
    </row>
    <row r="74" spans="2:17" x14ac:dyDescent="0.3">
      <c r="B74" s="9"/>
      <c r="Q74" s="11"/>
    </row>
    <row r="75" spans="2:17" x14ac:dyDescent="0.3">
      <c r="B75" s="9"/>
      <c r="Q75" s="11"/>
    </row>
    <row r="76" spans="2:17" x14ac:dyDescent="0.3">
      <c r="B76" s="9"/>
      <c r="Q76" s="11"/>
    </row>
    <row r="77" spans="2:17" x14ac:dyDescent="0.3">
      <c r="B77" s="9"/>
      <c r="Q77" s="11"/>
    </row>
    <row r="78" spans="2:17" x14ac:dyDescent="0.3">
      <c r="B78" s="9"/>
      <c r="Q78" s="11"/>
    </row>
    <row r="79" spans="2:17" x14ac:dyDescent="0.3">
      <c r="B79" s="9"/>
      <c r="Q79" s="11"/>
    </row>
    <row r="80" spans="2:17" x14ac:dyDescent="0.3">
      <c r="B80" s="9"/>
      <c r="Q80" s="11"/>
    </row>
    <row r="81" spans="2:17" x14ac:dyDescent="0.3">
      <c r="B81" s="9"/>
      <c r="Q81" s="11"/>
    </row>
    <row r="82" spans="2:17" x14ac:dyDescent="0.3">
      <c r="B82" s="9"/>
      <c r="Q82" s="11"/>
    </row>
    <row r="83" spans="2:17" x14ac:dyDescent="0.3">
      <c r="B83" s="9"/>
      <c r="Q83" s="11"/>
    </row>
    <row r="84" spans="2:17" x14ac:dyDescent="0.3">
      <c r="B84" s="9"/>
      <c r="Q84" s="11"/>
    </row>
    <row r="85" spans="2:17" x14ac:dyDescent="0.3">
      <c r="B85" s="9"/>
      <c r="Q85" s="11"/>
    </row>
    <row r="86" spans="2:17" x14ac:dyDescent="0.3">
      <c r="B86" s="9"/>
      <c r="Q86" s="11"/>
    </row>
    <row r="87" spans="2:17" ht="17.25" thickBot="1" x14ac:dyDescent="0.35">
      <c r="B87" s="15"/>
      <c r="C87" s="13"/>
      <c r="D87" s="13"/>
      <c r="E87" s="13"/>
      <c r="F87" s="13"/>
      <c r="G87" s="13"/>
      <c r="H87" s="13"/>
      <c r="I87" s="13"/>
      <c r="J87" s="13"/>
      <c r="K87" s="13"/>
      <c r="L87" s="13"/>
      <c r="M87" s="13"/>
      <c r="N87" s="13"/>
      <c r="O87" s="13"/>
      <c r="P87" s="13"/>
      <c r="Q87" s="14"/>
    </row>
    <row r="88" spans="2:17" x14ac:dyDescent="0.3">
      <c r="B88" s="6"/>
      <c r="C88" s="7"/>
      <c r="D88" s="7"/>
      <c r="E88" s="7"/>
      <c r="F88" s="7"/>
      <c r="G88" s="7"/>
      <c r="H88" s="7"/>
      <c r="I88" s="7"/>
      <c r="J88" s="7"/>
      <c r="K88" s="7"/>
      <c r="L88" s="7"/>
      <c r="M88" s="7"/>
      <c r="N88" s="7"/>
      <c r="O88" s="7"/>
      <c r="P88" s="7"/>
      <c r="Q88" s="8"/>
    </row>
    <row r="89" spans="2:17" ht="14.65" customHeight="1" x14ac:dyDescent="0.3">
      <c r="B89" s="9"/>
      <c r="C89" s="126"/>
      <c r="D89" s="126"/>
      <c r="E89" s="126"/>
      <c r="F89" s="126"/>
      <c r="H89" s="125"/>
      <c r="I89" s="125"/>
      <c r="J89" s="125"/>
      <c r="K89" s="125"/>
      <c r="Q89" s="11"/>
    </row>
    <row r="90" spans="2:17" ht="14.65" customHeight="1" x14ac:dyDescent="0.3">
      <c r="B90" s="9"/>
      <c r="C90" s="126"/>
      <c r="D90" s="126"/>
      <c r="E90" s="126"/>
      <c r="F90" s="126"/>
      <c r="H90" s="125"/>
      <c r="I90" s="125"/>
      <c r="J90" s="125"/>
      <c r="K90" s="125"/>
      <c r="Q90" s="11"/>
    </row>
    <row r="91" spans="2:17" ht="14.65" customHeight="1" x14ac:dyDescent="0.3">
      <c r="B91" s="9"/>
      <c r="C91" s="126"/>
      <c r="D91" s="126"/>
      <c r="E91" s="126"/>
      <c r="F91" s="126"/>
      <c r="H91" s="125"/>
      <c r="I91" s="125"/>
      <c r="J91" s="125"/>
      <c r="K91" s="125"/>
      <c r="Q91" s="11"/>
    </row>
    <row r="92" spans="2:17" ht="14.65" customHeight="1" x14ac:dyDescent="0.3">
      <c r="B92" s="9"/>
      <c r="C92" s="126"/>
      <c r="D92" s="126"/>
      <c r="E92" s="126"/>
      <c r="F92" s="126"/>
      <c r="H92" s="125"/>
      <c r="I92" s="125"/>
      <c r="J92" s="125"/>
      <c r="K92" s="125"/>
      <c r="Q92" s="11"/>
    </row>
    <row r="93" spans="2:17" ht="14.65" customHeight="1" x14ac:dyDescent="0.3">
      <c r="B93" s="9"/>
      <c r="C93" s="126"/>
      <c r="D93" s="126"/>
      <c r="E93" s="126"/>
      <c r="F93" s="126"/>
      <c r="H93" s="125"/>
      <c r="I93" s="125"/>
      <c r="J93" s="125"/>
      <c r="K93" s="125"/>
      <c r="Q93" s="11"/>
    </row>
    <row r="94" spans="2:17" ht="14.65" customHeight="1" x14ac:dyDescent="0.3">
      <c r="B94" s="9"/>
      <c r="C94" s="126"/>
      <c r="D94" s="126"/>
      <c r="E94" s="126"/>
      <c r="F94" s="126"/>
      <c r="H94" s="125"/>
      <c r="I94" s="125"/>
      <c r="J94" s="125"/>
      <c r="K94" s="125"/>
      <c r="Q94" s="11"/>
    </row>
    <row r="95" spans="2:17" ht="14.65" customHeight="1" x14ac:dyDescent="0.3">
      <c r="B95" s="9"/>
      <c r="C95" s="126"/>
      <c r="D95" s="126"/>
      <c r="E95" s="126"/>
      <c r="F95" s="126"/>
      <c r="H95" s="125"/>
      <c r="I95" s="125"/>
      <c r="J95" s="125"/>
      <c r="K95" s="125"/>
      <c r="Q95" s="11"/>
    </row>
    <row r="96" spans="2:17" ht="14.65" customHeight="1" x14ac:dyDescent="0.3">
      <c r="B96" s="9"/>
      <c r="C96" s="126"/>
      <c r="D96" s="126"/>
      <c r="E96" s="126"/>
      <c r="F96" s="126"/>
      <c r="H96" s="125"/>
      <c r="I96" s="125"/>
      <c r="J96" s="125"/>
      <c r="K96" s="125"/>
      <c r="Q96" s="11"/>
    </row>
    <row r="97" spans="2:17" ht="14.65" customHeight="1" x14ac:dyDescent="0.3">
      <c r="B97" s="9"/>
      <c r="C97" s="126"/>
      <c r="D97" s="126"/>
      <c r="E97" s="126"/>
      <c r="F97" s="126"/>
      <c r="H97" s="125"/>
      <c r="I97" s="125"/>
      <c r="J97" s="125"/>
      <c r="K97" s="125"/>
      <c r="Q97" s="11"/>
    </row>
    <row r="98" spans="2:17" ht="14.65" customHeight="1" x14ac:dyDescent="0.3">
      <c r="B98" s="9"/>
      <c r="C98" s="126"/>
      <c r="D98" s="126"/>
      <c r="E98" s="126"/>
      <c r="F98" s="126"/>
      <c r="H98" s="125"/>
      <c r="I98" s="125"/>
      <c r="J98" s="125"/>
      <c r="K98" s="125"/>
      <c r="Q98" s="11"/>
    </row>
    <row r="99" spans="2:17" ht="14.65" customHeight="1" x14ac:dyDescent="0.3">
      <c r="B99" s="9"/>
      <c r="C99" s="126"/>
      <c r="D99" s="126"/>
      <c r="E99" s="126"/>
      <c r="F99" s="126"/>
      <c r="H99" s="125"/>
      <c r="I99" s="125"/>
      <c r="J99" s="125"/>
      <c r="K99" s="125"/>
      <c r="Q99" s="11"/>
    </row>
    <row r="100" spans="2:17" ht="14.65" customHeight="1" x14ac:dyDescent="0.3">
      <c r="B100" s="9"/>
      <c r="C100" s="126"/>
      <c r="D100" s="126"/>
      <c r="E100" s="126"/>
      <c r="F100" s="126"/>
      <c r="H100" s="125"/>
      <c r="I100" s="125"/>
      <c r="J100" s="125"/>
      <c r="K100" s="125"/>
      <c r="Q100" s="11"/>
    </row>
    <row r="101" spans="2:17" ht="14.65" customHeight="1" x14ac:dyDescent="0.3">
      <c r="B101" s="9"/>
      <c r="C101" s="126"/>
      <c r="D101" s="126"/>
      <c r="E101" s="126"/>
      <c r="F101" s="126"/>
      <c r="H101" s="125"/>
      <c r="I101" s="125"/>
      <c r="J101" s="125"/>
      <c r="K101" s="125"/>
      <c r="Q101" s="11"/>
    </row>
    <row r="102" spans="2:17" ht="14.65" customHeight="1" x14ac:dyDescent="0.3">
      <c r="B102" s="9"/>
      <c r="C102" s="126"/>
      <c r="D102" s="126"/>
      <c r="E102" s="126"/>
      <c r="F102" s="126"/>
      <c r="H102" s="125"/>
      <c r="I102" s="125"/>
      <c r="J102" s="125"/>
      <c r="K102" s="125"/>
      <c r="Q102" s="11"/>
    </row>
    <row r="103" spans="2:17" ht="14.65" customHeight="1" x14ac:dyDescent="0.3">
      <c r="B103" s="9"/>
      <c r="C103" s="126"/>
      <c r="D103" s="126"/>
      <c r="E103" s="126"/>
      <c r="F103" s="126"/>
      <c r="H103" s="125"/>
      <c r="I103" s="125"/>
      <c r="J103" s="125"/>
      <c r="K103" s="125"/>
      <c r="Q103" s="11"/>
    </row>
    <row r="104" spans="2:17" ht="14.65" customHeight="1" x14ac:dyDescent="0.3">
      <c r="B104" s="9"/>
      <c r="C104" s="126"/>
      <c r="D104" s="126"/>
      <c r="E104" s="126"/>
      <c r="F104" s="126"/>
      <c r="H104" s="125"/>
      <c r="I104" s="125"/>
      <c r="J104" s="125"/>
      <c r="K104" s="125"/>
      <c r="Q104" s="11"/>
    </row>
    <row r="105" spans="2:17" ht="14.65" customHeight="1" x14ac:dyDescent="0.3">
      <c r="B105" s="9"/>
      <c r="C105" s="126"/>
      <c r="D105" s="126"/>
      <c r="E105" s="126"/>
      <c r="F105" s="126"/>
      <c r="H105" s="125"/>
      <c r="I105" s="125"/>
      <c r="J105" s="125"/>
      <c r="K105" s="125"/>
      <c r="Q105" s="11"/>
    </row>
    <row r="106" spans="2:17" ht="14.65" customHeight="1" x14ac:dyDescent="0.3">
      <c r="B106" s="9"/>
      <c r="C106" s="126"/>
      <c r="D106" s="126"/>
      <c r="E106" s="126"/>
      <c r="F106" s="126"/>
      <c r="H106" s="125"/>
      <c r="I106" s="125"/>
      <c r="J106" s="125"/>
      <c r="K106" s="125"/>
      <c r="Q106" s="11"/>
    </row>
    <row r="107" spans="2:17" ht="14.65" customHeight="1" x14ac:dyDescent="0.3">
      <c r="B107" s="9"/>
      <c r="C107" s="126"/>
      <c r="D107" s="126"/>
      <c r="E107" s="126"/>
      <c r="F107" s="126"/>
      <c r="H107" s="125"/>
      <c r="I107" s="125"/>
      <c r="J107" s="125"/>
      <c r="K107" s="125"/>
      <c r="Q107" s="11"/>
    </row>
    <row r="108" spans="2:17" ht="14.65" customHeight="1" x14ac:dyDescent="0.3">
      <c r="B108" s="9"/>
      <c r="C108" s="126"/>
      <c r="D108" s="126"/>
      <c r="E108" s="126"/>
      <c r="F108" s="126"/>
      <c r="H108" s="125"/>
      <c r="I108" s="125"/>
      <c r="J108" s="125"/>
      <c r="K108" s="125"/>
      <c r="Q108" s="11"/>
    </row>
    <row r="109" spans="2:17" ht="14.65" customHeight="1" x14ac:dyDescent="0.3">
      <c r="B109" s="9"/>
      <c r="C109" s="126"/>
      <c r="D109" s="126"/>
      <c r="E109" s="126"/>
      <c r="F109" s="126"/>
      <c r="H109" s="125"/>
      <c r="I109" s="125"/>
      <c r="J109" s="125"/>
      <c r="K109" s="125"/>
      <c r="Q109" s="11"/>
    </row>
    <row r="110" spans="2:17" ht="14.65" customHeight="1" x14ac:dyDescent="0.3">
      <c r="B110" s="9"/>
      <c r="C110" s="126"/>
      <c r="D110" s="126"/>
      <c r="E110" s="126"/>
      <c r="F110" s="126"/>
      <c r="H110" s="125"/>
      <c r="I110" s="125"/>
      <c r="J110" s="125"/>
      <c r="K110" s="125"/>
      <c r="Q110" s="11"/>
    </row>
    <row r="111" spans="2:17" ht="14.65" customHeight="1" x14ac:dyDescent="0.3">
      <c r="B111" s="9"/>
      <c r="C111" s="126"/>
      <c r="D111" s="126"/>
      <c r="E111" s="126"/>
      <c r="F111" s="126"/>
      <c r="H111" s="125"/>
      <c r="I111" s="125"/>
      <c r="J111" s="125"/>
      <c r="K111" s="125"/>
      <c r="Q111" s="11"/>
    </row>
    <row r="112" spans="2:17" ht="14.65" customHeight="1" x14ac:dyDescent="0.3">
      <c r="B112" s="9"/>
      <c r="C112" s="126"/>
      <c r="D112" s="126"/>
      <c r="E112" s="126"/>
      <c r="F112" s="126"/>
      <c r="H112" s="125"/>
      <c r="I112" s="125"/>
      <c r="J112" s="125"/>
      <c r="K112" s="125"/>
      <c r="Q112" s="11"/>
    </row>
    <row r="113" spans="2:17" ht="14.65" customHeight="1" x14ac:dyDescent="0.3">
      <c r="B113" s="9"/>
      <c r="C113" s="126"/>
      <c r="D113" s="126"/>
      <c r="E113" s="126"/>
      <c r="F113" s="126"/>
      <c r="H113" s="125"/>
      <c r="I113" s="125"/>
      <c r="J113" s="125"/>
      <c r="K113" s="125"/>
      <c r="Q113" s="11"/>
    </row>
    <row r="114" spans="2:17" ht="14.65" customHeight="1" x14ac:dyDescent="0.3">
      <c r="B114" s="9"/>
      <c r="C114" s="126"/>
      <c r="D114" s="126"/>
      <c r="E114" s="126"/>
      <c r="F114" s="126"/>
      <c r="H114" s="125"/>
      <c r="I114" s="125"/>
      <c r="J114" s="125"/>
      <c r="K114" s="125"/>
      <c r="Q114" s="11"/>
    </row>
    <row r="115" spans="2:17" ht="14.65" customHeight="1" x14ac:dyDescent="0.3">
      <c r="B115" s="9"/>
      <c r="C115" s="126"/>
      <c r="D115" s="126"/>
      <c r="E115" s="126"/>
      <c r="F115" s="126"/>
      <c r="H115" s="125"/>
      <c r="I115" s="125"/>
      <c r="J115" s="125"/>
      <c r="K115" s="125"/>
      <c r="Q115" s="11"/>
    </row>
    <row r="116" spans="2:17" ht="14.65" customHeight="1" x14ac:dyDescent="0.3">
      <c r="B116" s="9"/>
      <c r="C116" s="126"/>
      <c r="D116" s="126"/>
      <c r="E116" s="126"/>
      <c r="F116" s="126"/>
      <c r="H116" s="125"/>
      <c r="I116" s="125"/>
      <c r="J116" s="125"/>
      <c r="K116" s="125"/>
      <c r="Q116" s="11"/>
    </row>
    <row r="117" spans="2:17" ht="14.65" customHeight="1" x14ac:dyDescent="0.3">
      <c r="B117" s="9"/>
      <c r="C117" s="126"/>
      <c r="D117" s="126"/>
      <c r="E117" s="126"/>
      <c r="F117" s="126"/>
      <c r="H117" s="125"/>
      <c r="I117" s="125"/>
      <c r="J117" s="125"/>
      <c r="K117" s="125"/>
      <c r="Q117" s="11"/>
    </row>
    <row r="118" spans="2:17" ht="14.65" customHeight="1" x14ac:dyDescent="0.3">
      <c r="B118" s="9"/>
      <c r="C118" s="126"/>
      <c r="D118" s="126"/>
      <c r="E118" s="126"/>
      <c r="F118" s="126"/>
      <c r="H118" s="125"/>
      <c r="I118" s="125"/>
      <c r="J118" s="125"/>
      <c r="K118" s="125"/>
      <c r="Q118" s="11"/>
    </row>
    <row r="119" spans="2:17" ht="14.65" customHeight="1" x14ac:dyDescent="0.3">
      <c r="B119" s="9"/>
      <c r="C119" s="126"/>
      <c r="D119" s="126"/>
      <c r="E119" s="126"/>
      <c r="F119" s="126"/>
      <c r="H119" s="125"/>
      <c r="I119" s="125"/>
      <c r="J119" s="125"/>
      <c r="K119" s="125"/>
      <c r="Q119" s="11"/>
    </row>
    <row r="120" spans="2:17" ht="14.65" customHeight="1" x14ac:dyDescent="0.3">
      <c r="B120" s="9"/>
      <c r="C120" s="126"/>
      <c r="D120" s="126"/>
      <c r="E120" s="126"/>
      <c r="F120" s="126"/>
      <c r="H120" s="125"/>
      <c r="I120" s="125"/>
      <c r="J120" s="125"/>
      <c r="K120" s="125"/>
      <c r="Q120" s="11"/>
    </row>
    <row r="121" spans="2:17" ht="14.65" customHeight="1" x14ac:dyDescent="0.3">
      <c r="B121" s="9"/>
      <c r="C121" s="126"/>
      <c r="D121" s="126"/>
      <c r="E121" s="126"/>
      <c r="F121" s="126"/>
      <c r="H121" s="125"/>
      <c r="I121" s="125"/>
      <c r="J121" s="125"/>
      <c r="K121" s="125"/>
      <c r="Q121" s="11"/>
    </row>
    <row r="122" spans="2:17" ht="14.65" customHeight="1" x14ac:dyDescent="0.3">
      <c r="B122" s="9"/>
      <c r="C122" s="126"/>
      <c r="D122" s="126"/>
      <c r="E122" s="126"/>
      <c r="F122" s="126"/>
      <c r="H122" s="125"/>
      <c r="I122" s="125"/>
      <c r="J122" s="125"/>
      <c r="K122" s="125"/>
      <c r="Q122" s="11"/>
    </row>
    <row r="123" spans="2:17" ht="14.65" customHeight="1" x14ac:dyDescent="0.3">
      <c r="B123" s="9"/>
      <c r="C123" s="126"/>
      <c r="D123" s="126"/>
      <c r="E123" s="126"/>
      <c r="F123" s="126"/>
      <c r="H123" s="125"/>
      <c r="I123" s="125"/>
      <c r="J123" s="125"/>
      <c r="K123" s="125"/>
      <c r="Q123" s="11"/>
    </row>
    <row r="124" spans="2:17" ht="24.4" customHeight="1" x14ac:dyDescent="0.3">
      <c r="B124" s="9"/>
      <c r="C124" s="126"/>
      <c r="D124" s="126"/>
      <c r="E124" s="126"/>
      <c r="F124" s="126"/>
      <c r="H124" s="125"/>
      <c r="I124" s="125"/>
      <c r="J124" s="125"/>
      <c r="K124" s="125"/>
      <c r="Q124" s="11"/>
    </row>
    <row r="125" spans="2:17" x14ac:dyDescent="0.3">
      <c r="B125" s="9"/>
      <c r="Q125" s="11"/>
    </row>
    <row r="126" spans="2:17" x14ac:dyDescent="0.3">
      <c r="B126" s="9"/>
      <c r="Q126" s="11"/>
    </row>
    <row r="127" spans="2:17" x14ac:dyDescent="0.3">
      <c r="B127" s="9"/>
      <c r="Q127" s="11"/>
    </row>
    <row r="128" spans="2:17" x14ac:dyDescent="0.3">
      <c r="B128" s="9"/>
      <c r="Q128" s="11"/>
    </row>
    <row r="129" spans="2:17" x14ac:dyDescent="0.3">
      <c r="B129" s="9"/>
      <c r="Q129" s="11"/>
    </row>
    <row r="130" spans="2:17" x14ac:dyDescent="0.3">
      <c r="B130" s="9"/>
      <c r="Q130" s="11"/>
    </row>
    <row r="131" spans="2:17" x14ac:dyDescent="0.3">
      <c r="B131" s="9"/>
      <c r="Q131" s="11"/>
    </row>
    <row r="132" spans="2:17" x14ac:dyDescent="0.3">
      <c r="B132" s="9"/>
      <c r="Q132" s="11"/>
    </row>
    <row r="133" spans="2:17" x14ac:dyDescent="0.3">
      <c r="B133" s="9"/>
      <c r="Q133" s="11"/>
    </row>
    <row r="134" spans="2:17" x14ac:dyDescent="0.3">
      <c r="B134" s="9"/>
      <c r="Q134" s="11"/>
    </row>
    <row r="135" spans="2:17" x14ac:dyDescent="0.3">
      <c r="B135" s="9"/>
      <c r="Q135" s="11"/>
    </row>
    <row r="136" spans="2:17" x14ac:dyDescent="0.3">
      <c r="B136" s="9"/>
      <c r="Q136" s="11"/>
    </row>
    <row r="137" spans="2:17" x14ac:dyDescent="0.3">
      <c r="B137" s="9"/>
      <c r="Q137" s="11"/>
    </row>
    <row r="138" spans="2:17" x14ac:dyDescent="0.3">
      <c r="B138" s="9"/>
      <c r="Q138" s="11"/>
    </row>
    <row r="139" spans="2:17" x14ac:dyDescent="0.3">
      <c r="B139" s="9"/>
      <c r="Q139" s="11"/>
    </row>
    <row r="140" spans="2:17" x14ac:dyDescent="0.3">
      <c r="B140" s="9"/>
      <c r="Q140" s="11"/>
    </row>
    <row r="141" spans="2:17" x14ac:dyDescent="0.3">
      <c r="B141" s="9"/>
      <c r="Q141" s="11"/>
    </row>
    <row r="142" spans="2:17" x14ac:dyDescent="0.3">
      <c r="B142" s="9"/>
      <c r="Q142" s="11"/>
    </row>
    <row r="143" spans="2:17" x14ac:dyDescent="0.3">
      <c r="B143" s="9"/>
      <c r="Q143" s="11"/>
    </row>
    <row r="144" spans="2:17" x14ac:dyDescent="0.3">
      <c r="B144" s="9"/>
      <c r="Q144" s="11"/>
    </row>
    <row r="145" spans="2:17" x14ac:dyDescent="0.3">
      <c r="B145" s="9"/>
      <c r="Q145" s="11"/>
    </row>
    <row r="146" spans="2:17" x14ac:dyDescent="0.3">
      <c r="B146" s="9"/>
      <c r="Q146" s="11"/>
    </row>
    <row r="147" spans="2:17" x14ac:dyDescent="0.3">
      <c r="B147" s="9"/>
      <c r="Q147" s="11"/>
    </row>
    <row r="148" spans="2:17" x14ac:dyDescent="0.3">
      <c r="B148" s="9"/>
      <c r="Q148" s="11"/>
    </row>
    <row r="149" spans="2:17" x14ac:dyDescent="0.3">
      <c r="B149" s="9"/>
      <c r="Q149" s="11"/>
    </row>
    <row r="150" spans="2:17" x14ac:dyDescent="0.3">
      <c r="B150" s="9"/>
      <c r="Q150" s="11"/>
    </row>
    <row r="151" spans="2:17" x14ac:dyDescent="0.3">
      <c r="B151" s="9"/>
      <c r="Q151" s="11"/>
    </row>
    <row r="152" spans="2:17" x14ac:dyDescent="0.3">
      <c r="B152" s="9"/>
      <c r="Q152" s="11"/>
    </row>
    <row r="153" spans="2:17" x14ac:dyDescent="0.3">
      <c r="B153" s="9"/>
      <c r="Q153" s="11"/>
    </row>
    <row r="154" spans="2:17" x14ac:dyDescent="0.3">
      <c r="B154" s="9"/>
      <c r="Q154" s="11"/>
    </row>
    <row r="155" spans="2:17" x14ac:dyDescent="0.3">
      <c r="B155" s="9"/>
      <c r="Q155" s="11"/>
    </row>
    <row r="156" spans="2:17" x14ac:dyDescent="0.3">
      <c r="B156" s="9"/>
      <c r="Q156" s="11"/>
    </row>
    <row r="157" spans="2:17" x14ac:dyDescent="0.3">
      <c r="B157" s="9"/>
      <c r="Q157" s="11"/>
    </row>
    <row r="158" spans="2:17" x14ac:dyDescent="0.3">
      <c r="B158" s="9"/>
      <c r="Q158" s="11"/>
    </row>
    <row r="159" spans="2:17" x14ac:dyDescent="0.3">
      <c r="B159" s="9"/>
      <c r="Q159" s="11"/>
    </row>
    <row r="160" spans="2:17" x14ac:dyDescent="0.3">
      <c r="B160" s="9"/>
      <c r="Q160" s="11"/>
    </row>
    <row r="161" spans="2:17" ht="17.25" thickBot="1" x14ac:dyDescent="0.35">
      <c r="B161" s="15"/>
      <c r="C161" s="13"/>
      <c r="D161" s="13"/>
      <c r="E161" s="13"/>
      <c r="F161" s="13"/>
      <c r="G161" s="13"/>
      <c r="H161" s="13"/>
      <c r="I161" s="13"/>
      <c r="J161" s="13"/>
      <c r="K161" s="13"/>
      <c r="L161" s="13"/>
      <c r="M161" s="13"/>
      <c r="N161" s="13"/>
      <c r="O161" s="13"/>
      <c r="P161" s="13"/>
      <c r="Q161" s="14"/>
    </row>
  </sheetData>
  <mergeCells count="9">
    <mergeCell ref="C2:D2"/>
    <mergeCell ref="C3:D3"/>
    <mergeCell ref="C4:D4"/>
    <mergeCell ref="C13:D13"/>
    <mergeCell ref="C14:D14"/>
    <mergeCell ref="C11:D11"/>
    <mergeCell ref="C12:D12"/>
    <mergeCell ref="C8:D8"/>
    <mergeCell ref="C9:D9"/>
  </mergeCells>
  <phoneticPr fontId="42" type="noConversion"/>
  <conditionalFormatting sqref="J5:J7">
    <cfRule type="expression" dxfId="3" priority="1">
      <formula>"""VERDADERO"""</formula>
    </cfRule>
  </conditionalFormatting>
  <conditionalFormatting sqref="L3">
    <cfRule type="cellIs" dxfId="2" priority="3" operator="lessThan">
      <formula>0</formula>
    </cfRule>
    <cfRule type="cellIs" dxfId="1" priority="4" operator="greaterThan">
      <formula>4</formula>
    </cfRule>
    <cfRule type="cellIs" dxfId="0" priority="5" operator="between">
      <formula>0</formula>
      <formula>4</formula>
    </cfRule>
  </conditionalFormatting>
  <pageMargins left="0.7" right="0.7" top="0.75" bottom="0.75" header="0.3" footer="0.3"/>
  <pageSetup scale="44"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052" r:id="rId4" name="Check Box 4">
              <controlPr defaultSize="0" autoFill="0" autoLine="0" autoPict="0" altText="">
                <anchor moveWithCells="1">
                  <from>
                    <xdr:col>10</xdr:col>
                    <xdr:colOff>19050</xdr:colOff>
                    <xdr:row>3</xdr:row>
                    <xdr:rowOff>352425</xdr:rowOff>
                  </from>
                  <to>
                    <xdr:col>11</xdr:col>
                    <xdr:colOff>733425</xdr:colOff>
                    <xdr:row>16</xdr:row>
                    <xdr:rowOff>161925</xdr:rowOff>
                  </to>
                </anchor>
              </controlPr>
            </control>
          </mc:Choice>
        </mc:AlternateContent>
        <mc:AlternateContent xmlns:mc="http://schemas.openxmlformats.org/markup-compatibility/2006">
          <mc:Choice Requires="x14">
            <control shapeId="2053" r:id="rId5" name="Check Box 5">
              <controlPr defaultSize="0" autoFill="0" autoLine="0" autoPict="0" altText="">
                <anchor moveWithCells="1">
                  <from>
                    <xdr:col>10</xdr:col>
                    <xdr:colOff>19050</xdr:colOff>
                    <xdr:row>4</xdr:row>
                    <xdr:rowOff>352425</xdr:rowOff>
                  </from>
                  <to>
                    <xdr:col>11</xdr:col>
                    <xdr:colOff>733425</xdr:colOff>
                    <xdr:row>16</xdr:row>
                    <xdr:rowOff>161925</xdr:rowOff>
                  </to>
                </anchor>
              </controlPr>
            </control>
          </mc:Choice>
        </mc:AlternateContent>
        <mc:AlternateContent xmlns:mc="http://schemas.openxmlformats.org/markup-compatibility/2006">
          <mc:Choice Requires="x14">
            <control shapeId="2054" r:id="rId6" name="Check Box 6">
              <controlPr defaultSize="0" autoFill="0" autoLine="0" autoPict="0" altText="">
                <anchor moveWithCells="1">
                  <from>
                    <xdr:col>10</xdr:col>
                    <xdr:colOff>19050</xdr:colOff>
                    <xdr:row>5</xdr:row>
                    <xdr:rowOff>352425</xdr:rowOff>
                  </from>
                  <to>
                    <xdr:col>11</xdr:col>
                    <xdr:colOff>733425</xdr:colOff>
                    <xdr:row>16</xdr:row>
                    <xdr:rowOff>161925</xdr:rowOff>
                  </to>
                </anchor>
              </controlPr>
            </control>
          </mc:Choice>
        </mc:AlternateContent>
        <mc:AlternateContent xmlns:mc="http://schemas.openxmlformats.org/markup-compatibility/2006">
          <mc:Choice Requires="x14">
            <control shapeId="2056" r:id="rId7" name="Check Box 8">
              <controlPr defaultSize="0" autoFill="0" autoLine="0" autoPict="0" altText="">
                <anchor moveWithCells="1">
                  <from>
                    <xdr:col>10</xdr:col>
                    <xdr:colOff>19050</xdr:colOff>
                    <xdr:row>5</xdr:row>
                    <xdr:rowOff>352425</xdr:rowOff>
                  </from>
                  <to>
                    <xdr:col>11</xdr:col>
                    <xdr:colOff>733425</xdr:colOff>
                    <xdr:row>16</xdr:row>
                    <xdr:rowOff>171450</xdr:rowOff>
                  </to>
                </anchor>
              </controlPr>
            </control>
          </mc:Choice>
        </mc:AlternateContent>
        <mc:AlternateContent xmlns:mc="http://schemas.openxmlformats.org/markup-compatibility/2006">
          <mc:Choice Requires="x14">
            <control shapeId="2057" r:id="rId8" name="Check Box 9">
              <controlPr defaultSize="0" autoFill="0" autoLine="0" autoPict="0" altText="">
                <anchor moveWithCells="1">
                  <from>
                    <xdr:col>10</xdr:col>
                    <xdr:colOff>19050</xdr:colOff>
                    <xdr:row>5</xdr:row>
                    <xdr:rowOff>352425</xdr:rowOff>
                  </from>
                  <to>
                    <xdr:col>11</xdr:col>
                    <xdr:colOff>733425</xdr:colOff>
                    <xdr:row>16</xdr:row>
                    <xdr:rowOff>171450</xdr:rowOff>
                  </to>
                </anchor>
              </controlPr>
            </control>
          </mc:Choice>
        </mc:AlternateContent>
      </controls>
    </mc:Choice>
  </mc:AlternateContent>
  <extLst>
    <ext xmlns:x14="http://schemas.microsoft.com/office/spreadsheetml/2009/9/main" uri="{A8765BA9-456A-4dab-B4F3-ACF838C121DE}">
      <x14:slicerList>
        <x14:slicer r:id="rId9"/>
      </x14:slicerList>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D58A38-C9DE-4E43-8EC9-24FB746EED37}">
  <sheetPr codeName="Hoja2"/>
  <dimension ref="A1:F8"/>
  <sheetViews>
    <sheetView showGridLines="0" showRowColHeaders="0" zoomScaleNormal="100" workbookViewId="0">
      <selection activeCell="E9" sqref="E9"/>
    </sheetView>
  </sheetViews>
  <sheetFormatPr defaultColWidth="11" defaultRowHeight="16.5" x14ac:dyDescent="0.3"/>
  <cols>
    <col min="1" max="1" width="24.375" customWidth="1"/>
    <col min="5" max="5" width="17" customWidth="1"/>
    <col min="6" max="6" width="14.625" customWidth="1"/>
  </cols>
  <sheetData>
    <row r="1" spans="1:6" ht="17.25" thickBot="1" x14ac:dyDescent="0.35"/>
    <row r="2" spans="1:6" ht="24" customHeight="1" x14ac:dyDescent="0.3">
      <c r="A2" s="428" t="s">
        <v>226</v>
      </c>
      <c r="B2" s="429"/>
      <c r="C2" s="429"/>
      <c r="D2" s="429"/>
      <c r="E2" s="429"/>
      <c r="F2" s="430"/>
    </row>
    <row r="3" spans="1:6" ht="15" customHeight="1" thickBot="1" x14ac:dyDescent="0.35">
      <c r="A3" s="431" t="s">
        <v>587</v>
      </c>
      <c r="B3" s="432"/>
      <c r="C3" s="432"/>
      <c r="D3" s="432"/>
      <c r="E3" s="432"/>
      <c r="F3" s="433"/>
    </row>
    <row r="4" spans="1:6" x14ac:dyDescent="0.3">
      <c r="A4" s="439" t="s">
        <v>1</v>
      </c>
      <c r="B4" s="440"/>
      <c r="C4" s="440"/>
      <c r="D4" s="441"/>
      <c r="E4" s="434" t="s">
        <v>334</v>
      </c>
      <c r="F4" s="435"/>
    </row>
    <row r="5" spans="1:6" x14ac:dyDescent="0.3">
      <c r="A5" s="439" t="s">
        <v>227</v>
      </c>
      <c r="B5" s="440"/>
      <c r="C5" s="440"/>
      <c r="D5" s="441"/>
      <c r="E5" s="436" t="s">
        <v>333</v>
      </c>
      <c r="F5" s="437"/>
    </row>
    <row r="6" spans="1:6" x14ac:dyDescent="0.3">
      <c r="A6" s="439" t="s">
        <v>228</v>
      </c>
      <c r="B6" s="440"/>
      <c r="C6" s="440"/>
      <c r="D6" s="440"/>
      <c r="E6" s="438" t="s">
        <v>332</v>
      </c>
      <c r="F6" s="437"/>
    </row>
    <row r="7" spans="1:6" x14ac:dyDescent="0.3">
      <c r="A7" s="439" t="s">
        <v>229</v>
      </c>
      <c r="B7" s="440"/>
      <c r="C7" s="440"/>
      <c r="D7" s="440"/>
      <c r="E7" s="444">
        <f ca="1">TODAY()</f>
        <v>45726</v>
      </c>
      <c r="F7" s="437"/>
    </row>
    <row r="8" spans="1:6" ht="17.25" thickBot="1" x14ac:dyDescent="0.35">
      <c r="A8" s="439" t="s">
        <v>230</v>
      </c>
      <c r="B8" s="440"/>
      <c r="C8" s="440"/>
      <c r="D8" s="440"/>
      <c r="E8" s="442">
        <v>3</v>
      </c>
      <c r="F8" s="443"/>
    </row>
  </sheetData>
  <mergeCells count="12">
    <mergeCell ref="A8:D8"/>
    <mergeCell ref="E8:F8"/>
    <mergeCell ref="E7:F7"/>
    <mergeCell ref="A5:D5"/>
    <mergeCell ref="A6:D6"/>
    <mergeCell ref="A7:D7"/>
    <mergeCell ref="A2:F2"/>
    <mergeCell ref="A3:F3"/>
    <mergeCell ref="E4:F4"/>
    <mergeCell ref="E5:F5"/>
    <mergeCell ref="E6:F6"/>
    <mergeCell ref="A4:D4"/>
  </mergeCells>
  <phoneticPr fontId="42" type="noConversion"/>
  <dataValidations count="1">
    <dataValidation type="list" allowBlank="1" showInputMessage="1" showErrorMessage="1" sqref="E6:F6" xr:uid="{D4F43C10-72A4-46AE-9BA7-E8B343535714}">
      <formula1>"COLOMBIA,CHILE,PERU,URUGUAY,VENEZUELA,ECUADOR,ESPAÑA,BRASIL,PANAMA,BRASIL"</formula1>
    </dataValidation>
  </dataValidations>
  <pageMargins left="0.7" right="0.7" top="0.75" bottom="0.75" header="0.3" footer="0.3"/>
  <pageSetup paperSize="9" scale="96" orientation="portrait"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E5FFE-4295-4150-A878-F4640E80FFC2}">
  <sheetPr codeName="Hoja8" filterMode="1"/>
  <dimension ref="A1:XFA229"/>
  <sheetViews>
    <sheetView showGridLines="0" tabSelected="1" zoomScale="56" zoomScaleNormal="34" zoomScaleSheetLayoutView="50" workbookViewId="0">
      <pane ySplit="5" topLeftCell="A16" activePane="bottomLeft" state="frozen"/>
      <selection pane="bottomLeft" activeCell="K17" sqref="K17"/>
    </sheetView>
  </sheetViews>
  <sheetFormatPr defaultColWidth="11" defaultRowHeight="16.5" x14ac:dyDescent="0.3"/>
  <cols>
    <col min="1" max="1" width="60.375" customWidth="1"/>
    <col min="2" max="2" width="9.625" bestFit="1" customWidth="1"/>
    <col min="3" max="3" width="69.625" customWidth="1"/>
    <col min="4" max="4" width="10" customWidth="1"/>
    <col min="5" max="5" width="13.125" bestFit="1" customWidth="1"/>
    <col min="6" max="6" width="21.75" bestFit="1" customWidth="1"/>
    <col min="7" max="7" width="31.375" customWidth="1"/>
    <col min="8" max="8" width="32.375" customWidth="1"/>
    <col min="9" max="12" width="30.375" customWidth="1"/>
    <col min="13" max="13" width="30" customWidth="1"/>
    <col min="14" max="14" width="23" customWidth="1"/>
    <col min="15" max="15" width="30" customWidth="1"/>
    <col min="16" max="16" width="27.625" customWidth="1"/>
    <col min="17" max="17" width="19.375" customWidth="1"/>
    <col min="18" max="18" width="32.375" customWidth="1"/>
    <col min="19" max="19" width="24.375" customWidth="1"/>
    <col min="20" max="20" width="22" customWidth="1"/>
    <col min="21" max="21" width="20.375" customWidth="1"/>
    <col min="22" max="22" width="37.375" customWidth="1"/>
    <col min="23" max="23" width="21.625" customWidth="1"/>
    <col min="24" max="26" width="11.375" customWidth="1"/>
    <col min="27" max="27" width="10.625" customWidth="1"/>
    <col min="28" max="28" width="33.375" customWidth="1"/>
    <col min="29" max="29" width="32.375" customWidth="1"/>
    <col min="30" max="30" width="36.625" customWidth="1"/>
    <col min="31" max="32" width="32.375" customWidth="1"/>
    <col min="33" max="33" width="28.375" customWidth="1"/>
    <col min="34" max="34" width="32.625" customWidth="1"/>
    <col min="35" max="35" width="28.375" customWidth="1"/>
    <col min="36" max="36" width="31.625" customWidth="1"/>
    <col min="37" max="37" width="28.375" customWidth="1"/>
    <col min="38" max="38" width="26.75" bestFit="1" customWidth="1"/>
    <col min="39" max="39" width="11.375" customWidth="1"/>
    <col min="40" max="40" width="11.625" customWidth="1"/>
    <col min="41" max="43" width="11.375" customWidth="1"/>
    <col min="44" max="44" width="14.625" customWidth="1"/>
    <col min="45" max="45" width="11.375" customWidth="1"/>
  </cols>
  <sheetData>
    <row r="1" spans="1:44 16381:16381" ht="49.5" customHeight="1" thickBot="1" x14ac:dyDescent="0.35">
      <c r="A1" s="233" t="s">
        <v>226</v>
      </c>
      <c r="B1" s="445" t="str">
        <f>NOMBRE_DEL_PROYECTO</f>
        <v>MYT ENERGY PARQUE FOTOVOLTAICO TEPUY 108 MW</v>
      </c>
      <c r="C1" s="446"/>
      <c r="D1" s="446"/>
      <c r="E1" s="446"/>
      <c r="F1" s="446"/>
      <c r="G1" s="446"/>
      <c r="H1" s="446"/>
      <c r="I1" s="446"/>
      <c r="J1" s="446"/>
      <c r="K1" s="446"/>
      <c r="L1" s="447"/>
    </row>
    <row r="2" spans="1:44 16381:16381" ht="30" customHeight="1" thickBot="1" x14ac:dyDescent="0.35">
      <c r="A2" s="233" t="s">
        <v>229</v>
      </c>
      <c r="B2" s="451">
        <f ca="1">FECHA</f>
        <v>45726</v>
      </c>
      <c r="C2" s="452"/>
      <c r="D2" s="452"/>
      <c r="E2" s="452"/>
      <c r="F2" s="452"/>
      <c r="G2" s="452"/>
      <c r="H2" s="452"/>
      <c r="I2" s="452"/>
      <c r="J2" s="452"/>
      <c r="K2" s="452"/>
      <c r="L2" s="453"/>
    </row>
    <row r="3" spans="1:44 16381:16381" ht="33.75" hidden="1" customHeight="1" thickBot="1" x14ac:dyDescent="0.35">
      <c r="A3" s="233" t="s">
        <v>230</v>
      </c>
      <c r="B3" s="454">
        <f>+DURCION_PROYECTO</f>
        <v>3</v>
      </c>
      <c r="C3" s="455"/>
      <c r="D3" s="455"/>
      <c r="E3" s="455"/>
      <c r="F3" s="455"/>
      <c r="G3" s="455"/>
      <c r="H3" s="455"/>
      <c r="I3" s="455"/>
      <c r="J3" s="455"/>
      <c r="K3" s="455"/>
      <c r="L3" s="456"/>
      <c r="M3" s="85"/>
      <c r="N3" s="85"/>
      <c r="O3" s="85"/>
      <c r="P3" s="85"/>
    </row>
    <row r="4" spans="1:44 16381:16381" ht="33.75" customHeight="1" thickBot="1" x14ac:dyDescent="0.35">
      <c r="A4" s="129" t="s">
        <v>133</v>
      </c>
      <c r="B4" s="130"/>
      <c r="C4" s="130"/>
      <c r="D4" s="130"/>
      <c r="E4" s="130"/>
      <c r="F4" s="130"/>
      <c r="G4" s="130"/>
      <c r="H4" s="130"/>
      <c r="I4" s="130"/>
      <c r="J4" s="130"/>
      <c r="K4" s="130"/>
      <c r="L4" s="131"/>
      <c r="M4" s="85"/>
      <c r="N4" s="85"/>
      <c r="O4" s="85"/>
      <c r="P4" s="85"/>
    </row>
    <row r="5" spans="1:44 16381:16381" x14ac:dyDescent="0.3">
      <c r="A5" s="222" t="s">
        <v>73</v>
      </c>
      <c r="B5" s="222" t="s">
        <v>59</v>
      </c>
      <c r="C5" s="222" t="s">
        <v>272</v>
      </c>
      <c r="D5" s="222" t="s">
        <v>137</v>
      </c>
      <c r="E5" s="222" t="s">
        <v>136</v>
      </c>
      <c r="F5" s="222" t="s">
        <v>273</v>
      </c>
      <c r="G5" s="222" t="s">
        <v>85</v>
      </c>
      <c r="H5" s="223" t="s">
        <v>84</v>
      </c>
      <c r="I5" s="223" t="s">
        <v>443</v>
      </c>
      <c r="J5" s="224" t="s">
        <v>196</v>
      </c>
      <c r="K5" s="222" t="s">
        <v>78</v>
      </c>
      <c r="L5" s="222" t="s">
        <v>197</v>
      </c>
      <c r="M5" s="223" t="s">
        <v>79</v>
      </c>
      <c r="N5" s="222" t="s">
        <v>141</v>
      </c>
      <c r="O5" s="222" t="s">
        <v>81</v>
      </c>
      <c r="P5" s="222" t="s">
        <v>119</v>
      </c>
      <c r="Q5" s="223" t="s">
        <v>143</v>
      </c>
      <c r="R5" s="223" t="s">
        <v>80</v>
      </c>
      <c r="S5" s="222" t="s">
        <v>82</v>
      </c>
      <c r="T5" s="222" t="s">
        <v>83</v>
      </c>
      <c r="U5" s="222" t="s">
        <v>118</v>
      </c>
      <c r="V5" s="222" t="s">
        <v>142</v>
      </c>
      <c r="W5" s="222" t="s">
        <v>115</v>
      </c>
      <c r="X5" s="222" t="s">
        <v>116</v>
      </c>
      <c r="Y5" s="222" t="s">
        <v>117</v>
      </c>
      <c r="Z5" s="222" t="s">
        <v>77</v>
      </c>
      <c r="AA5" s="222"/>
      <c r="AB5" s="222" t="s">
        <v>149</v>
      </c>
      <c r="AC5" s="222" t="s">
        <v>151</v>
      </c>
      <c r="AD5" s="222" t="s">
        <v>150</v>
      </c>
      <c r="AE5" s="222" t="s">
        <v>152</v>
      </c>
      <c r="AF5" s="222" t="s">
        <v>177</v>
      </c>
      <c r="AG5" s="222" t="s">
        <v>147</v>
      </c>
      <c r="AH5" s="222" t="s">
        <v>144</v>
      </c>
      <c r="AI5" s="222" t="s">
        <v>145</v>
      </c>
      <c r="AJ5" s="222" t="s">
        <v>146</v>
      </c>
      <c r="AK5" s="222" t="s">
        <v>148</v>
      </c>
      <c r="AL5" s="222" t="s">
        <v>140</v>
      </c>
      <c r="XFA5" s="29"/>
    </row>
    <row r="6" spans="1:44 16381:16381" hidden="1" x14ac:dyDescent="0.3">
      <c r="A6" s="220" t="s">
        <v>437</v>
      </c>
      <c r="B6" s="227">
        <v>1</v>
      </c>
      <c r="C6" s="228" t="s">
        <v>335</v>
      </c>
      <c r="D6" s="21" t="s">
        <v>337</v>
      </c>
      <c r="E6" s="21">
        <v>1</v>
      </c>
      <c r="F6" s="313">
        <f>IF('1'!$G$66=0,"",'1'!$G$66)</f>
        <v>419400000</v>
      </c>
      <c r="G6" s="23">
        <f>IF(OFERTA!$C6="","",IF(OFERTA!$F6="","",OFERTA!$F6*OFERTA!$E6))</f>
        <v>419400000</v>
      </c>
      <c r="H6" s="229">
        <f>+IF(OFERTA!$F6="","",OFERTA!$G6/OFERTA!$G$216)</f>
        <v>2.1811721133381604E-2</v>
      </c>
      <c r="I6" s="230">
        <f t="shared" ref="I6:I12" si="0">F6/4100</f>
        <v>102292.68292682926</v>
      </c>
      <c r="J6" s="230">
        <f>+IF(E6="","",I6*E6)</f>
        <v>102292.68292682926</v>
      </c>
      <c r="K6" s="230"/>
      <c r="L6" s="230">
        <f>IF(E6="","",K6*E6)</f>
        <v>0</v>
      </c>
      <c r="M6" s="231">
        <f>+'1'!$N$28+'1'!$N$47</f>
        <v>346100000</v>
      </c>
      <c r="N6" s="231">
        <f>+'1'!$M$28+'1'!$M$47</f>
        <v>0</v>
      </c>
      <c r="O6" s="231">
        <f>IF('1'!$G$39=0,0,'1'!$G$39)</f>
        <v>3400000</v>
      </c>
      <c r="P6" s="231">
        <f>IF('1'!$G$56=0,0,'1'!$G$56)</f>
        <v>0</v>
      </c>
      <c r="Q6" s="231">
        <f>+OFERTA!$M6+OFERTA!$N6+OFERTA!$O6+OFERTA!$P6</f>
        <v>349500000</v>
      </c>
      <c r="R6" s="23">
        <f>IF(OFERTA!$M6="","",OFERTA!$M6*OFERTA!$E6)</f>
        <v>346100000</v>
      </c>
      <c r="S6" s="23">
        <f>IF(OFERTA!$N6="","",OFERTA!$N6*OFERTA!$E6)</f>
        <v>0</v>
      </c>
      <c r="T6" s="23">
        <f>IF(OFERTA!$O6="","",OFERTA!$O6*OFERTA!$E6)</f>
        <v>3400000</v>
      </c>
      <c r="U6" s="23">
        <f>IF(OFERTA!$P6="","",OFERTA!$P6*OFERTA!$E6)</f>
        <v>0</v>
      </c>
      <c r="V6" s="23">
        <f>IF(OFERTA!$U6="","",OFERTA!$U6+OFERTA!$T6+OFERTA!$S6+OFERTA!$R6)</f>
        <v>349500000</v>
      </c>
      <c r="W6" s="22">
        <f>IF(OFERTA!$R6="","",OFERTA!$R6/OFERTA!$R$216)</f>
        <v>0.16898605013194271</v>
      </c>
      <c r="X6" s="22">
        <f>IF(OFERTA!$S6="","",OFERTA!$S6/OFERTA!$S$216)</f>
        <v>0</v>
      </c>
      <c r="Y6" s="22">
        <f>IF(OFERTA!$T6="","",OFERTA!$T6/OFERTA!$T$216)</f>
        <v>3.5973377708381553E-4</v>
      </c>
      <c r="Z6" s="22">
        <f>IF(OFERTA!$U6="","",OFERTA!$U6/OFERTA!$U$216)</f>
        <v>0</v>
      </c>
      <c r="AA6" s="3"/>
      <c r="AB6" s="23">
        <f>IF(AI6="","",AI6*OFERTA!$Q6)</f>
        <v>349500000</v>
      </c>
      <c r="AC6" s="23">
        <f>IF(AI6="","",OFERTA!$N6*AI6)</f>
        <v>0</v>
      </c>
      <c r="AD6" s="23">
        <f>IF(AI6="","",OFERTA!$M6*AI6)</f>
        <v>346100000</v>
      </c>
      <c r="AE6" s="23">
        <f>IF(AI6="","",OFERTA!$P6*AI6)</f>
        <v>0</v>
      </c>
      <c r="AF6" s="23">
        <f>IF(AI6="","",OFERTA!$O6*AI6)</f>
        <v>3400000</v>
      </c>
      <c r="AG6" s="21">
        <f t="shared" ref="AG6:AG37" si="1">IF(AL6="","",AL6*AH6)</f>
        <v>1</v>
      </c>
      <c r="AH6" s="216">
        <v>7.27</v>
      </c>
      <c r="AI6" s="21">
        <f>IF('1'!$G$20=0,"",'1'!$G$20)</f>
        <v>1</v>
      </c>
      <c r="AJ6" s="216">
        <f t="shared" ref="AJ6:AJ37" si="2">IF(AI6="","",AI6*AH6)</f>
        <v>7.27</v>
      </c>
      <c r="AK6" s="216">
        <f>IF(AL6="","",AL6/30)</f>
        <v>4.5850527281063739E-3</v>
      </c>
      <c r="AL6" s="216">
        <f>IF(AJ6="","",OFERTA!$E6/AJ6)</f>
        <v>0.13755158184319122</v>
      </c>
      <c r="AR6" s="1"/>
    </row>
    <row r="7" spans="1:44 16381:16381" hidden="1" x14ac:dyDescent="0.3">
      <c r="A7" s="220" t="s">
        <v>437</v>
      </c>
      <c r="B7" s="227">
        <v>2</v>
      </c>
      <c r="C7" s="228" t="s">
        <v>336</v>
      </c>
      <c r="D7" s="21" t="s">
        <v>4</v>
      </c>
      <c r="E7" s="21">
        <v>28786</v>
      </c>
      <c r="F7" s="313">
        <f>IF('2'!$G$65=0,"",'2'!$G$65)</f>
        <v>14071.246892618638</v>
      </c>
      <c r="G7" s="23">
        <f>IF(OFERTA!$C7="","",IF(OFERTA!$F7="","",OFERTA!$F7*OFERTA!$E7))</f>
        <v>405054913.05092013</v>
      </c>
      <c r="H7" s="229">
        <f>+IF(OFERTA!$F7="","",OFERTA!$G7/OFERTA!$G$216)</f>
        <v>2.1065676698075349E-2</v>
      </c>
      <c r="I7" s="230">
        <f t="shared" si="0"/>
        <v>3.432011437224058</v>
      </c>
      <c r="J7" s="230">
        <f t="shared" ref="J7:J44" si="3">+IF(E7="","",I7*E7)</f>
        <v>98793.881231931737</v>
      </c>
      <c r="K7" s="230"/>
      <c r="L7" s="230">
        <f t="shared" ref="L7:L70" si="4">IF(E7="","",K7*E7)</f>
        <v>0</v>
      </c>
      <c r="M7" s="231">
        <f>+'2'!$N$28+'2'!$N$47</f>
        <v>1231.6308055076001</v>
      </c>
      <c r="N7" s="231">
        <f>+'2'!$M$28+'2'!$M$47</f>
        <v>720.33348772579905</v>
      </c>
      <c r="O7" s="231">
        <f>IF('2'!$G$39=0,0,'2'!$G$39)</f>
        <v>3749.6676702176951</v>
      </c>
      <c r="P7" s="231">
        <f>IF('2'!$G$55=0,0,'2'!$G$55)</f>
        <v>6024.4071137311039</v>
      </c>
      <c r="Q7" s="231">
        <f>+OFERTA!$M7+OFERTA!$N7+OFERTA!$O7+OFERTA!$P7</f>
        <v>11726.039077182199</v>
      </c>
      <c r="R7" s="23">
        <f>IF(OFERTA!$M7="","",OFERTA!$M7*OFERTA!$E7)</f>
        <v>35453724.367341779</v>
      </c>
      <c r="S7" s="23">
        <f>IF(OFERTA!$N7="","",OFERTA!$N7*OFERTA!$E7)</f>
        <v>20735519.77767485</v>
      </c>
      <c r="T7" s="23">
        <f>IF(OFERTA!$O7="","",OFERTA!$O7*OFERTA!$E7)</f>
        <v>107937933.55488656</v>
      </c>
      <c r="U7" s="23">
        <f>IF(OFERTA!$P7="","",OFERTA!$P7*OFERTA!$E7)</f>
        <v>173418583.17586356</v>
      </c>
      <c r="V7" s="23">
        <f>IF(OFERTA!$U7="","",OFERTA!$U7+OFERTA!$T7+OFERTA!$S7+OFERTA!$R7)</f>
        <v>337545760.87576675</v>
      </c>
      <c r="W7" s="22">
        <f>IF(OFERTA!$R7="","",OFERTA!$R7/OFERTA!$R$216)</f>
        <v>1.7310560078889616E-2</v>
      </c>
      <c r="X7" s="22">
        <f>IF(OFERTA!$S7="","",OFERTA!$S7/OFERTA!$S$216)</f>
        <v>3.2733481981679954E-2</v>
      </c>
      <c r="Y7" s="22">
        <f>IF(OFERTA!$T7="","",OFERTA!$T7/OFERTA!$T$216)</f>
        <v>1.14202707436239E-2</v>
      </c>
      <c r="Z7" s="22">
        <f>IF(OFERTA!$U7="","",OFERTA!$U7/OFERTA!$U$216)</f>
        <v>4.4822271252415738E-2</v>
      </c>
      <c r="AA7" s="3"/>
      <c r="AB7" s="23">
        <f>IF(AI7="","",AI7*OFERTA!$Q7)</f>
        <v>351618.31066161621</v>
      </c>
      <c r="AC7" s="23">
        <f>IF(AI7="","",OFERTA!$N7*AI7)</f>
        <v>21600</v>
      </c>
      <c r="AD7" s="23">
        <f>IF(AI7="","",OFERTA!$M7*AI7)</f>
        <v>36931.818181818177</v>
      </c>
      <c r="AE7" s="23">
        <f>IF(AI7="","",OFERTA!$P7*AI7)</f>
        <v>180648.54109090907</v>
      </c>
      <c r="AF7" s="23">
        <f>IF(AI7="","",OFERTA!$O7*AI7)</f>
        <v>112437.95138888893</v>
      </c>
      <c r="AG7" s="21">
        <f t="shared" si="1"/>
        <v>959.97776748494664</v>
      </c>
      <c r="AH7" s="216">
        <v>7.27</v>
      </c>
      <c r="AI7" s="21">
        <f>IF('2'!$G$20=0,"",'2'!$G$20)</f>
        <v>29.986111111111111</v>
      </c>
      <c r="AJ7" s="216">
        <f t="shared" si="2"/>
        <v>217.99902777777777</v>
      </c>
      <c r="AK7" s="216">
        <f t="shared" ref="AK7:AK70" si="5">IF(AL7="","",AL7/30)</f>
        <v>4.40154868172832</v>
      </c>
      <c r="AL7" s="216">
        <f>IF(AJ7="","",OFERTA!$E7/AJ7)</f>
        <v>132.04646045184961</v>
      </c>
      <c r="AR7" s="1"/>
    </row>
    <row r="8" spans="1:44 16381:16381" ht="82.5" hidden="1" x14ac:dyDescent="0.3">
      <c r="A8" s="220" t="s">
        <v>437</v>
      </c>
      <c r="B8" s="227">
        <v>3</v>
      </c>
      <c r="C8" s="228" t="s">
        <v>338</v>
      </c>
      <c r="D8" s="21" t="s">
        <v>346</v>
      </c>
      <c r="E8" s="21">
        <v>28786</v>
      </c>
      <c r="F8" s="313">
        <f>IF('3'!$G$66=0,"",'3'!$G$66)</f>
        <v>84555.674897454533</v>
      </c>
      <c r="G8" s="23">
        <f>IF(OFERTA!$C8="","",IF(OFERTA!$F8="","",OFERTA!$F8*OFERTA!$E8))</f>
        <v>2434019657.5981264</v>
      </c>
      <c r="H8" s="229">
        <f>+IF(OFERTA!$F8="","",OFERTA!$G8/OFERTA!$G$216)</f>
        <v>0.12658597521387532</v>
      </c>
      <c r="I8" s="230">
        <f t="shared" si="0"/>
        <v>20.623335340842569</v>
      </c>
      <c r="J8" s="230">
        <f t="shared" si="3"/>
        <v>593663.33112149418</v>
      </c>
      <c r="K8" s="230"/>
      <c r="L8" s="230">
        <f t="shared" si="4"/>
        <v>0</v>
      </c>
      <c r="M8" s="231">
        <f>+'3'!$N$28+'3'!$N$47</f>
        <v>43233.454545454537</v>
      </c>
      <c r="N8" s="231">
        <f>+'3'!$M$28+'3'!$M$47</f>
        <v>3456</v>
      </c>
      <c r="O8" s="231">
        <f>IF('3'!$G$39=0,0,'3'!$G$39)</f>
        <v>1257.5</v>
      </c>
      <c r="P8" s="231">
        <f>IF('3'!$G$56=0,0,'3'!$G$56)</f>
        <v>22516.107869090905</v>
      </c>
      <c r="Q8" s="231">
        <f>+OFERTA!$M8+OFERTA!$N8+OFERTA!$O8+OFERTA!$P8</f>
        <v>70463.062414545449</v>
      </c>
      <c r="R8" s="23">
        <f>IF(OFERTA!$M8="","",OFERTA!$M8*OFERTA!$E8)</f>
        <v>1244518222.5454543</v>
      </c>
      <c r="S8" s="23">
        <f>IF(OFERTA!$N8="","",OFERTA!$N8*OFERTA!$E8)</f>
        <v>99484416</v>
      </c>
      <c r="T8" s="23">
        <f>IF(OFERTA!$O8="","",OFERTA!$O8*OFERTA!$E8)</f>
        <v>36198395</v>
      </c>
      <c r="U8" s="23">
        <f>IF(OFERTA!$P8="","",OFERTA!$P8*OFERTA!$E8)</f>
        <v>648148681.11965084</v>
      </c>
      <c r="V8" s="23">
        <f>IF(OFERTA!$U8="","",OFERTA!$U8+OFERTA!$T8+OFERTA!$S8+OFERTA!$R8)</f>
        <v>2028349714.6651051</v>
      </c>
      <c r="W8" s="22">
        <f>IF(OFERTA!$R8="","",OFERTA!$R8/OFERTA!$R$216)</f>
        <v>0.60764582128050382</v>
      </c>
      <c r="X8" s="22">
        <f>IF(OFERTA!$S8="","",OFERTA!$S8/OFERTA!$S$216)</f>
        <v>0.15704797244099336</v>
      </c>
      <c r="Y8" s="22">
        <f>IF(OFERTA!$T8="","",OFERTA!$T8/OFERTA!$T$216)</f>
        <v>3.8299368699182068E-3</v>
      </c>
      <c r="Z8" s="22">
        <f>IF(OFERTA!$U8="","",OFERTA!$U8/OFERTA!$U$216)</f>
        <v>0.16752239272753958</v>
      </c>
      <c r="AA8" s="3"/>
      <c r="AB8" s="23">
        <f>IF(AI8="","",AI8*OFERTA!$Q8)</f>
        <v>3523153.1207272727</v>
      </c>
      <c r="AC8" s="23">
        <f>IF(AI8="","",OFERTA!$N8*AI8)</f>
        <v>172800</v>
      </c>
      <c r="AD8" s="23">
        <f>IF(AI8="","",OFERTA!$M8*AI8)</f>
        <v>2161672.7272727271</v>
      </c>
      <c r="AE8" s="23">
        <f>IF(AI8="","",OFERTA!$P8*AI8)</f>
        <v>1125805.3934545452</v>
      </c>
      <c r="AF8" s="23">
        <f>IF(AI8="","",OFERTA!$O8*AI8)</f>
        <v>62875</v>
      </c>
      <c r="AG8" s="21">
        <f t="shared" si="1"/>
        <v>575.72</v>
      </c>
      <c r="AH8" s="216">
        <v>7.27</v>
      </c>
      <c r="AI8" s="21">
        <f>IF('3'!$G$20=0,"",'3'!$G$20)</f>
        <v>50</v>
      </c>
      <c r="AJ8" s="216">
        <f t="shared" si="2"/>
        <v>363.5</v>
      </c>
      <c r="AK8" s="216">
        <f t="shared" si="5"/>
        <v>2.6397065566254012</v>
      </c>
      <c r="AL8" s="216">
        <f>IF(AJ8="","",OFERTA!$E8/AJ8)</f>
        <v>79.191196698762042</v>
      </c>
      <c r="AR8" s="1"/>
    </row>
    <row r="9" spans="1:44 16381:16381" ht="49.5" hidden="1" x14ac:dyDescent="0.3">
      <c r="A9" s="220" t="s">
        <v>437</v>
      </c>
      <c r="B9" s="227">
        <v>4</v>
      </c>
      <c r="C9" s="228" t="s">
        <v>339</v>
      </c>
      <c r="D9" s="21" t="s">
        <v>346</v>
      </c>
      <c r="E9" s="314">
        <v>2290</v>
      </c>
      <c r="F9" s="313">
        <f>IF('4'!$G$65=0,"",'4'!$G$65)</f>
        <v>899492.69061818172</v>
      </c>
      <c r="G9" s="23">
        <f>IF(OFERTA!$C9="","",IF(OFERTA!$F9="","",OFERTA!$F9*OFERTA!$E9))</f>
        <v>2059838261.5156362</v>
      </c>
      <c r="H9" s="229">
        <f>+IF(OFERTA!$F9="","",OFERTA!$G9/OFERTA!$G$216)</f>
        <v>0.10712593643311545</v>
      </c>
      <c r="I9" s="230">
        <f t="shared" si="0"/>
        <v>219.38846112638578</v>
      </c>
      <c r="J9" s="230">
        <f t="shared" si="3"/>
        <v>502399.57597942342</v>
      </c>
      <c r="K9" s="230"/>
      <c r="L9" s="230">
        <f t="shared" si="4"/>
        <v>0</v>
      </c>
      <c r="M9" s="231">
        <f>+'4'!$N$28+'4'!$N$47</f>
        <v>268336.36363636365</v>
      </c>
      <c r="N9" s="231">
        <f>+'4'!$M$28+'4'!$M$47</f>
        <v>54000</v>
      </c>
      <c r="O9" s="231">
        <f>IF('4'!$G$39=0,0,'4'!$G$39)</f>
        <v>0</v>
      </c>
      <c r="P9" s="231">
        <f>IF('4'!$G$55=0,0,'4'!$G$55)</f>
        <v>427240.87854545453</v>
      </c>
      <c r="Q9" s="231">
        <f>+OFERTA!$M9+OFERTA!$N9+OFERTA!$O9+OFERTA!$P9</f>
        <v>749577.24218181823</v>
      </c>
      <c r="R9" s="23">
        <f>IF(OFERTA!$M9="","",OFERTA!$M9*OFERTA!$E9)</f>
        <v>614490272.72727275</v>
      </c>
      <c r="S9" s="23">
        <f>IF(OFERTA!$N9="","",OFERTA!$N9*OFERTA!$E9)</f>
        <v>123660000</v>
      </c>
      <c r="T9" s="23">
        <f>IF(OFERTA!$O9="","",OFERTA!$O9*OFERTA!$E9)</f>
        <v>0</v>
      </c>
      <c r="U9" s="23">
        <f>IF(OFERTA!$P9="","",OFERTA!$P9*OFERTA!$E9)</f>
        <v>978381611.86909091</v>
      </c>
      <c r="V9" s="23">
        <f>IF(OFERTA!$U9="","",OFERTA!$U9+OFERTA!$T9+OFERTA!$S9+OFERTA!$R9)</f>
        <v>1716531884.5963638</v>
      </c>
      <c r="W9" s="22">
        <f>IF(OFERTA!$R9="","",OFERTA!$R9/OFERTA!$R$216)</f>
        <v>0.30002971404993373</v>
      </c>
      <c r="X9" s="22">
        <f>IF(OFERTA!$S9="","",OFERTA!$S9/OFERTA!$S$216)</f>
        <v>0.19521200458223767</v>
      </c>
      <c r="Y9" s="22">
        <f>IF(OFERTA!$T9="","",OFERTA!$T9/OFERTA!$T$216)</f>
        <v>0</v>
      </c>
      <c r="Z9" s="22">
        <f>IF(OFERTA!$U9="","",OFERTA!$U9/OFERTA!$U$216)</f>
        <v>0.25287535621889246</v>
      </c>
      <c r="AA9" s="3"/>
      <c r="AB9" s="23">
        <f>IF(AI9="","",AI9*OFERTA!$Q9)</f>
        <v>1499154.4843636365</v>
      </c>
      <c r="AC9" s="23">
        <f>IF(AI9="","",OFERTA!$N9*AI9)</f>
        <v>108000</v>
      </c>
      <c r="AD9" s="23">
        <f>IF(AI9="","",OFERTA!$M9*AI9)</f>
        <v>536672.72727272729</v>
      </c>
      <c r="AE9" s="23">
        <f>IF(AI9="","",OFERTA!$P9*AI9)</f>
        <v>854481.75709090906</v>
      </c>
      <c r="AF9" s="23">
        <f>IF(AI9="","",OFERTA!$O9*AI9)</f>
        <v>0</v>
      </c>
      <c r="AG9" s="21">
        <f t="shared" si="1"/>
        <v>1145</v>
      </c>
      <c r="AH9" s="216">
        <v>7.27</v>
      </c>
      <c r="AI9" s="21">
        <f>IF('4'!$G$20=0,"",'4'!$G$20)</f>
        <v>2</v>
      </c>
      <c r="AJ9" s="216">
        <f t="shared" si="2"/>
        <v>14.54</v>
      </c>
      <c r="AK9" s="216">
        <f t="shared" si="5"/>
        <v>5.2498853736817974</v>
      </c>
      <c r="AL9" s="216">
        <f>IF(AJ9="","",OFERTA!$E9/AJ9)</f>
        <v>157.49656121045393</v>
      </c>
      <c r="AR9" s="1"/>
    </row>
    <row r="10" spans="1:44 16381:16381" ht="49.5" hidden="1" x14ac:dyDescent="0.3">
      <c r="A10" s="220" t="s">
        <v>437</v>
      </c>
      <c r="B10" s="227">
        <v>5</v>
      </c>
      <c r="C10" s="228" t="s">
        <v>340</v>
      </c>
      <c r="D10" s="21" t="s">
        <v>346</v>
      </c>
      <c r="E10" s="314">
        <v>2290</v>
      </c>
      <c r="F10" s="313">
        <f>IF('5'!$G$66=0,"",'5'!$G$66)</f>
        <v>225088.02589090908</v>
      </c>
      <c r="G10" s="23">
        <f>IF(OFERTA!$C10="","",IF(OFERTA!$F10="","",OFERTA!$F10*OFERTA!$E10))</f>
        <v>515451579.29018182</v>
      </c>
      <c r="H10" s="229">
        <f>+IF(OFERTA!$F10="","",OFERTA!$G10/OFERTA!$G$216)</f>
        <v>2.6807072258556466E-2</v>
      </c>
      <c r="I10" s="230">
        <f t="shared" si="0"/>
        <v>54.899518509977824</v>
      </c>
      <c r="J10" s="230">
        <f t="shared" si="3"/>
        <v>125719.89738784921</v>
      </c>
      <c r="K10" s="230"/>
      <c r="L10" s="230">
        <f t="shared" si="4"/>
        <v>0</v>
      </c>
      <c r="M10" s="231">
        <f>+'5'!$N$29+'5'!$N$48</f>
        <v>39772.727272727272</v>
      </c>
      <c r="N10" s="231">
        <f>+'5'!$M$29+'5'!$M$48</f>
        <v>10800</v>
      </c>
      <c r="O10" s="231">
        <f>IF('5'!$G$40=0,0,'5'!$G$40)</f>
        <v>18297</v>
      </c>
      <c r="P10" s="231">
        <f>IF('5'!$G$56=0,0,'5'!$G$56)</f>
        <v>118703.62763636363</v>
      </c>
      <c r="Q10" s="231">
        <f>+OFERTA!$M10+OFERTA!$N10+OFERTA!$O10+OFERTA!$P10</f>
        <v>187573.35490909091</v>
      </c>
      <c r="R10" s="23">
        <f>IF(OFERTA!$M10="","",OFERTA!$M10*OFERTA!$E10)</f>
        <v>91079545.454545453</v>
      </c>
      <c r="S10" s="23">
        <f>IF(OFERTA!$N10="","",OFERTA!$N10*OFERTA!$E10)</f>
        <v>24732000</v>
      </c>
      <c r="T10" s="23">
        <f>IF(OFERTA!$O10="","",OFERTA!$O10*OFERTA!$E10)</f>
        <v>41900130</v>
      </c>
      <c r="U10" s="23">
        <f>IF(OFERTA!$P10="","",OFERTA!$P10*OFERTA!$E10)</f>
        <v>271831307.28727269</v>
      </c>
      <c r="V10" s="23">
        <f>IF(OFERTA!$U10="","",OFERTA!$U10+OFERTA!$T10+OFERTA!$S10+OFERTA!$R10)</f>
        <v>429542982.74181813</v>
      </c>
      <c r="W10" s="22">
        <f>IF(OFERTA!$R10="","",OFERTA!$R10/OFERTA!$R$216)</f>
        <v>4.4470305212875968E-2</v>
      </c>
      <c r="X10" s="22">
        <f>IF(OFERTA!$S10="","",OFERTA!$S10/OFERTA!$S$216)</f>
        <v>3.9042400916447534E-2</v>
      </c>
      <c r="Y10" s="22">
        <f>IF(OFERTA!$T10="","",OFERTA!$T10/OFERTA!$T$216)</f>
        <v>4.4332035368243802E-3</v>
      </c>
      <c r="Z10" s="22">
        <f>IF(OFERTA!$U10="","",OFERTA!$U10/OFERTA!$U$216)</f>
        <v>7.0258310078413197E-2</v>
      </c>
      <c r="AA10" s="3"/>
      <c r="AB10" s="23">
        <f>IF(AI10="","",AI10*OFERTA!$Q10)</f>
        <v>375146.70981818181</v>
      </c>
      <c r="AC10" s="23">
        <f>IF(AI10="","",OFERTA!$N10*AI10)</f>
        <v>21600</v>
      </c>
      <c r="AD10" s="23">
        <f>IF(AI10="","",OFERTA!$M10*AI10)</f>
        <v>79545.454545454544</v>
      </c>
      <c r="AE10" s="23">
        <f>IF(AI10="","",OFERTA!$P10*AI10)</f>
        <v>237407.25527272726</v>
      </c>
      <c r="AF10" s="23">
        <f>IF(AI10="","",OFERTA!$O10*AI10)</f>
        <v>36594</v>
      </c>
      <c r="AG10" s="21">
        <f t="shared" si="1"/>
        <v>1145</v>
      </c>
      <c r="AH10" s="216">
        <v>7.27</v>
      </c>
      <c r="AI10" s="21">
        <f>IF('5'!$G$20=0,"",'5'!$G$20)</f>
        <v>2</v>
      </c>
      <c r="AJ10" s="216">
        <f t="shared" si="2"/>
        <v>14.54</v>
      </c>
      <c r="AK10" s="216">
        <f t="shared" si="5"/>
        <v>5.2498853736817974</v>
      </c>
      <c r="AL10" s="216">
        <f>IF(AJ10="","",OFERTA!$E10/AJ10)</f>
        <v>157.49656121045393</v>
      </c>
      <c r="AR10" s="1"/>
    </row>
    <row r="11" spans="1:44 16381:16381" ht="99" hidden="1" x14ac:dyDescent="0.3">
      <c r="A11" s="220" t="s">
        <v>437</v>
      </c>
      <c r="B11" s="227">
        <v>6</v>
      </c>
      <c r="C11" s="228" t="s">
        <v>341</v>
      </c>
      <c r="D11" s="21" t="s">
        <v>346</v>
      </c>
      <c r="E11" s="315">
        <v>198720</v>
      </c>
      <c r="F11" s="313">
        <f>IF('6'!$G$65=0,"",'6'!$G$65)</f>
        <v>8272.2970181818164</v>
      </c>
      <c r="G11" s="23">
        <f>IF(OFERTA!$C11="","",IF(OFERTA!$F11="","",OFERTA!$F11*OFERTA!$E11))</f>
        <v>1643870863.4530907</v>
      </c>
      <c r="H11" s="229">
        <f>+IF(OFERTA!$F11="","",OFERTA!$G11/OFERTA!$G$216)</f>
        <v>8.5492734508655313E-2</v>
      </c>
      <c r="I11" s="230">
        <f t="shared" si="0"/>
        <v>2.0176334190687357</v>
      </c>
      <c r="J11" s="230">
        <f t="shared" si="3"/>
        <v>400944.11303733918</v>
      </c>
      <c r="K11" s="230"/>
      <c r="L11" s="230">
        <f t="shared" si="4"/>
        <v>0</v>
      </c>
      <c r="M11" s="231">
        <f>+'6'!$N$28+'6'!$N$47</f>
        <v>1485.8787878787878</v>
      </c>
      <c r="N11" s="231">
        <f>+'6'!$M$28+'6'!$M$47</f>
        <v>288</v>
      </c>
      <c r="O11" s="231">
        <f>IF('6'!$G$39=0,0,'6'!$G$39)</f>
        <v>255</v>
      </c>
      <c r="P11" s="231">
        <f>IF('6'!$G$55=0,0,'6'!$G$55)</f>
        <v>4864.7020606060596</v>
      </c>
      <c r="Q11" s="231">
        <f>+OFERTA!$M11+OFERTA!$N11+OFERTA!$O11+OFERTA!$P11</f>
        <v>6893.5808484848476</v>
      </c>
      <c r="R11" s="23">
        <f>IF(OFERTA!$M11="","",OFERTA!$M11*OFERTA!$E11)</f>
        <v>295273832.72727269</v>
      </c>
      <c r="S11" s="23">
        <f>IF(OFERTA!$N11="","",OFERTA!$N11*OFERTA!$E11)</f>
        <v>57231360</v>
      </c>
      <c r="T11" s="23">
        <f>IF(OFERTA!$O11="","",OFERTA!$O11*OFERTA!$E11)</f>
        <v>50673600</v>
      </c>
      <c r="U11" s="23">
        <f>IF(OFERTA!$P11="","",OFERTA!$P11*OFERTA!$E11)</f>
        <v>966713593.48363614</v>
      </c>
      <c r="V11" s="23">
        <f>IF(OFERTA!$U11="","",OFERTA!$U11+OFERTA!$T11+OFERTA!$S11+OFERTA!$R11)</f>
        <v>1369892386.2109089</v>
      </c>
      <c r="W11" s="22">
        <f>IF(OFERTA!$R11="","",OFERTA!$R11/OFERTA!$R$216)</f>
        <v>0.14416977376452403</v>
      </c>
      <c r="X11" s="22">
        <f>IF(OFERTA!$S11="","",OFERTA!$S11/OFERTA!$S$216)</f>
        <v>9.0346502592331346E-2</v>
      </c>
      <c r="Y11" s="22">
        <f>IF(OFERTA!$T11="","",OFERTA!$T11/OFERTA!$T$216)</f>
        <v>5.3614722136571874E-3</v>
      </c>
      <c r="Z11" s="22">
        <f>IF(OFERTA!$U11="","",OFERTA!$U11/OFERTA!$U$216)</f>
        <v>0.24985960626018897</v>
      </c>
      <c r="AA11" s="3"/>
      <c r="AB11" s="23">
        <f>IF(AI11="","",AI11*OFERTA!$Q11)</f>
        <v>2068074.2545454542</v>
      </c>
      <c r="AC11" s="23">
        <f>IF(AI11="","",OFERTA!$N11*AI11)</f>
        <v>86400</v>
      </c>
      <c r="AD11" s="23">
        <f>IF(AI11="","",OFERTA!$M11*AI11)</f>
        <v>445763.63636363635</v>
      </c>
      <c r="AE11" s="23">
        <f>IF(AI11="","",OFERTA!$P11*AI11)</f>
        <v>1459410.6181818179</v>
      </c>
      <c r="AF11" s="23">
        <f>IF(AI11="","",OFERTA!$O11*AI11)</f>
        <v>76500</v>
      </c>
      <c r="AG11" s="21">
        <f t="shared" si="1"/>
        <v>662.4</v>
      </c>
      <c r="AH11" s="216">
        <v>7.27</v>
      </c>
      <c r="AI11" s="21">
        <f>IF('6'!$G$20=0,"",'6'!$G$20)</f>
        <v>300</v>
      </c>
      <c r="AJ11" s="216">
        <f t="shared" si="2"/>
        <v>2181</v>
      </c>
      <c r="AK11" s="216">
        <f t="shared" si="5"/>
        <v>3.0371389270976619</v>
      </c>
      <c r="AL11" s="216">
        <f>IF(AJ11="","",OFERTA!$E11/AJ11)</f>
        <v>91.11416781292985</v>
      </c>
      <c r="AR11" s="1"/>
    </row>
    <row r="12" spans="1:44 16381:16381" ht="49.5" hidden="1" x14ac:dyDescent="0.3">
      <c r="A12" s="220" t="s">
        <v>437</v>
      </c>
      <c r="B12" s="227">
        <v>7</v>
      </c>
      <c r="C12" s="228" t="s">
        <v>342</v>
      </c>
      <c r="D12" s="21" t="s">
        <v>346</v>
      </c>
      <c r="E12" s="314">
        <v>2290</v>
      </c>
      <c r="F12" s="313">
        <f>IF('7'!$G$65=0,"",'7'!$G$65)</f>
        <v>231684.80116363638</v>
      </c>
      <c r="G12" s="23">
        <f>IF(OFERTA!$C12="","",IF(OFERTA!$F12="","",OFERTA!$F12*OFERTA!$E12))</f>
        <v>530558194.66472733</v>
      </c>
      <c r="H12" s="229">
        <f>+IF(OFERTA!$F12="","",OFERTA!$G12/OFERTA!$G$216)</f>
        <v>2.7592721476054898E-2</v>
      </c>
      <c r="I12" s="230">
        <f t="shared" si="0"/>
        <v>56.508488088691799</v>
      </c>
      <c r="J12" s="230">
        <f t="shared" si="3"/>
        <v>129404.43772310422</v>
      </c>
      <c r="K12" s="230"/>
      <c r="L12" s="230">
        <f t="shared" si="4"/>
        <v>0</v>
      </c>
      <c r="M12" s="231">
        <f>+'7'!$N$28+'7'!$N$47</f>
        <v>0</v>
      </c>
      <c r="N12" s="231">
        <f>+'7'!$M$28+'7'!$M$47</f>
        <v>0</v>
      </c>
      <c r="O12" s="231">
        <f>IF('7'!$G$39=0,0,'7'!$G$39)</f>
        <v>12720</v>
      </c>
      <c r="P12" s="231">
        <f>IF('7'!$G$55=0,0,'7'!$G$55)</f>
        <v>180350.66763636365</v>
      </c>
      <c r="Q12" s="231">
        <f>+OFERTA!$M12+OFERTA!$N12+OFERTA!$O12+OFERTA!$P12</f>
        <v>193070.66763636365</v>
      </c>
      <c r="R12" s="23">
        <f>IF(OFERTA!$M12="","",OFERTA!$M12*OFERTA!$E12)</f>
        <v>0</v>
      </c>
      <c r="S12" s="23">
        <f>IF(OFERTA!$N12="","",OFERTA!$N12*OFERTA!$E12)</f>
        <v>0</v>
      </c>
      <c r="T12" s="23">
        <f>IF(OFERTA!$O12="","",OFERTA!$O12*OFERTA!$E12)</f>
        <v>29128800</v>
      </c>
      <c r="U12" s="23">
        <f>IF(OFERTA!$P12="","",OFERTA!$P12*OFERTA!$E12)</f>
        <v>413003028.88727278</v>
      </c>
      <c r="V12" s="23">
        <f>IF(OFERTA!$U12="","",OFERTA!$U12+OFERTA!$T12+OFERTA!$S12+OFERTA!$R12)</f>
        <v>442131828.88727278</v>
      </c>
      <c r="W12" s="22">
        <f>IF(OFERTA!$R12="","",OFERTA!$R12/OFERTA!$R$216)</f>
        <v>0</v>
      </c>
      <c r="X12" s="22">
        <f>IF(OFERTA!$S12="","",OFERTA!$S12/OFERTA!$S$216)</f>
        <v>0</v>
      </c>
      <c r="Y12" s="22">
        <f>IF(OFERTA!$T12="","",OFERTA!$T12/OFERTA!$T$216)</f>
        <v>3.0819450723291314E-3</v>
      </c>
      <c r="Z12" s="22">
        <f>IF(OFERTA!$U12="","",OFERTA!$U12/OFERTA!$U$216)</f>
        <v>0.10674596372455603</v>
      </c>
      <c r="AA12" s="3"/>
      <c r="AB12" s="23">
        <f>IF(AI12="","",AI12*OFERTA!$Q12)</f>
        <v>386141.3352727273</v>
      </c>
      <c r="AC12" s="23">
        <f>IF(AI12="","",OFERTA!$N12*AI12)</f>
        <v>0</v>
      </c>
      <c r="AD12" s="23">
        <f>IF(AI12="","",OFERTA!$M12*AI12)</f>
        <v>0</v>
      </c>
      <c r="AE12" s="23">
        <f>IF(AI12="","",OFERTA!$P12*AI12)</f>
        <v>360701.3352727273</v>
      </c>
      <c r="AF12" s="23">
        <f>IF(AI12="","",OFERTA!$O12*AI12)</f>
        <v>25440</v>
      </c>
      <c r="AG12" s="21">
        <f t="shared" si="1"/>
        <v>1145</v>
      </c>
      <c r="AH12" s="216">
        <v>7.27</v>
      </c>
      <c r="AI12" s="21">
        <f>IF('7'!$G$20=0,"",'7'!$G$20)</f>
        <v>2</v>
      </c>
      <c r="AJ12" s="216">
        <f t="shared" si="2"/>
        <v>14.54</v>
      </c>
      <c r="AK12" s="216">
        <f t="shared" si="5"/>
        <v>5.2498853736817974</v>
      </c>
      <c r="AL12" s="216">
        <f>IF(AJ12="","",OFERTA!$E12/AJ12)</f>
        <v>157.49656121045393</v>
      </c>
      <c r="AR12" s="1"/>
    </row>
    <row r="13" spans="1:44 16381:16381" ht="66" hidden="1" x14ac:dyDescent="0.3">
      <c r="A13" s="220" t="s">
        <v>437</v>
      </c>
      <c r="B13" s="227">
        <v>8</v>
      </c>
      <c r="C13" s="228" t="s">
        <v>343</v>
      </c>
      <c r="D13" s="21" t="s">
        <v>346</v>
      </c>
      <c r="E13" s="316">
        <v>24</v>
      </c>
      <c r="F13" s="313">
        <f>IF('8'!$G$65=0,"",'8'!$G$65)</f>
        <v>1095486.4826181817</v>
      </c>
      <c r="G13" s="23">
        <f>IF(OFERTA!$C13="","",IF(OFERTA!$F13="","",OFERTA!$F13*OFERTA!$E13))</f>
        <v>26291675.58283636</v>
      </c>
      <c r="H13" s="229">
        <f>+IF(OFERTA!$F13="","",OFERTA!$G13/OFERTA!$G$216)</f>
        <v>1.3673502526041128E-3</v>
      </c>
      <c r="I13" s="230">
        <f>+F14+F12+F10+F9</f>
        <v>1421637.840581818</v>
      </c>
      <c r="J13" s="230">
        <f t="shared" si="3"/>
        <v>34119308.173963636</v>
      </c>
      <c r="K13" s="230"/>
      <c r="L13" s="230">
        <f t="shared" si="4"/>
        <v>0</v>
      </c>
      <c r="M13" s="231">
        <f>+'8'!$N$28+'8'!$N$47</f>
        <v>0</v>
      </c>
      <c r="N13" s="231">
        <f>+'8'!$M$28+'8'!$M$47</f>
        <v>0</v>
      </c>
      <c r="O13" s="231">
        <f>IF('8'!$G$39=0,0,'8'!$G$39)</f>
        <v>0</v>
      </c>
      <c r="P13" s="231">
        <f>IF('8'!$G$55=0,0,'8'!$G$55)</f>
        <v>912905.40218181815</v>
      </c>
      <c r="Q13" s="231">
        <f>+OFERTA!$M13+OFERTA!$N13+OFERTA!$O13+OFERTA!$P13</f>
        <v>912905.40218181815</v>
      </c>
      <c r="R13" s="23">
        <f>IF(OFERTA!$M13="","",OFERTA!$M13*OFERTA!$E13)</f>
        <v>0</v>
      </c>
      <c r="S13" s="23">
        <f>IF(OFERTA!$N13="","",OFERTA!$N13*OFERTA!$E13)</f>
        <v>0</v>
      </c>
      <c r="T13" s="23">
        <f>IF(OFERTA!$O13="","",OFERTA!$O13*OFERTA!$E13)</f>
        <v>0</v>
      </c>
      <c r="U13" s="23">
        <f>IF(OFERTA!$P13="","",OFERTA!$P13*OFERTA!$E13)</f>
        <v>21909729.652363636</v>
      </c>
      <c r="V13" s="23">
        <f>IF(OFERTA!$U13="","",OFERTA!$U13+OFERTA!$T13+OFERTA!$S13+OFERTA!$R13)</f>
        <v>21909729.652363636</v>
      </c>
      <c r="W13" s="22">
        <f>IF(OFERTA!$R13="","",OFERTA!$R13/OFERTA!$R$216)</f>
        <v>0</v>
      </c>
      <c r="X13" s="22">
        <f>IF(OFERTA!$S13="","",OFERTA!$S13/OFERTA!$S$216)</f>
        <v>0</v>
      </c>
      <c r="Y13" s="22">
        <f>IF(OFERTA!$T13="","",OFERTA!$T13/OFERTA!$T$216)</f>
        <v>0</v>
      </c>
      <c r="Z13" s="22">
        <f>IF(OFERTA!$U13="","",OFERTA!$U13/OFERTA!$U$216)</f>
        <v>5.6628524323108437E-3</v>
      </c>
      <c r="AA13" s="3"/>
      <c r="AB13" s="23">
        <f>IF(AI13="","",AI13*OFERTA!$Q13)</f>
        <v>114113.17527272727</v>
      </c>
      <c r="AC13" s="23">
        <f>IF(AI13="","",OFERTA!$N13*AI13)</f>
        <v>0</v>
      </c>
      <c r="AD13" s="23">
        <f>IF(AI13="","",OFERTA!$M13*AI13)</f>
        <v>0</v>
      </c>
      <c r="AE13" s="23">
        <f>IF(AI13="","",OFERTA!$P13*AI13)</f>
        <v>114113.17527272727</v>
      </c>
      <c r="AF13" s="23">
        <f>IF(AI13="","",OFERTA!$O13*AI13)</f>
        <v>0</v>
      </c>
      <c r="AG13" s="21">
        <f t="shared" si="1"/>
        <v>192</v>
      </c>
      <c r="AH13" s="216">
        <v>7.27</v>
      </c>
      <c r="AI13" s="21">
        <f>IF('8'!$G$20=0,"",'8'!$G$20)</f>
        <v>0.125</v>
      </c>
      <c r="AJ13" s="216">
        <f t="shared" si="2"/>
        <v>0.90874999999999995</v>
      </c>
      <c r="AK13" s="216">
        <f t="shared" si="5"/>
        <v>0.88033012379642372</v>
      </c>
      <c r="AL13" s="216">
        <f>IF(AJ13="","",OFERTA!$E13/AJ13)</f>
        <v>26.40990371389271</v>
      </c>
      <c r="AR13" s="1"/>
    </row>
    <row r="14" spans="1:44 16381:16381" ht="49.5" hidden="1" x14ac:dyDescent="0.3">
      <c r="A14" s="220" t="s">
        <v>437</v>
      </c>
      <c r="B14" s="227">
        <v>9</v>
      </c>
      <c r="C14" s="228" t="s">
        <v>344</v>
      </c>
      <c r="D14" s="21" t="s">
        <v>346</v>
      </c>
      <c r="E14" s="314">
        <v>2290</v>
      </c>
      <c r="F14" s="23">
        <f>IF('9'!$G$65=0,"",'9'!$G$65)</f>
        <v>65372.322909090901</v>
      </c>
      <c r="G14" s="23">
        <f>IF(OFERTA!$C14="","",IF(OFERTA!$F14="","",OFERTA!$F14*OFERTA!$E14))</f>
        <v>149702619.46181816</v>
      </c>
      <c r="H14" s="229">
        <f>+IF(OFERTA!$F14="","",OFERTA!$G14/OFERTA!$G$216)</f>
        <v>7.7855788951786435E-3</v>
      </c>
      <c r="I14" s="230">
        <f>F14/4100</f>
        <v>15.944469002217293</v>
      </c>
      <c r="J14" s="230">
        <f t="shared" si="3"/>
        <v>36512.834015077598</v>
      </c>
      <c r="K14" s="230"/>
      <c r="L14" s="230">
        <f t="shared" si="4"/>
        <v>0</v>
      </c>
      <c r="M14" s="231">
        <f>+'9'!$N$28+'9'!$N$47</f>
        <v>0</v>
      </c>
      <c r="N14" s="231">
        <f>+'9'!$M$28+'9'!$M$47</f>
        <v>0</v>
      </c>
      <c r="O14" s="231">
        <f>IF('9'!$G$39=0,0,'9'!$G$39)</f>
        <v>0</v>
      </c>
      <c r="P14" s="231">
        <f>IF('9'!$G$55=0,0,'9'!$G$55)</f>
        <v>54476.935757575753</v>
      </c>
      <c r="Q14" s="231">
        <f>+OFERTA!$M14+OFERTA!$N14+OFERTA!$O14+OFERTA!$P14</f>
        <v>54476.935757575753</v>
      </c>
      <c r="R14" s="23">
        <f>IF(OFERTA!$M14="","",OFERTA!$M14*OFERTA!$E14)</f>
        <v>0</v>
      </c>
      <c r="S14" s="23">
        <f>IF(OFERTA!$N14="","",OFERTA!$N14*OFERTA!$E14)</f>
        <v>0</v>
      </c>
      <c r="T14" s="23">
        <f>IF(OFERTA!$O14="","",OFERTA!$O14*OFERTA!$E14)</f>
        <v>0</v>
      </c>
      <c r="U14" s="23">
        <f>IF(OFERTA!$P14="","",OFERTA!$P14*OFERTA!$E14)</f>
        <v>124752182.88484848</v>
      </c>
      <c r="V14" s="23">
        <f>IF(OFERTA!$U14="","",OFERTA!$U14+OFERTA!$T14+OFERTA!$S14+OFERTA!$R14)</f>
        <v>124752182.88484848</v>
      </c>
      <c r="W14" s="22">
        <f>IF(OFERTA!$R14="","",OFERTA!$R14/OFERTA!$R$216)</f>
        <v>0</v>
      </c>
      <c r="X14" s="22">
        <f>IF(OFERTA!$S14="","",OFERTA!$S14/OFERTA!$S$216)</f>
        <v>0</v>
      </c>
      <c r="Y14" s="22">
        <f>IF(OFERTA!$T14="","",OFERTA!$T14/OFERTA!$T$216)</f>
        <v>0</v>
      </c>
      <c r="Z14" s="22">
        <f>IF(OFERTA!$U14="","",OFERTA!$U14/OFERTA!$U$216)</f>
        <v>3.2243811927151679E-2</v>
      </c>
      <c r="AA14" s="3"/>
      <c r="AB14" s="23">
        <f>IF(AI14="","",AI14*OFERTA!$Q14)</f>
        <v>163430.80727272725</v>
      </c>
      <c r="AC14" s="23">
        <f>IF(AI14="","",OFERTA!$N14*AI14)</f>
        <v>0</v>
      </c>
      <c r="AD14" s="23">
        <f>IF(AI14="","",OFERTA!$M14*AI14)</f>
        <v>0</v>
      </c>
      <c r="AE14" s="23">
        <f>IF(AI14="","",OFERTA!$P14*AI14)</f>
        <v>163430.80727272725</v>
      </c>
      <c r="AF14" s="23">
        <f>IF(AI14="","",OFERTA!$O14*AI14)</f>
        <v>0</v>
      </c>
      <c r="AG14" s="21">
        <f t="shared" si="1"/>
        <v>763.33333333333337</v>
      </c>
      <c r="AH14" s="216">
        <v>7.27</v>
      </c>
      <c r="AI14" s="21">
        <f>IF('9'!$G$20=0,"",'9'!$G$20)</f>
        <v>3</v>
      </c>
      <c r="AJ14" s="216">
        <f t="shared" si="2"/>
        <v>21.81</v>
      </c>
      <c r="AK14" s="216">
        <f t="shared" si="5"/>
        <v>3.4999235824545321</v>
      </c>
      <c r="AL14" s="216">
        <f>IF(AJ14="","",OFERTA!$E14/AJ14)</f>
        <v>104.99770747363596</v>
      </c>
      <c r="AR14" s="1"/>
    </row>
    <row r="15" spans="1:44 16381:16381" hidden="1" x14ac:dyDescent="0.3">
      <c r="A15" s="220" t="s">
        <v>437</v>
      </c>
      <c r="B15" s="227">
        <v>10</v>
      </c>
      <c r="C15" s="228" t="s">
        <v>345</v>
      </c>
      <c r="D15" s="21" t="s">
        <v>347</v>
      </c>
      <c r="E15" s="316">
        <v>1</v>
      </c>
      <c r="F15" s="23">
        <f>IF('10'!$G$65=0,"",'10'!$G$65)</f>
        <v>119513530.36799999</v>
      </c>
      <c r="G15" s="23">
        <f>IF(OFERTA!$C15="","",IF(OFERTA!$F15="","",OFERTA!$F15*OFERTA!$E15))</f>
        <v>119513530.36799999</v>
      </c>
      <c r="H15" s="229">
        <f>+IF(OFERTA!$F15="","",OFERTA!$G15/OFERTA!$G$216)</f>
        <v>6.2155359944033126E-3</v>
      </c>
      <c r="I15" s="230">
        <f>F15/4100</f>
        <v>29149.641553170728</v>
      </c>
      <c r="J15" s="230">
        <f t="shared" si="3"/>
        <v>29149.641553170728</v>
      </c>
      <c r="K15" s="230"/>
      <c r="L15" s="230">
        <f t="shared" si="4"/>
        <v>0</v>
      </c>
      <c r="M15" s="231">
        <f>+'10'!$N$28+'10'!$N$47</f>
        <v>46359418.18181818</v>
      </c>
      <c r="N15" s="231">
        <f>+'10'!$M$28+'10'!$M$47</f>
        <v>8985600</v>
      </c>
      <c r="O15" s="231">
        <f>IF('10'!$G$39=0,0,'10'!$G$39)</f>
        <v>3400000</v>
      </c>
      <c r="P15" s="231">
        <f>IF('10'!$G$55=0,0,'10'!$G$55)</f>
        <v>40849590.458181813</v>
      </c>
      <c r="Q15" s="231">
        <f>+OFERTA!$M15+OFERTA!$N15+OFERTA!$O15+OFERTA!$P15</f>
        <v>99594608.639999986</v>
      </c>
      <c r="R15" s="23">
        <f>IF(OFERTA!$M15="","",OFERTA!$M15*OFERTA!$E15)</f>
        <v>46359418.18181818</v>
      </c>
      <c r="S15" s="23">
        <f>IF(OFERTA!$N15="","",OFERTA!$N15*OFERTA!$E15)</f>
        <v>8985600</v>
      </c>
      <c r="T15" s="23">
        <f>IF(OFERTA!$O15="","",OFERTA!$O15*OFERTA!$E15)</f>
        <v>3400000</v>
      </c>
      <c r="U15" s="23">
        <f>IF(OFERTA!$P15="","",OFERTA!$P15*OFERTA!$E15)</f>
        <v>40849590.458181813</v>
      </c>
      <c r="V15" s="23">
        <f>IF(OFERTA!$U15="","",OFERTA!$U15+OFERTA!$T15+OFERTA!$S15+OFERTA!$R15)</f>
        <v>99594608.639999986</v>
      </c>
      <c r="W15" s="22">
        <f>IF(OFERTA!$R15="","",OFERTA!$R15/OFERTA!$R$216)</f>
        <v>2.26353509533673E-2</v>
      </c>
      <c r="X15" s="22">
        <f>IF(OFERTA!$S15="","",OFERTA!$S15/OFERTA!$S$216)</f>
        <v>1.4184837363530283E-2</v>
      </c>
      <c r="Y15" s="22">
        <f>IF(OFERTA!$T15="","",OFERTA!$T15/OFERTA!$T$216)</f>
        <v>3.5973377708381553E-4</v>
      </c>
      <c r="Z15" s="22">
        <f>IF(OFERTA!$U15="","",OFERTA!$U15/OFERTA!$U$216)</f>
        <v>1.0558103927131806E-2</v>
      </c>
      <c r="AA15" s="3"/>
      <c r="AB15" s="23">
        <f>IF(AI15="","",AI15*OFERTA!$Q15)</f>
        <v>478820.23384615383</v>
      </c>
      <c r="AC15" s="23">
        <f>IF(AI15="","",OFERTA!$N15*AI15)</f>
        <v>43200</v>
      </c>
      <c r="AD15" s="23">
        <f>IF(AI15="","",OFERTA!$M15*AI15)</f>
        <v>222881.81818181818</v>
      </c>
      <c r="AE15" s="23">
        <f>IF(AI15="","",OFERTA!$P15*AI15)</f>
        <v>196392.26181818181</v>
      </c>
      <c r="AF15" s="23">
        <f>IF(AI15="","",OFERTA!$O15*AI15)</f>
        <v>16346.153846153848</v>
      </c>
      <c r="AG15" s="21">
        <f t="shared" si="1"/>
        <v>208</v>
      </c>
      <c r="AH15" s="216">
        <v>7.27</v>
      </c>
      <c r="AI15" s="21">
        <f>IF('10'!$G$20=0,"",'10'!$G$20)</f>
        <v>4.807692307692308E-3</v>
      </c>
      <c r="AJ15" s="216">
        <f t="shared" si="2"/>
        <v>3.4951923076923075E-2</v>
      </c>
      <c r="AK15" s="216">
        <f t="shared" si="5"/>
        <v>0.95369096744612569</v>
      </c>
      <c r="AL15" s="216">
        <f>IF(AJ15="","",OFERTA!$E15/AJ15)</f>
        <v>28.610729023383772</v>
      </c>
      <c r="AR15" s="1"/>
    </row>
    <row r="16" spans="1:44 16381:16381" s="351" customFormat="1" ht="81.599999999999994" customHeight="1" x14ac:dyDescent="0.3">
      <c r="A16" s="340" t="s">
        <v>438</v>
      </c>
      <c r="B16" s="341">
        <v>11</v>
      </c>
      <c r="C16" s="342" t="s">
        <v>370</v>
      </c>
      <c r="D16" s="343" t="s">
        <v>373</v>
      </c>
      <c r="E16" s="343">
        <v>198720</v>
      </c>
      <c r="F16" s="344">
        <f>IF('11'!$G$65=0,"",'11'!$G$65)</f>
        <v>3479.7079854545455</v>
      </c>
      <c r="G16" s="344">
        <f>IF(OFERTA!$C16="","",IF(OFERTA!$F16="","",OFERTA!$F16*OFERTA!$E16))</f>
        <v>691487570.86952722</v>
      </c>
      <c r="H16" s="345">
        <f>+IF(OFERTA!$F16="","",OFERTA!$G16/OFERTA!$G$216)</f>
        <v>3.5962169916560746E-2</v>
      </c>
      <c r="I16" s="346">
        <v>4667.603162034965</v>
      </c>
      <c r="J16" s="346">
        <f t="shared" si="3"/>
        <v>927546100.35958827</v>
      </c>
      <c r="K16" s="346"/>
      <c r="L16" s="346">
        <f t="shared" si="4"/>
        <v>0</v>
      </c>
      <c r="M16" s="347">
        <f>+'11'!$N$28+'11'!$N$47</f>
        <v>84.398360260429229</v>
      </c>
      <c r="N16" s="347">
        <f>+'11'!$M$28+'11'!$M$47</f>
        <v>22.917771883289124</v>
      </c>
      <c r="O16" s="347">
        <f>IF('11'!$G$39=0,0,'11'!$G$39)</f>
        <v>2265</v>
      </c>
      <c r="P16" s="347">
        <f>IF('11'!$G$55=0,0,'11'!$G$55)</f>
        <v>527.44052240173619</v>
      </c>
      <c r="Q16" s="347">
        <f>+OFERTA!$M16+OFERTA!$N16+OFERTA!$O16+OFERTA!$P16</f>
        <v>2899.7566545454547</v>
      </c>
      <c r="R16" s="344">
        <f>IF(OFERTA!$M16="","",OFERTA!$M16*OFERTA!$E16)</f>
        <v>16771642.150952496</v>
      </c>
      <c r="S16" s="344">
        <f>IF(OFERTA!$N16="","",OFERTA!$N16*OFERTA!$E16)</f>
        <v>4554219.6286472147</v>
      </c>
      <c r="T16" s="344">
        <f>IF(OFERTA!$O16="","",OFERTA!$O16*OFERTA!$E16)</f>
        <v>450100800</v>
      </c>
      <c r="U16" s="344">
        <f>IF(OFERTA!$P16="","",OFERTA!$P16*OFERTA!$E16)</f>
        <v>104812980.61167301</v>
      </c>
      <c r="V16" s="344">
        <f>IF(OFERTA!$U16="","",OFERTA!$U16+OFERTA!$T16+OFERTA!$S16+OFERTA!$R16)</f>
        <v>576239642.39127266</v>
      </c>
      <c r="W16" s="348">
        <f>IF(OFERTA!$R16="","",OFERTA!$R16/OFERTA!$R$216)</f>
        <v>8.1888863372316135E-3</v>
      </c>
      <c r="X16" s="348">
        <f>IF(OFERTA!$S16="","",OFERTA!$S16/OFERTA!$S$216)</f>
        <v>7.1893768641112469E-3</v>
      </c>
      <c r="Y16" s="348">
        <f>IF(OFERTA!$T16="","",OFERTA!$T16/OFERTA!$T$216)</f>
        <v>4.7622488486013838E-2</v>
      </c>
      <c r="Z16" s="348">
        <f>IF(OFERTA!$U16="","",OFERTA!$U16/OFERTA!$U$216)</f>
        <v>2.7090267730917907E-2</v>
      </c>
      <c r="AA16" s="349"/>
      <c r="AB16" s="344">
        <f>IF(AI16="","",AI16*OFERTA!$Q16)</f>
        <v>1366510.3234545456</v>
      </c>
      <c r="AC16" s="344">
        <f>IF(AI16="","",OFERTA!$N16*AI16)</f>
        <v>10800</v>
      </c>
      <c r="AD16" s="344">
        <f>IF(AI16="","",OFERTA!$M16*AI16)</f>
        <v>39772.727272727272</v>
      </c>
      <c r="AE16" s="344">
        <f>IF(AI16="","",OFERTA!$P16*AI16)</f>
        <v>248556.34618181817</v>
      </c>
      <c r="AF16" s="344">
        <f>IF(AI16="","",OFERTA!$O16*AI16)</f>
        <v>1067381.25</v>
      </c>
      <c r="AG16" s="343">
        <f t="shared" si="1"/>
        <v>421.68700265251988</v>
      </c>
      <c r="AH16" s="350">
        <v>7.27</v>
      </c>
      <c r="AI16" s="343">
        <f>IF('11'!$G$20=0,"",'11'!$G$20)</f>
        <v>471.25</v>
      </c>
      <c r="AJ16" s="350">
        <f t="shared" si="2"/>
        <v>3425.9874999999997</v>
      </c>
      <c r="AK16" s="350">
        <f t="shared" si="5"/>
        <v>1.9334571419189359</v>
      </c>
      <c r="AL16" s="350">
        <f>IF(AJ16="","",OFERTA!$E16/AJ16)</f>
        <v>58.003714257568078</v>
      </c>
      <c r="AR16" s="352"/>
    </row>
    <row r="17" spans="1:44" s="351" customFormat="1" ht="101.45" customHeight="1" x14ac:dyDescent="0.3">
      <c r="A17" s="340" t="s">
        <v>438</v>
      </c>
      <c r="B17" s="341">
        <v>12</v>
      </c>
      <c r="C17" s="342" t="s">
        <v>533</v>
      </c>
      <c r="D17" s="343" t="s">
        <v>373</v>
      </c>
      <c r="E17" s="343">
        <v>4088</v>
      </c>
      <c r="F17" s="344">
        <f>IF('12'!$G$65=0,"",'12'!$G$65)</f>
        <v>1927.0012035989087</v>
      </c>
      <c r="G17" s="344">
        <f>IF(OFERTA!$C17="","",IF(OFERTA!$F17="","",OFERTA!$F17*OFERTA!$E17))</f>
        <v>7877580.9203123385</v>
      </c>
      <c r="H17" s="345">
        <f>+IF(OFERTA!$F17="","",OFERTA!$G17/OFERTA!$G$216)</f>
        <v>4.0968907543991498E-4</v>
      </c>
      <c r="I17" s="346">
        <v>3746.4642493280799</v>
      </c>
      <c r="J17" s="346">
        <f t="shared" si="3"/>
        <v>15315545.851253191</v>
      </c>
      <c r="K17" s="346"/>
      <c r="L17" s="346">
        <f t="shared" si="4"/>
        <v>0</v>
      </c>
      <c r="M17" s="347">
        <f>+'12'!$N$28+'12'!$N$47</f>
        <v>145.51230509302607</v>
      </c>
      <c r="N17" s="347">
        <f>+'12'!$M$28+'12'!$M$47</f>
        <v>36.274070756829374</v>
      </c>
      <c r="O17" s="347">
        <f>IF('12'!$G$39=0,0,'12'!$G$39)</f>
        <v>656.6230303030303</v>
      </c>
      <c r="P17" s="347">
        <f>IF('12'!$G$55=0,0,'12'!$G$55)</f>
        <v>767.42493017953825</v>
      </c>
      <c r="Q17" s="347">
        <f>+OFERTA!$M17+OFERTA!$N17+OFERTA!$O17+OFERTA!$P17</f>
        <v>1605.8343363324241</v>
      </c>
      <c r="R17" s="344">
        <f>IF(OFERTA!$M17="","",OFERTA!$M17*OFERTA!$E17)</f>
        <v>594854.30322029057</v>
      </c>
      <c r="S17" s="344">
        <f>IF(OFERTA!$N17="","",OFERTA!$N17*OFERTA!$E17)</f>
        <v>148288.40125391848</v>
      </c>
      <c r="T17" s="344">
        <f>IF(OFERTA!$O17="","",OFERTA!$O17*OFERTA!$E17)</f>
        <v>2684274.9478787878</v>
      </c>
      <c r="U17" s="344">
        <f>IF(OFERTA!$P17="","",OFERTA!$P17*OFERTA!$E17)</f>
        <v>3137233.1145739523</v>
      </c>
      <c r="V17" s="344">
        <f>IF(OFERTA!$U17="","",OFERTA!$U17+OFERTA!$T17+OFERTA!$S17+OFERTA!$R17)</f>
        <v>6564650.7669269489</v>
      </c>
      <c r="W17" s="348">
        <f>IF(OFERTA!$R17="","",OFERTA!$R17/OFERTA!$R$216)</f>
        <v>2.9044229732789909E-4</v>
      </c>
      <c r="X17" s="348">
        <f>IF(OFERTA!$S17="","",OFERTA!$S17/OFERTA!$S$216)</f>
        <v>2.3409086256730255E-4</v>
      </c>
      <c r="Y17" s="348">
        <f>IF(OFERTA!$T17="","",OFERTA!$T17/OFERTA!$T$216)</f>
        <v>2.8400716639173483E-4</v>
      </c>
      <c r="Z17" s="348">
        <f>IF(OFERTA!$U17="","",OFERTA!$U17/OFERTA!$U$216)</f>
        <v>8.108583928453291E-4</v>
      </c>
      <c r="AA17" s="349"/>
      <c r="AB17" s="344">
        <f>IF(AI17="","",AI17*OFERTA!$Q17)</f>
        <v>956220.81947474752</v>
      </c>
      <c r="AC17" s="344">
        <f>IF(AI17="","",OFERTA!$N17*AI17)</f>
        <v>21600</v>
      </c>
      <c r="AD17" s="344">
        <f>IF(AI17="","",OFERTA!$M17*AI17)</f>
        <v>86647.727272727265</v>
      </c>
      <c r="AE17" s="344">
        <f>IF(AI17="","",OFERTA!$P17*AI17)</f>
        <v>456975.96509090904</v>
      </c>
      <c r="AF17" s="344">
        <f>IF(AI17="","",OFERTA!$O17*AI17)</f>
        <v>390997.12711111113</v>
      </c>
      <c r="AG17" s="343">
        <f t="shared" si="1"/>
        <v>6.8652037617554864</v>
      </c>
      <c r="AH17" s="350">
        <v>7.27</v>
      </c>
      <c r="AI17" s="343">
        <f>IF('12'!$G$20=0,"",'12'!$G$20)</f>
        <v>595.4666666666667</v>
      </c>
      <c r="AJ17" s="350">
        <f t="shared" si="2"/>
        <v>4329.0426666666663</v>
      </c>
      <c r="AK17" s="350">
        <f t="shared" si="5"/>
        <v>3.1477321236843131E-2</v>
      </c>
      <c r="AL17" s="350">
        <f>IF(AJ17="","",OFERTA!$E17/AJ17)</f>
        <v>0.94431963710529387</v>
      </c>
      <c r="AR17" s="352"/>
    </row>
    <row r="18" spans="1:44" s="351" customFormat="1" ht="205.15" customHeight="1" x14ac:dyDescent="0.3">
      <c r="A18" s="340" t="s">
        <v>438</v>
      </c>
      <c r="B18" s="341">
        <v>13</v>
      </c>
      <c r="C18" s="342" t="s">
        <v>534</v>
      </c>
      <c r="D18" s="343" t="s">
        <v>374</v>
      </c>
      <c r="E18" s="343">
        <v>1155960</v>
      </c>
      <c r="F18" s="344">
        <f>IF('13'!$G$65=0,"",'13'!$G$65)</f>
        <v>2048.2211144703233</v>
      </c>
      <c r="G18" s="344">
        <f>IF(OFERTA!$C18="","",IF(OFERTA!$F18="","",OFERTA!$F18*OFERTA!$E18))</f>
        <v>2367661679.4831147</v>
      </c>
      <c r="H18" s="345">
        <f>+IF(OFERTA!$F18="","",OFERTA!$G18/OFERTA!$G$216)</f>
        <v>0.1231348981666181</v>
      </c>
      <c r="I18" s="346">
        <v>3730.5051764183008</v>
      </c>
      <c r="J18" s="346">
        <f t="shared" si="3"/>
        <v>4312314763.7324991</v>
      </c>
      <c r="K18" s="346"/>
      <c r="L18" s="346">
        <f t="shared" si="4"/>
        <v>0</v>
      </c>
      <c r="M18" s="347">
        <f>+'13'!$N$28+'13'!$N$47</f>
        <v>230.09015777610819</v>
      </c>
      <c r="N18" s="347">
        <f>+'13'!$M$28+'13'!$M$47</f>
        <v>44.628099173553721</v>
      </c>
      <c r="O18" s="347">
        <f>IF('13'!$G$39=0,0,'13'!$G$39)</f>
        <v>674.35030303030305</v>
      </c>
      <c r="P18" s="347">
        <f>IF('13'!$G$55=0,0,'13'!$G$55)</f>
        <v>757.78236874530432</v>
      </c>
      <c r="Q18" s="347">
        <f>+OFERTA!$M18+OFERTA!$N18+OFERTA!$O18+OFERTA!$P18</f>
        <v>1706.8509287252691</v>
      </c>
      <c r="R18" s="344">
        <f>IF(OFERTA!$M18="","",OFERTA!$M18*OFERTA!$E18)</f>
        <v>265975018.78287002</v>
      </c>
      <c r="S18" s="344">
        <f>IF(OFERTA!$N18="","",OFERTA!$N18*OFERTA!$E18)</f>
        <v>51588297.52066116</v>
      </c>
      <c r="T18" s="344">
        <f>IF(OFERTA!$O18="","",OFERTA!$O18*OFERTA!$E18)</f>
        <v>779521976.29090917</v>
      </c>
      <c r="U18" s="344">
        <f>IF(OFERTA!$P18="","",OFERTA!$P18*OFERTA!$E18)</f>
        <v>875966106.97482204</v>
      </c>
      <c r="V18" s="344">
        <f>IF(OFERTA!$U18="","",OFERTA!$U18+OFERTA!$T18+OFERTA!$S18+OFERTA!$R18)</f>
        <v>1973051399.5692625</v>
      </c>
      <c r="W18" s="348">
        <f>IF(OFERTA!$R18="","",OFERTA!$R18/OFERTA!$R$216)</f>
        <v>0.12986439716234174</v>
      </c>
      <c r="X18" s="348">
        <f>IF(OFERTA!$S18="","",OFERTA!$S18/OFERTA!$S$216)</f>
        <v>8.1438257900640035E-2</v>
      </c>
      <c r="Y18" s="348">
        <f>IF(OFERTA!$T18="","",OFERTA!$T18/OFERTA!$T$216)</f>
        <v>8.2476583779696841E-2</v>
      </c>
      <c r="Z18" s="348">
        <f>IF(OFERTA!$U18="","",OFERTA!$U18/OFERTA!$U$216)</f>
        <v>0.2264047470329737</v>
      </c>
      <c r="AA18" s="349"/>
      <c r="AB18" s="344">
        <f>IF(AI18="","",AI18*OFERTA!$Q18)</f>
        <v>1032644.8118787878</v>
      </c>
      <c r="AC18" s="344">
        <f>IF(AI18="","",OFERTA!$N18*AI18)</f>
        <v>27000</v>
      </c>
      <c r="AD18" s="344">
        <f>IF(AI18="","",OFERTA!$M18*AI18)</f>
        <v>139204.54545454544</v>
      </c>
      <c r="AE18" s="344">
        <f>IF(AI18="","",OFERTA!$P18*AI18)</f>
        <v>458458.33309090912</v>
      </c>
      <c r="AF18" s="344">
        <f>IF(AI18="","",OFERTA!$O18*AI18)</f>
        <v>407981.93333333335</v>
      </c>
      <c r="AG18" s="343">
        <f t="shared" si="1"/>
        <v>1910.6776859504134</v>
      </c>
      <c r="AH18" s="350">
        <v>7.27</v>
      </c>
      <c r="AI18" s="343">
        <f>IF('13'!$G$20=0,"",'13'!$G$20)</f>
        <v>605</v>
      </c>
      <c r="AJ18" s="350">
        <f t="shared" si="2"/>
        <v>4398.3499999999995</v>
      </c>
      <c r="AK18" s="350">
        <f t="shared" si="5"/>
        <v>8.7605579364989161</v>
      </c>
      <c r="AL18" s="350">
        <f>IF(AJ18="","",OFERTA!$E18/AJ18)</f>
        <v>262.81673809496749</v>
      </c>
      <c r="AR18" s="352"/>
    </row>
    <row r="19" spans="1:44" s="351" customFormat="1" ht="71.45" customHeight="1" x14ac:dyDescent="0.3">
      <c r="A19" s="340" t="s">
        <v>438</v>
      </c>
      <c r="B19" s="341">
        <v>14</v>
      </c>
      <c r="C19" s="342" t="s">
        <v>371</v>
      </c>
      <c r="D19" s="343" t="s">
        <v>373</v>
      </c>
      <c r="E19" s="343">
        <v>6624</v>
      </c>
      <c r="F19" s="344">
        <f>IF('14'!$G$65=0,"",'14'!$G$65)</f>
        <v>2274.5861129853956</v>
      </c>
      <c r="G19" s="344">
        <f>IF(OFERTA!$C19="","",IF(OFERTA!$F19="","",OFERTA!$F19*OFERTA!$E19))</f>
        <v>15066858.41241526</v>
      </c>
      <c r="H19" s="345">
        <f>+IF(OFERTA!$F19="","",OFERTA!$G19/OFERTA!$G$216)</f>
        <v>7.835815785592425E-4</v>
      </c>
      <c r="I19" s="346">
        <v>4956.3451855954854</v>
      </c>
      <c r="J19" s="346">
        <f t="shared" si="3"/>
        <v>32830830.509384494</v>
      </c>
      <c r="K19" s="346"/>
      <c r="L19" s="346">
        <f t="shared" si="4"/>
        <v>0</v>
      </c>
      <c r="M19" s="347">
        <f>+'14'!$N$28+'14'!$N$47</f>
        <v>247.6508547492358</v>
      </c>
      <c r="N19" s="347">
        <f>+'14'!$M$28+'14'!$M$47</f>
        <v>67.247820672478213</v>
      </c>
      <c r="O19" s="347">
        <f>IF('14'!$G$39=0,0,'14'!$G$39)</f>
        <v>340</v>
      </c>
      <c r="P19" s="347">
        <f>IF('14'!$G$55=0,0,'14'!$G$55)</f>
        <v>1240.5897520661158</v>
      </c>
      <c r="Q19" s="347">
        <f>+OFERTA!$M19+OFERTA!$N19+OFERTA!$O19+OFERTA!$P19</f>
        <v>1895.4884274878298</v>
      </c>
      <c r="R19" s="344">
        <f>IF(OFERTA!$M19="","",OFERTA!$M19*OFERTA!$E19)</f>
        <v>1640439.261858938</v>
      </c>
      <c r="S19" s="344">
        <f>IF(OFERTA!$N19="","",OFERTA!$N19*OFERTA!$E19)</f>
        <v>445449.56413449568</v>
      </c>
      <c r="T19" s="344">
        <f>IF(OFERTA!$O19="","",OFERTA!$O19*OFERTA!$E19)</f>
        <v>2252160</v>
      </c>
      <c r="U19" s="344">
        <f>IF(OFERTA!$P19="","",OFERTA!$P19*OFERTA!$E19)</f>
        <v>8217666.5176859507</v>
      </c>
      <c r="V19" s="344">
        <f>IF(OFERTA!$U19="","",OFERTA!$U19+OFERTA!$T19+OFERTA!$S19+OFERTA!$R19)</f>
        <v>12555715.343679383</v>
      </c>
      <c r="W19" s="348">
        <f>IF(OFERTA!$R19="","",OFERTA!$R19/OFERTA!$R$216)</f>
        <v>8.009573861395596E-4</v>
      </c>
      <c r="X19" s="348">
        <f>IF(OFERTA!$S19="","",OFERTA!$S19/OFERTA!$S$216)</f>
        <v>7.0319506999012567E-4</v>
      </c>
      <c r="Y19" s="348">
        <f>IF(OFERTA!$T19="","",OFERTA!$T19/OFERTA!$T$216)</f>
        <v>2.3828765394031943E-4</v>
      </c>
      <c r="Z19" s="348">
        <f>IF(OFERTA!$U19="","",OFERTA!$U19/OFERTA!$U$216)</f>
        <v>2.1239619824600159E-3</v>
      </c>
      <c r="AA19" s="349"/>
      <c r="AB19" s="344">
        <f>IF(AI19="","",AI19*OFERTA!$Q19)</f>
        <v>304415.44145454548</v>
      </c>
      <c r="AC19" s="344">
        <f>IF(AI19="","",OFERTA!$N19*AI19)</f>
        <v>10800</v>
      </c>
      <c r="AD19" s="344">
        <f>IF(AI19="","",OFERTA!$M19*AI19)</f>
        <v>39772.727272727272</v>
      </c>
      <c r="AE19" s="344">
        <f>IF(AI19="","",OFERTA!$P19*AI19)</f>
        <v>199238.71418181818</v>
      </c>
      <c r="AF19" s="344">
        <f>IF(AI19="","",OFERTA!$O19*AI19)</f>
        <v>54604</v>
      </c>
      <c r="AG19" s="343">
        <f t="shared" si="1"/>
        <v>41.245330012453302</v>
      </c>
      <c r="AH19" s="350">
        <v>7.27</v>
      </c>
      <c r="AI19" s="343">
        <f>IF('14'!$G$20=0,"",'14'!$G$20)</f>
        <v>160.6</v>
      </c>
      <c r="AJ19" s="350">
        <f t="shared" si="2"/>
        <v>1167.5619999999999</v>
      </c>
      <c r="AK19" s="350">
        <f t="shared" si="5"/>
        <v>0.18911201289524671</v>
      </c>
      <c r="AL19" s="350">
        <f>IF(AJ19="","",OFERTA!$E19/AJ19)</f>
        <v>5.673360386857401</v>
      </c>
      <c r="AR19" s="352"/>
    </row>
    <row r="20" spans="1:44" s="351" customFormat="1" ht="49.5" x14ac:dyDescent="0.3">
      <c r="A20" s="340" t="s">
        <v>438</v>
      </c>
      <c r="B20" s="341">
        <v>15</v>
      </c>
      <c r="C20" s="342" t="s">
        <v>372</v>
      </c>
      <c r="D20" s="343" t="s">
        <v>373</v>
      </c>
      <c r="E20" s="343">
        <v>2290</v>
      </c>
      <c r="F20" s="344">
        <f>IF('15'!$G$65=0,"",'15'!$G$65)</f>
        <v>2274.5861129853956</v>
      </c>
      <c r="G20" s="344">
        <f>IF(OFERTA!$C20="","",IF(OFERTA!$F20="","",OFERTA!$F20*OFERTA!$E20))</f>
        <v>5208802.1987365559</v>
      </c>
      <c r="H20" s="345">
        <f>+IF(OFERTA!$F20="","",OFERTA!$G20/OFERTA!$G$216)</f>
        <v>2.708939937953903E-4</v>
      </c>
      <c r="I20" s="346">
        <v>4956.3451855954854</v>
      </c>
      <c r="J20" s="346">
        <f t="shared" si="3"/>
        <v>11350030.475013662</v>
      </c>
      <c r="K20" s="346"/>
      <c r="L20" s="346">
        <f t="shared" si="4"/>
        <v>0</v>
      </c>
      <c r="M20" s="347">
        <f>+'15'!$N$28+'15'!$N$47</f>
        <v>247.6508547492358</v>
      </c>
      <c r="N20" s="347">
        <f>+'15'!$M$28+'15'!$M$47</f>
        <v>67.247820672478213</v>
      </c>
      <c r="O20" s="347">
        <f>IF('15'!$G$39=0,0,'15'!$G$39)</f>
        <v>340</v>
      </c>
      <c r="P20" s="347">
        <f>IF('15'!$G$55=0,0,'15'!$G$55)</f>
        <v>1240.5897520661158</v>
      </c>
      <c r="Q20" s="347">
        <f>+OFERTA!$M20+OFERTA!$N20+OFERTA!$O20+OFERTA!$P20</f>
        <v>1895.4884274878298</v>
      </c>
      <c r="R20" s="344">
        <f>IF(OFERTA!$M20="","",OFERTA!$M20*OFERTA!$E20)</f>
        <v>567120.45737574995</v>
      </c>
      <c r="S20" s="344">
        <f>IF(OFERTA!$N20="","",OFERTA!$N20*OFERTA!$E20)</f>
        <v>153997.50933997511</v>
      </c>
      <c r="T20" s="344">
        <f>IF(OFERTA!$O20="","",OFERTA!$O20*OFERTA!$E20)</f>
        <v>778600</v>
      </c>
      <c r="U20" s="344">
        <f>IF(OFERTA!$P20="","",OFERTA!$P20*OFERTA!$E20)</f>
        <v>2840950.5322314054</v>
      </c>
      <c r="V20" s="344">
        <f>IF(OFERTA!$U20="","",OFERTA!$U20+OFERTA!$T20+OFERTA!$S20+OFERTA!$R20)</f>
        <v>4340668.4989471305</v>
      </c>
      <c r="W20" s="348">
        <f>IF(OFERTA!$R20="","",OFERTA!$R20/OFERTA!$R$216)</f>
        <v>2.7690102872276437E-4</v>
      </c>
      <c r="X20" s="348">
        <f>IF(OFERTA!$S20="","",OFERTA!$S20/OFERTA!$S$216)</f>
        <v>2.4310336809743173E-4</v>
      </c>
      <c r="Y20" s="348">
        <f>IF(OFERTA!$T20="","",OFERTA!$T20/OFERTA!$T$216)</f>
        <v>8.237903495219376E-5</v>
      </c>
      <c r="Z20" s="348">
        <f>IF(OFERTA!$U20="","",OFERTA!$U20/OFERTA!$U$216)</f>
        <v>7.3428033511978221E-4</v>
      </c>
      <c r="AA20" s="349"/>
      <c r="AB20" s="344">
        <f>IF(AI20="","",AI20*OFERTA!$Q20)</f>
        <v>304415.44145454548</v>
      </c>
      <c r="AC20" s="344">
        <f>IF(AI20="","",OFERTA!$N20*AI20)</f>
        <v>10800</v>
      </c>
      <c r="AD20" s="344">
        <f>IF(AI20="","",OFERTA!$M20*AI20)</f>
        <v>39772.727272727272</v>
      </c>
      <c r="AE20" s="344">
        <f>IF(AI20="","",OFERTA!$P20*AI20)</f>
        <v>199238.71418181818</v>
      </c>
      <c r="AF20" s="344">
        <f>IF(AI20="","",OFERTA!$O20*AI20)</f>
        <v>54604</v>
      </c>
      <c r="AG20" s="343">
        <f t="shared" si="1"/>
        <v>14.259028642590286</v>
      </c>
      <c r="AH20" s="350">
        <v>7.27</v>
      </c>
      <c r="AI20" s="343">
        <f>IF('15'!$G$20=0,"",'15'!$G$20)</f>
        <v>160.6</v>
      </c>
      <c r="AJ20" s="350">
        <f t="shared" si="2"/>
        <v>1167.5619999999999</v>
      </c>
      <c r="AK20" s="350">
        <f t="shared" si="5"/>
        <v>6.5378398177855512E-2</v>
      </c>
      <c r="AL20" s="350">
        <f>IF(AJ20="","",OFERTA!$E20/AJ20)</f>
        <v>1.9613519453356654</v>
      </c>
      <c r="AR20" s="352"/>
    </row>
    <row r="21" spans="1:44" s="163" customFormat="1" ht="129.6" customHeight="1" x14ac:dyDescent="0.3">
      <c r="A21" s="145" t="s">
        <v>438</v>
      </c>
      <c r="B21" s="318">
        <v>16</v>
      </c>
      <c r="C21" s="307" t="s">
        <v>538</v>
      </c>
      <c r="D21" s="308" t="s">
        <v>374</v>
      </c>
      <c r="E21" s="308">
        <v>15900</v>
      </c>
      <c r="F21" s="309">
        <f>IF('16'!$G$65=0,"",'16'!$G$65)</f>
        <v>9902.8795696344896</v>
      </c>
      <c r="G21" s="309">
        <f>IF(OFERTA!$C21="","",IF(OFERTA!$F21="","",OFERTA!$F21*OFERTA!$E21))</f>
        <v>157455785.15718839</v>
      </c>
      <c r="H21" s="317">
        <f>+IF(OFERTA!$F21="","",OFERTA!$G21/OFERTA!$G$216)</f>
        <v>8.188797512365854E-3</v>
      </c>
      <c r="I21" s="310">
        <v>19175.270039311203</v>
      </c>
      <c r="J21" s="310">
        <f t="shared" si="3"/>
        <v>304886793.6250481</v>
      </c>
      <c r="K21" s="310"/>
      <c r="L21" s="310">
        <f t="shared" si="4"/>
        <v>0</v>
      </c>
      <c r="M21" s="311">
        <f>+'16'!$N$28+'16'!$N$47</f>
        <v>2240.510777881912</v>
      </c>
      <c r="N21" s="311">
        <f>+'16'!$M$28+'16'!$M$47</f>
        <v>445.36082474226805</v>
      </c>
      <c r="O21" s="311">
        <f>IF('16'!$G$39=0,0,'16'!$G$39)</f>
        <v>1348.5826666666667</v>
      </c>
      <c r="P21" s="311">
        <f>IF('16'!$G$55=0,0,'16'!$G$55)</f>
        <v>4217.9453720712281</v>
      </c>
      <c r="Q21" s="311">
        <f>+OFERTA!$M21+OFERTA!$N21+OFERTA!$O21+OFERTA!$P21</f>
        <v>8252.3996413620753</v>
      </c>
      <c r="R21" s="309">
        <f>IF(OFERTA!$M21="","",OFERTA!$M21*OFERTA!$E21)</f>
        <v>35624121.368322402</v>
      </c>
      <c r="S21" s="309">
        <f>IF(OFERTA!$N21="","",OFERTA!$N21*OFERTA!$E21)</f>
        <v>7081237.1134020621</v>
      </c>
      <c r="T21" s="309">
        <f>IF(OFERTA!$O21="","",OFERTA!$O21*OFERTA!$E21)</f>
        <v>21442464.399999999</v>
      </c>
      <c r="U21" s="309">
        <f>IF(OFERTA!$P21="","",OFERTA!$P21*OFERTA!$E21)</f>
        <v>67065331.415932529</v>
      </c>
      <c r="V21" s="309">
        <f>IF(OFERTA!$U21="","",OFERTA!$U21+OFERTA!$T21+OFERTA!$S21+OFERTA!$R21)</f>
        <v>131213154.297657</v>
      </c>
      <c r="W21" s="319">
        <f>IF(OFERTA!$R21="","",OFERTA!$R21/OFERTA!$R$216)</f>
        <v>1.739375775629512E-2</v>
      </c>
      <c r="X21" s="319">
        <f>IF(OFERTA!$S21="","",OFERTA!$S21/OFERTA!$S$216)</f>
        <v>1.1178574250601285E-2</v>
      </c>
      <c r="Y21" s="319">
        <f>IF(OFERTA!$T21="","",OFERTA!$T21/OFERTA!$T$216)</f>
        <v>2.268699620175662E-3</v>
      </c>
      <c r="Z21" s="319">
        <f>IF(OFERTA!$U21="","",OFERTA!$U21/OFERTA!$U$216)</f>
        <v>1.7333900561912013E-2</v>
      </c>
      <c r="AA21" s="140"/>
      <c r="AB21" s="309">
        <f>IF(AI21="","",AI21*OFERTA!$Q21)</f>
        <v>800482.7652121213</v>
      </c>
      <c r="AC21" s="309">
        <f>IF(AI21="","",OFERTA!$N21*AI21)</f>
        <v>43200</v>
      </c>
      <c r="AD21" s="309">
        <f>IF(AI21="","",OFERTA!$M21*AI21)</f>
        <v>217329.54545454547</v>
      </c>
      <c r="AE21" s="309">
        <f>IF(AI21="","",OFERTA!$P21*AI21)</f>
        <v>409140.70109090913</v>
      </c>
      <c r="AF21" s="309">
        <f>IF(AI21="","",OFERTA!$O21*AI21)</f>
        <v>130812.51866666667</v>
      </c>
      <c r="AG21" s="308">
        <f t="shared" si="1"/>
        <v>163.91752577319588</v>
      </c>
      <c r="AH21" s="312">
        <v>7.27</v>
      </c>
      <c r="AI21" s="308">
        <f>IF('16'!$G$20=0,"",'16'!$G$20)</f>
        <v>97</v>
      </c>
      <c r="AJ21" s="312">
        <f t="shared" si="2"/>
        <v>705.18999999999994</v>
      </c>
      <c r="AK21" s="312">
        <f t="shared" si="5"/>
        <v>0.75157049873083859</v>
      </c>
      <c r="AL21" s="312">
        <f>IF(AJ21="","",OFERTA!$E21/AJ21)</f>
        <v>22.547114961925157</v>
      </c>
      <c r="AR21" s="164"/>
    </row>
    <row r="22" spans="1:44" s="163" customFormat="1" ht="148.15" customHeight="1" x14ac:dyDescent="0.3">
      <c r="A22" s="145" t="s">
        <v>438</v>
      </c>
      <c r="B22" s="318">
        <v>17</v>
      </c>
      <c r="C22" s="307" t="s">
        <v>537</v>
      </c>
      <c r="D22" s="308" t="s">
        <v>374</v>
      </c>
      <c r="E22" s="308">
        <v>8200</v>
      </c>
      <c r="F22" s="309">
        <f>IF('17'!$G$65=0,"",'17'!$G$65)</f>
        <v>9128.6197220050981</v>
      </c>
      <c r="G22" s="309">
        <f>IF(OFERTA!$C22="","",IF(OFERTA!$F22="","",OFERTA!$F22*OFERTA!$E22))</f>
        <v>74854681.720441803</v>
      </c>
      <c r="H22" s="317">
        <f>+IF(OFERTA!$F22="","",OFERTA!$G22/OFERTA!$G$216)</f>
        <v>3.8929648145310299E-3</v>
      </c>
      <c r="I22" s="310">
        <v>17582.859733919275</v>
      </c>
      <c r="J22" s="310">
        <f t="shared" si="3"/>
        <v>144179449.81813806</v>
      </c>
      <c r="K22" s="310"/>
      <c r="L22" s="310">
        <f t="shared" si="4"/>
        <v>0</v>
      </c>
      <c r="M22" s="311">
        <f>+'17'!$N$28+'17'!$N$47</f>
        <v>2031.1172472387427</v>
      </c>
      <c r="N22" s="311">
        <f>+'17'!$M$28+'17'!$M$47</f>
        <v>403.73831775700933</v>
      </c>
      <c r="O22" s="311">
        <f>IF('17'!$G$39=0,0,'17'!$G$39)</f>
        <v>1348.5826666666667</v>
      </c>
      <c r="P22" s="311">
        <f>IF('17'!$G$55=0,0,'17'!$G$55)</f>
        <v>3823.7448700084969</v>
      </c>
      <c r="Q22" s="311">
        <f>+OFERTA!$M22+OFERTA!$N22+OFERTA!$O22+OFERTA!$P22</f>
        <v>7607.1831016709157</v>
      </c>
      <c r="R22" s="309">
        <f>IF(OFERTA!$M22="","",OFERTA!$M22*OFERTA!$E22)</f>
        <v>16655161.42735769</v>
      </c>
      <c r="S22" s="309">
        <f>IF(OFERTA!$N22="","",OFERTA!$N22*OFERTA!$E22)</f>
        <v>3310654.2056074766</v>
      </c>
      <c r="T22" s="309">
        <f>IF(OFERTA!$O22="","",OFERTA!$O22*OFERTA!$E22)</f>
        <v>11058377.866666667</v>
      </c>
      <c r="U22" s="309">
        <f>IF(OFERTA!$P22="","",OFERTA!$P22*OFERTA!$E22)</f>
        <v>31354707.934069674</v>
      </c>
      <c r="V22" s="309">
        <f>IF(OFERTA!$U22="","",OFERTA!$U22+OFERTA!$T22+OFERTA!$S22+OFERTA!$R22)</f>
        <v>62378901.4337015</v>
      </c>
      <c r="W22" s="319">
        <f>IF(OFERTA!$R22="","",OFERTA!$R22/OFERTA!$R$216)</f>
        <v>8.1320137067872438E-3</v>
      </c>
      <c r="X22" s="319">
        <f>IF(OFERTA!$S22="","",OFERTA!$S22/OFERTA!$S$216)</f>
        <v>5.2262610703157943E-3</v>
      </c>
      <c r="Y22" s="319">
        <f>IF(OFERTA!$T22="","",OFERTA!$T22/OFERTA!$T$216)</f>
        <v>1.1700211877635491E-3</v>
      </c>
      <c r="Z22" s="319">
        <f>IF(OFERTA!$U22="","",OFERTA!$U22/OFERTA!$U$216)</f>
        <v>8.104028981922539E-3</v>
      </c>
      <c r="AA22" s="140"/>
      <c r="AB22" s="309">
        <f>IF(AI22="","",AI22*OFERTA!$Q22)</f>
        <v>813968.59187878796</v>
      </c>
      <c r="AC22" s="309">
        <f>IF(AI22="","",OFERTA!$N22*AI22)</f>
        <v>43200</v>
      </c>
      <c r="AD22" s="309">
        <f>IF(AI22="","",OFERTA!$M22*AI22)</f>
        <v>217329.54545454547</v>
      </c>
      <c r="AE22" s="309">
        <f>IF(AI22="","",OFERTA!$P22*AI22)</f>
        <v>409140.70109090919</v>
      </c>
      <c r="AF22" s="309">
        <f>IF(AI22="","",OFERTA!$O22*AI22)</f>
        <v>144298.34533333333</v>
      </c>
      <c r="AG22" s="308">
        <f t="shared" si="1"/>
        <v>76.635514018691595</v>
      </c>
      <c r="AH22" s="312">
        <v>7.27</v>
      </c>
      <c r="AI22" s="308">
        <f>IF('17'!$G$20=0,"",'17'!$G$20)</f>
        <v>107</v>
      </c>
      <c r="AJ22" s="312">
        <f t="shared" si="2"/>
        <v>777.89</v>
      </c>
      <c r="AK22" s="312">
        <f t="shared" si="5"/>
        <v>0.3513778726212361</v>
      </c>
      <c r="AL22" s="312">
        <f>IF(AJ22="","",OFERTA!$E22/AJ22)</f>
        <v>10.541336178637083</v>
      </c>
      <c r="AR22" s="164"/>
    </row>
    <row r="23" spans="1:44" s="163" customFormat="1" ht="132" x14ac:dyDescent="0.3">
      <c r="A23" s="145" t="s">
        <v>438</v>
      </c>
      <c r="B23" s="318">
        <v>18</v>
      </c>
      <c r="C23" s="307" t="s">
        <v>539</v>
      </c>
      <c r="D23" s="308" t="s">
        <v>374</v>
      </c>
      <c r="E23" s="308">
        <v>6200</v>
      </c>
      <c r="F23" s="309">
        <f>IF('18'!$G$66=0,"",'18'!$G$66)</f>
        <v>8190.3726146419958</v>
      </c>
      <c r="G23" s="309">
        <f>IF(OFERTA!$C23="","",IF(OFERTA!$F23="","",OFERTA!$F23*OFERTA!$E23))</f>
        <v>50780310.210780375</v>
      </c>
      <c r="H23" s="317">
        <f>+IF(OFERTA!$F23="","",OFERTA!$G23/OFERTA!$G$216)</f>
        <v>2.6409298173203431E-3</v>
      </c>
      <c r="I23" s="310">
        <v>15689.654293576343</v>
      </c>
      <c r="J23" s="310">
        <f t="shared" si="3"/>
        <v>97275856.62017332</v>
      </c>
      <c r="K23" s="310"/>
      <c r="L23" s="310">
        <f t="shared" si="4"/>
        <v>0</v>
      </c>
      <c r="M23" s="311"/>
      <c r="N23" s="311">
        <f>+'18'!$M$29+'18'!$M$48</f>
        <v>191.15044247787611</v>
      </c>
      <c r="O23" s="311">
        <f>IF('18'!$G$40=0,0,'18'!$G$40)</f>
        <v>0</v>
      </c>
      <c r="P23" s="311">
        <f>IF('18'!$G$56=0,0,'18'!$G$56)</f>
        <v>3171.1566468222045</v>
      </c>
      <c r="Q23" s="311">
        <f>+OFERTA!$M23+OFERTA!$N23+OFERTA!$O23+OFERTA!$P23</f>
        <v>3362.3070893000804</v>
      </c>
      <c r="R23" s="309">
        <v>0</v>
      </c>
      <c r="S23" s="309">
        <f>IF(OFERTA!$N23="","",OFERTA!$N23*OFERTA!$E23)</f>
        <v>1185132.7433628319</v>
      </c>
      <c r="T23" s="309">
        <f>IF(OFERTA!$O23="","",OFERTA!$O23*OFERTA!$E23)</f>
        <v>0</v>
      </c>
      <c r="U23" s="309">
        <f>IF(OFERTA!$P23="","",OFERTA!$P23*OFERTA!$E23)</f>
        <v>19661171.210297666</v>
      </c>
      <c r="V23" s="309">
        <f>IF(OFERTA!$U23="","",OFERTA!$U23+OFERTA!$T23+OFERTA!$S23+OFERTA!$R23)</f>
        <v>20846303.953660499</v>
      </c>
      <c r="W23" s="319">
        <f>IF(OFERTA!$R23="","",OFERTA!$R23/OFERTA!$R$216)</f>
        <v>0</v>
      </c>
      <c r="X23" s="319">
        <f>IF(OFERTA!$S23="","",OFERTA!$S23/OFERTA!$S$216)</f>
        <v>1.8708728653396816E-3</v>
      </c>
      <c r="Y23" s="319">
        <f>IF(OFERTA!$T23="","",OFERTA!$T23/OFERTA!$T$216)</f>
        <v>0</v>
      </c>
      <c r="Z23" s="319">
        <f>IF(OFERTA!$U23="","",OFERTA!$U23/OFERTA!$U$216)</f>
        <v>5.0816834792985601E-3</v>
      </c>
      <c r="AA23" s="140"/>
      <c r="AB23" s="309">
        <f>IF(AI23="","",AI23*OFERTA!$Q23)</f>
        <v>379940.70109090907</v>
      </c>
      <c r="AC23" s="309">
        <f>IF(AI23="","",OFERTA!$N23*AI23)</f>
        <v>21600</v>
      </c>
      <c r="AD23" s="309">
        <f>IF(AI23="","",OFERTA!$M23*AI23)</f>
        <v>0</v>
      </c>
      <c r="AE23" s="309">
        <f>IF(AI23="","",OFERTA!$P23*AI23)</f>
        <v>358340.70109090913</v>
      </c>
      <c r="AF23" s="309">
        <f>IF(AI23="","",OFERTA!$O23*AI23)</f>
        <v>0</v>
      </c>
      <c r="AG23" s="308">
        <f t="shared" si="1"/>
        <v>54.86725663716814</v>
      </c>
      <c r="AH23" s="312">
        <v>7.27</v>
      </c>
      <c r="AI23" s="308">
        <f>IF('18'!$G$20=0,"",'18'!$G$20)</f>
        <v>113</v>
      </c>
      <c r="AJ23" s="312">
        <f t="shared" si="2"/>
        <v>821.51</v>
      </c>
      <c r="AK23" s="312">
        <f t="shared" si="5"/>
        <v>0.25156926472796032</v>
      </c>
      <c r="AL23" s="312">
        <f>IF(AJ23="","",OFERTA!$E23/AJ23)</f>
        <v>7.5470779418388094</v>
      </c>
      <c r="AR23" s="164"/>
    </row>
    <row r="24" spans="1:44" s="351" customFormat="1" ht="147" customHeight="1" x14ac:dyDescent="0.3">
      <c r="A24" s="340" t="s">
        <v>438</v>
      </c>
      <c r="B24" s="341">
        <v>19</v>
      </c>
      <c r="C24" s="342" t="s">
        <v>535</v>
      </c>
      <c r="D24" s="343" t="s">
        <v>374</v>
      </c>
      <c r="E24" s="343">
        <v>211148</v>
      </c>
      <c r="F24" s="344">
        <f>IF('19'!$G$64=0,"",'19'!$G$64)</f>
        <v>6667.9651094214878</v>
      </c>
      <c r="G24" s="344">
        <f>IF(OFERTA!$C24="","",IF(OFERTA!$F24="","",OFERTA!$F24*OFERTA!$E24))</f>
        <v>1407927496.9241283</v>
      </c>
      <c r="H24" s="345">
        <f>+IF(OFERTA!$F24="","",OFERTA!$G24/OFERTA!$G$216)</f>
        <v>7.3222036096635842E-2</v>
      </c>
      <c r="I24" s="346">
        <v>12527.389907224906</v>
      </c>
      <c r="J24" s="346">
        <f t="shared" si="3"/>
        <v>2645133324.1307244</v>
      </c>
      <c r="K24" s="346"/>
      <c r="L24" s="346">
        <f t="shared" si="4"/>
        <v>0</v>
      </c>
      <c r="M24" s="347">
        <f>+'19'!$N$28+'19'!$N$47</f>
        <v>1317.1487603305786</v>
      </c>
      <c r="N24" s="347">
        <f>+'19'!$M$28+'19'!$M$47</f>
        <v>261.81818181818181</v>
      </c>
      <c r="O24" s="347">
        <f>IF('19'!$G$39=0,0,'19'!$G$39)</f>
        <v>1348.5826666666667</v>
      </c>
      <c r="P24" s="347">
        <f>IF('19'!$G$55=0,0,'19'!$G$55)</f>
        <v>2629.0879823691462</v>
      </c>
      <c r="Q24" s="347">
        <f>+OFERTA!$M24+OFERTA!$N24+OFERTA!$O24+OFERTA!$P24</f>
        <v>5556.6375911845735</v>
      </c>
      <c r="R24" s="344">
        <f>IF(OFERTA!$M24="","",OFERTA!$M24*OFERTA!$E24)</f>
        <v>278113326.44628102</v>
      </c>
      <c r="S24" s="344">
        <f>IF(OFERTA!$N24="","",OFERTA!$N24*OFERTA!$E24)</f>
        <v>55282385.454545453</v>
      </c>
      <c r="T24" s="344">
        <f>IF(OFERTA!$O24="","",OFERTA!$O24*OFERTA!$E24)</f>
        <v>284750532.90133333</v>
      </c>
      <c r="U24" s="344">
        <f>IF(OFERTA!$P24="","",OFERTA!$P24*OFERTA!$E24)</f>
        <v>555126669.3012805</v>
      </c>
      <c r="V24" s="344">
        <f>IF(OFERTA!$U24="","",OFERTA!$U24+OFERTA!$T24+OFERTA!$S24+OFERTA!$R24)</f>
        <v>1173272914.1034403</v>
      </c>
      <c r="W24" s="348">
        <f>IF(OFERTA!$R24="","",OFERTA!$R24/OFERTA!$R$216)</f>
        <v>0.13579102145395142</v>
      </c>
      <c r="X24" s="348">
        <f>IF(OFERTA!$S24="","",OFERTA!$S24/OFERTA!$S$216)</f>
        <v>8.7269814674670515E-2</v>
      </c>
      <c r="Y24" s="348">
        <f>IF(OFERTA!$T24="","",OFERTA!$T24/OFERTA!$T$216)</f>
        <v>3.0127760213889979E-2</v>
      </c>
      <c r="Z24" s="348">
        <f>IF(OFERTA!$U24="","",OFERTA!$U24/OFERTA!$U$216)</f>
        <v>0.14347965307523727</v>
      </c>
      <c r="AA24" s="349"/>
      <c r="AB24" s="344">
        <f>IF(AI24="","",AI24*OFERTA!$Q24)</f>
        <v>916845.20254545461</v>
      </c>
      <c r="AC24" s="344">
        <f>IF(AI24="","",OFERTA!$N24*AI24)</f>
        <v>43200</v>
      </c>
      <c r="AD24" s="344">
        <f>IF(AI24="","",OFERTA!$M24*AI24)</f>
        <v>217329.54545454547</v>
      </c>
      <c r="AE24" s="344">
        <f>IF(AI24="","",OFERTA!$P24*AI24)</f>
        <v>433799.51709090912</v>
      </c>
      <c r="AF24" s="344">
        <f>IF(AI24="","",OFERTA!$O24*AI24)</f>
        <v>222516.14</v>
      </c>
      <c r="AG24" s="343">
        <f t="shared" si="1"/>
        <v>1279.6848484848485</v>
      </c>
      <c r="AH24" s="350">
        <v>7.27</v>
      </c>
      <c r="AI24" s="343">
        <f>IF('19'!$G$20=0,"",'19'!$G$20)</f>
        <v>165</v>
      </c>
      <c r="AJ24" s="350">
        <f t="shared" si="2"/>
        <v>1199.55</v>
      </c>
      <c r="AK24" s="350">
        <f t="shared" si="5"/>
        <v>5.8674225056618461</v>
      </c>
      <c r="AL24" s="350">
        <f>IF(AJ24="","",OFERTA!$E24/AJ24)</f>
        <v>176.02267516985538</v>
      </c>
      <c r="AR24" s="352"/>
    </row>
    <row r="25" spans="1:44" s="351" customFormat="1" ht="110.45" customHeight="1" x14ac:dyDescent="0.3">
      <c r="A25" s="340" t="s">
        <v>438</v>
      </c>
      <c r="B25" s="341">
        <v>20</v>
      </c>
      <c r="C25" s="342" t="s">
        <v>536</v>
      </c>
      <c r="D25" s="343" t="s">
        <v>373</v>
      </c>
      <c r="E25" s="343">
        <v>1920</v>
      </c>
      <c r="F25" s="344">
        <f>IF('20'!$G$65=0,"",'20'!$G$65)</f>
        <v>54170.966382189232</v>
      </c>
      <c r="G25" s="344">
        <f>IF(OFERTA!$C25="","",IF(OFERTA!$F25="","",OFERTA!$F25*OFERTA!$E25))</f>
        <v>104008255.45380333</v>
      </c>
      <c r="H25" s="345">
        <f>+IF(OFERTA!$F25="","",OFERTA!$G25/OFERTA!$G$216)</f>
        <v>5.4091537041675592E-3</v>
      </c>
      <c r="I25" s="346">
        <v>66836.415054274767</v>
      </c>
      <c r="J25" s="346">
        <f t="shared" si="3"/>
        <v>128325916.90420756</v>
      </c>
      <c r="K25" s="346"/>
      <c r="L25" s="346">
        <f t="shared" si="4"/>
        <v>0</v>
      </c>
      <c r="M25" s="347">
        <f>+'20'!$N$28+'20'!$N$47</f>
        <v>7537.1057513914657</v>
      </c>
      <c r="N25" s="347">
        <f>+'20'!$M$28+'20'!$M$47</f>
        <v>4408.1632653061224</v>
      </c>
      <c r="O25" s="347">
        <f>IF('20'!$G$39=0,0,'20'!$G$39)</f>
        <v>6091.6</v>
      </c>
      <c r="P25" s="347">
        <f>IF('20'!$G$55=0,0,'20'!$G$55)</f>
        <v>27105.602968460109</v>
      </c>
      <c r="Q25" s="347">
        <f>+OFERTA!$M25+OFERTA!$N25+OFERTA!$O25+OFERTA!$P25</f>
        <v>45142.471985157696</v>
      </c>
      <c r="R25" s="344">
        <f>IF(OFERTA!$M25="","",OFERTA!$M25*OFERTA!$E25)</f>
        <v>14471243.042671613</v>
      </c>
      <c r="S25" s="344">
        <f>IF(OFERTA!$N25="","",OFERTA!$N25*OFERTA!$E25)</f>
        <v>8463673.4693877548</v>
      </c>
      <c r="T25" s="344">
        <f>IF(OFERTA!$O25="","",OFERTA!$O25*OFERTA!$E25)</f>
        <v>11695872</v>
      </c>
      <c r="U25" s="344">
        <f>IF(OFERTA!$P25="","",OFERTA!$P25*OFERTA!$E25)</f>
        <v>52042757.699443407</v>
      </c>
      <c r="V25" s="344">
        <f>IF(OFERTA!$U25="","",OFERTA!$U25+OFERTA!$T25+OFERTA!$S25+OFERTA!$R25)</f>
        <v>86673546.21150279</v>
      </c>
      <c r="W25" s="348">
        <f>IF(OFERTA!$R25="","",OFERTA!$R25/OFERTA!$R$216)</f>
        <v>7.0656983596660856E-3</v>
      </c>
      <c r="X25" s="348">
        <f>IF(OFERTA!$S25="","",OFERTA!$S25/OFERTA!$S$216)</f>
        <v>1.3360914314157252E-2</v>
      </c>
      <c r="Y25" s="348">
        <f>IF(OFERTA!$T25="","",OFERTA!$T25/OFERTA!$T$216)</f>
        <v>1.2374706502496589E-3</v>
      </c>
      <c r="Z25" s="348">
        <f>IF(OFERTA!$U25="","",OFERTA!$U25/OFERTA!$U$216)</f>
        <v>1.3451122478394589E-2</v>
      </c>
      <c r="AA25" s="349"/>
      <c r="AB25" s="344">
        <f>IF(AI25="","",AI25*OFERTA!$Q25)</f>
        <v>221198.11272727273</v>
      </c>
      <c r="AC25" s="344">
        <f>IF(AI25="","",OFERTA!$N25*AI25)</f>
        <v>21600</v>
      </c>
      <c r="AD25" s="344">
        <f>IF(AI25="","",OFERTA!$M25*AI25)</f>
        <v>36931.818181818184</v>
      </c>
      <c r="AE25" s="344">
        <f>IF(AI25="","",OFERTA!$P25*AI25)</f>
        <v>132817.45454545453</v>
      </c>
      <c r="AF25" s="344">
        <f>IF(AI25="","",OFERTA!$O25*AI25)</f>
        <v>29848.840000000004</v>
      </c>
      <c r="AG25" s="343">
        <f t="shared" si="1"/>
        <v>391.83673469387753</v>
      </c>
      <c r="AH25" s="350">
        <v>7.27</v>
      </c>
      <c r="AI25" s="343">
        <f>IF('20'!$G$20=0,"",'20'!$G$20)</f>
        <v>4.9000000000000004</v>
      </c>
      <c r="AJ25" s="350">
        <f t="shared" si="2"/>
        <v>35.622999999999998</v>
      </c>
      <c r="AK25" s="350">
        <f t="shared" si="5"/>
        <v>1.7965920893804566</v>
      </c>
      <c r="AL25" s="350">
        <f>IF(AJ25="","",OFERTA!$E25/AJ25)</f>
        <v>53.897762681413695</v>
      </c>
      <c r="AR25" s="352"/>
    </row>
    <row r="26" spans="1:44" s="163" customFormat="1" ht="111.6" customHeight="1" x14ac:dyDescent="0.3">
      <c r="A26" s="145" t="s">
        <v>438</v>
      </c>
      <c r="B26" s="318">
        <v>21</v>
      </c>
      <c r="C26" s="307" t="s">
        <v>540</v>
      </c>
      <c r="D26" s="308" t="s">
        <v>373</v>
      </c>
      <c r="E26" s="308">
        <v>30</v>
      </c>
      <c r="F26" s="309">
        <f>IF('21'!$G$65=0,"",'21'!$G$65)</f>
        <v>482657.9767572633</v>
      </c>
      <c r="G26" s="309">
        <f>IF(OFERTA!$C26="","",IF(OFERTA!$F26="","",OFERTA!$F26*OFERTA!$E26))</f>
        <v>14479739.302717898</v>
      </c>
      <c r="H26" s="317">
        <f>+IF(OFERTA!$F26="","",OFERTA!$G26/OFERTA!$G$216)</f>
        <v>7.530472955530476E-4</v>
      </c>
      <c r="I26" s="310">
        <v>550439.15827444883</v>
      </c>
      <c r="J26" s="310">
        <f t="shared" si="3"/>
        <v>16513174.748233465</v>
      </c>
      <c r="K26" s="310"/>
      <c r="L26" s="310">
        <f t="shared" si="4"/>
        <v>0</v>
      </c>
      <c r="M26" s="311">
        <f>+'21'!$N$28+'21'!$N$47</f>
        <v>38074.039362699157</v>
      </c>
      <c r="N26" s="311">
        <f>+'21'!$M$28+'21'!$M$47</f>
        <v>22268.041237113404</v>
      </c>
      <c r="O26" s="311">
        <f>IF('21'!$G$39=0,0,'21'!$G$39)</f>
        <v>75419.666666666657</v>
      </c>
      <c r="P26" s="311">
        <f>IF('21'!$G$55=0,0,'21'!$G$55)</f>
        <v>266453.23336457356</v>
      </c>
      <c r="Q26" s="311">
        <f>+OFERTA!$M26+OFERTA!$N26+OFERTA!$O26+OFERTA!$P26</f>
        <v>402214.98063105275</v>
      </c>
      <c r="R26" s="309">
        <f>IF(OFERTA!$M26="","",OFERTA!$M26*OFERTA!$E26)</f>
        <v>1142221.1808809747</v>
      </c>
      <c r="S26" s="309">
        <f>IF(OFERTA!$N26="","",OFERTA!$N26*OFERTA!$E26)</f>
        <v>668041.23711340211</v>
      </c>
      <c r="T26" s="309">
        <f>IF(OFERTA!$O26="","",OFERTA!$O26*OFERTA!$E26)</f>
        <v>2262589.9999999995</v>
      </c>
      <c r="U26" s="309">
        <f>IF(OFERTA!$P26="","",OFERTA!$P26*OFERTA!$E26)</f>
        <v>7993597.0009372067</v>
      </c>
      <c r="V26" s="309">
        <f>IF(OFERTA!$U26="","",OFERTA!$U26+OFERTA!$T26+OFERTA!$S26+OFERTA!$R26)</f>
        <v>12066449.418931583</v>
      </c>
      <c r="W26" s="319">
        <f>IF(OFERTA!$R26="","",OFERTA!$R26/OFERTA!$R$216)</f>
        <v>5.5769848521848944E-4</v>
      </c>
      <c r="X26" s="319">
        <f>IF(OFERTA!$S26="","",OFERTA!$S26/OFERTA!$S$216)</f>
        <v>1.0545824764718193E-3</v>
      </c>
      <c r="Y26" s="319">
        <f>IF(OFERTA!$T26="","",OFERTA!$T26/OFERTA!$T$216)</f>
        <v>2.3939119020355003E-4</v>
      </c>
      <c r="Z26" s="319">
        <f>IF(OFERTA!$U26="","",OFERTA!$U26/OFERTA!$U$216)</f>
        <v>2.0660483236399287E-3</v>
      </c>
      <c r="AA26" s="140"/>
      <c r="AB26" s="309">
        <f>IF(AI26="","",AI26*OFERTA!$Q26)</f>
        <v>390148.53121212113</v>
      </c>
      <c r="AC26" s="309">
        <f>IF(AI26="","",OFERTA!$N26*AI26)</f>
        <v>21600</v>
      </c>
      <c r="AD26" s="309">
        <f>IF(AI26="","",OFERTA!$M26*AI26)</f>
        <v>36931.818181818184</v>
      </c>
      <c r="AE26" s="309">
        <f>IF(AI26="","",OFERTA!$P26*AI26)</f>
        <v>258459.63636363635</v>
      </c>
      <c r="AF26" s="309">
        <f>IF(AI26="","",OFERTA!$O26*AI26)</f>
        <v>73157.07666666666</v>
      </c>
      <c r="AG26" s="308">
        <f t="shared" si="1"/>
        <v>30.927835051546392</v>
      </c>
      <c r="AH26" s="312">
        <v>7.27</v>
      </c>
      <c r="AI26" s="308">
        <f>IF('21'!$G$20=0,"",'21'!$G$20)</f>
        <v>0.97</v>
      </c>
      <c r="AJ26" s="312">
        <f t="shared" si="2"/>
        <v>7.0518999999999998</v>
      </c>
      <c r="AK26" s="312">
        <f t="shared" si="5"/>
        <v>0.1418057544775167</v>
      </c>
      <c r="AL26" s="312">
        <f>IF(AJ26="","",OFERTA!$E26/AJ26)</f>
        <v>4.2541726343255011</v>
      </c>
      <c r="AR26" s="164"/>
    </row>
    <row r="27" spans="1:44" s="163" customFormat="1" ht="138" customHeight="1" x14ac:dyDescent="0.3">
      <c r="A27" s="145" t="s">
        <v>438</v>
      </c>
      <c r="B27" s="318">
        <v>22</v>
      </c>
      <c r="C27" s="307" t="s">
        <v>541</v>
      </c>
      <c r="D27" s="308" t="s">
        <v>373</v>
      </c>
      <c r="E27" s="308">
        <v>42</v>
      </c>
      <c r="F27" s="309">
        <f>IF('22'!$G$65=0,"",'22'!$G$65)</f>
        <v>527733.192476489</v>
      </c>
      <c r="G27" s="309">
        <f>IF(OFERTA!$C27="","",IF(OFERTA!$F27="","",OFERTA!$F27*OFERTA!$E27))</f>
        <v>22164794.084012538</v>
      </c>
      <c r="H27" s="317">
        <f>+IF(OFERTA!$F27="","",OFERTA!$G27/OFERTA!$G$216)</f>
        <v>1.1527236708138002E-3</v>
      </c>
      <c r="I27" s="310">
        <v>601291.71030494315</v>
      </c>
      <c r="J27" s="310">
        <f t="shared" si="3"/>
        <v>25254251.832807612</v>
      </c>
      <c r="K27" s="310"/>
      <c r="L27" s="310">
        <f t="shared" si="4"/>
        <v>0</v>
      </c>
      <c r="M27" s="311">
        <f>+'22'!$N$28+'22'!$N$47</f>
        <v>42450.365726227799</v>
      </c>
      <c r="N27" s="311">
        <f>+'22'!$M$28+'22'!$M$47</f>
        <v>24827.586206896551</v>
      </c>
      <c r="O27" s="311">
        <f>IF('22'!$G$39=0,0,'22'!$G$39)</f>
        <v>75419.666666666657</v>
      </c>
      <c r="P27" s="311">
        <f>IF('22'!$G$55=0,0,'22'!$G$55)</f>
        <v>297080.04179728322</v>
      </c>
      <c r="Q27" s="311">
        <f>+OFERTA!$M27+OFERTA!$N27+OFERTA!$O27+OFERTA!$P27</f>
        <v>439777.66039707424</v>
      </c>
      <c r="R27" s="309">
        <f>IF(OFERTA!$M27="","",OFERTA!$M27*OFERTA!$E27)</f>
        <v>1782915.3605015676</v>
      </c>
      <c r="S27" s="309">
        <f>IF(OFERTA!$N27="","",OFERTA!$N27*OFERTA!$E27)</f>
        <v>1042758.6206896552</v>
      </c>
      <c r="T27" s="309">
        <f>IF(OFERTA!$O27="","",OFERTA!$O27*OFERTA!$E27)</f>
        <v>3167625.9999999995</v>
      </c>
      <c r="U27" s="309">
        <f>IF(OFERTA!$P27="","",OFERTA!$P27*OFERTA!$E27)</f>
        <v>12477361.755485896</v>
      </c>
      <c r="V27" s="309">
        <f>IF(OFERTA!$U27="","",OFERTA!$U27+OFERTA!$T27+OFERTA!$S27+OFERTA!$R27)</f>
        <v>18470661.736677118</v>
      </c>
      <c r="W27" s="319">
        <f>IF(OFERTA!$R27="","",OFERTA!$R27/OFERTA!$R$216)</f>
        <v>8.7052246313414788E-4</v>
      </c>
      <c r="X27" s="319">
        <f>IF(OFERTA!$S27="","",OFERTA!$S27/OFERTA!$S$216)</f>
        <v>1.6461183943088857E-3</v>
      </c>
      <c r="Y27" s="319">
        <f>IF(OFERTA!$T27="","",OFERTA!$T27/OFERTA!$T$216)</f>
        <v>3.3514766628497006E-4</v>
      </c>
      <c r="Z27" s="319">
        <f>IF(OFERTA!$U27="","",OFERTA!$U27/OFERTA!$U$216)</f>
        <v>3.224935199428763E-3</v>
      </c>
      <c r="AA27" s="140"/>
      <c r="AB27" s="309">
        <f>IF(AI27="","",AI27*OFERTA!$Q27)</f>
        <v>382606.56454545457</v>
      </c>
      <c r="AC27" s="309">
        <f>IF(AI27="","",OFERTA!$N27*AI27)</f>
        <v>21600</v>
      </c>
      <c r="AD27" s="309">
        <f>IF(AI27="","",OFERTA!$M27*AI27)</f>
        <v>36931.818181818184</v>
      </c>
      <c r="AE27" s="309">
        <f>IF(AI27="","",OFERTA!$P27*AI27)</f>
        <v>258459.63636363641</v>
      </c>
      <c r="AF27" s="309">
        <f>IF(AI27="","",OFERTA!$O27*AI27)</f>
        <v>65615.109999999986</v>
      </c>
      <c r="AG27" s="308">
        <f t="shared" si="1"/>
        <v>48.275862068965516</v>
      </c>
      <c r="AH27" s="312">
        <v>7.27</v>
      </c>
      <c r="AI27" s="308">
        <f>IF('22'!$G$20=0,"",'22'!$G$20)</f>
        <v>0.87</v>
      </c>
      <c r="AJ27" s="312">
        <f t="shared" si="2"/>
        <v>6.3248999999999995</v>
      </c>
      <c r="AK27" s="312">
        <f t="shared" si="5"/>
        <v>0.22134737308099733</v>
      </c>
      <c r="AL27" s="312">
        <f>IF(AJ27="","",OFERTA!$E27/AJ27)</f>
        <v>6.6404211924299199</v>
      </c>
      <c r="AR27" s="164"/>
    </row>
    <row r="28" spans="1:44" s="163" customFormat="1" ht="117" customHeight="1" x14ac:dyDescent="0.3">
      <c r="A28" s="145" t="s">
        <v>438</v>
      </c>
      <c r="B28" s="318">
        <v>23</v>
      </c>
      <c r="C28" s="307" t="s">
        <v>542</v>
      </c>
      <c r="D28" s="308" t="s">
        <v>373</v>
      </c>
      <c r="E28" s="308">
        <v>30</v>
      </c>
      <c r="F28" s="309">
        <f>IF('23'!$G$65=0,"",'23'!$G$65)</f>
        <v>584516.25643447461</v>
      </c>
      <c r="G28" s="309">
        <f>IF(OFERTA!$C28="","",IF(OFERTA!$F28="","",OFERTA!$F28*OFERTA!$E28))</f>
        <v>17535487.693034239</v>
      </c>
      <c r="H28" s="317">
        <f>+IF(OFERTA!$F28="","",OFERTA!$G28/OFERTA!$G$216)</f>
        <v>9.1196749522724828E-4</v>
      </c>
      <c r="I28" s="310">
        <v>664857.40034306096</v>
      </c>
      <c r="J28" s="310">
        <f t="shared" si="3"/>
        <v>19945722.01029183</v>
      </c>
      <c r="K28" s="310"/>
      <c r="L28" s="310">
        <f t="shared" si="4"/>
        <v>0</v>
      </c>
      <c r="M28" s="311">
        <f>+'23'!$N$28+'23'!$N$47</f>
        <v>47963.400236127505</v>
      </c>
      <c r="N28" s="311">
        <f>+'23'!$M$28+'23'!$M$47</f>
        <v>28051.948051948053</v>
      </c>
      <c r="O28" s="311">
        <f>IF('23'!$G$39=0,0,'23'!$G$39)</f>
        <v>75419.666666666657</v>
      </c>
      <c r="P28" s="311">
        <f>IF('23'!$G$55=0,0,'23'!$G$55)</f>
        <v>335661.86540731997</v>
      </c>
      <c r="Q28" s="311">
        <f>+OFERTA!$M28+OFERTA!$N28+OFERTA!$O28+OFERTA!$P28</f>
        <v>487096.88036206219</v>
      </c>
      <c r="R28" s="309">
        <f>IF(OFERTA!$M28="","",OFERTA!$M28*OFERTA!$E28)</f>
        <v>1438902.0070838251</v>
      </c>
      <c r="S28" s="309">
        <f>IF(OFERTA!$N28="","",OFERTA!$N28*OFERTA!$E28)</f>
        <v>841558.44155844161</v>
      </c>
      <c r="T28" s="309">
        <f>IF(OFERTA!$O28="","",OFERTA!$O28*OFERTA!$E28)</f>
        <v>2262589.9999999995</v>
      </c>
      <c r="U28" s="309">
        <f>IF(OFERTA!$P28="","",OFERTA!$P28*OFERTA!$E28)</f>
        <v>10069855.9622196</v>
      </c>
      <c r="V28" s="309">
        <f>IF(OFERTA!$U28="","",OFERTA!$U28+OFERTA!$T28+OFERTA!$S28+OFERTA!$R28)</f>
        <v>14612906.410861867</v>
      </c>
      <c r="W28" s="319">
        <f>IF(OFERTA!$R28="","",OFERTA!$R28/OFERTA!$R$216)</f>
        <v>7.0255523462588914E-4</v>
      </c>
      <c r="X28" s="319">
        <f>IF(OFERTA!$S28="","",OFERTA!$S28/OFERTA!$S$216)</f>
        <v>1.328500002828136E-3</v>
      </c>
      <c r="Y28" s="319">
        <f>IF(OFERTA!$T28="","",OFERTA!$T28/OFERTA!$T$216)</f>
        <v>2.3939119020355003E-4</v>
      </c>
      <c r="Z28" s="319">
        <f>IF(OFERTA!$U28="","",OFERTA!$U28/OFERTA!$U$216)</f>
        <v>2.6026842518580922E-3</v>
      </c>
      <c r="AA28" s="140"/>
      <c r="AB28" s="309">
        <f>IF(AI28="","",AI28*OFERTA!$Q28)</f>
        <v>375064.5978787879</v>
      </c>
      <c r="AC28" s="309">
        <f>IF(AI28="","",OFERTA!$N28*AI28)</f>
        <v>21600</v>
      </c>
      <c r="AD28" s="309">
        <f>IF(AI28="","",OFERTA!$M28*AI28)</f>
        <v>36931.818181818177</v>
      </c>
      <c r="AE28" s="309">
        <f>IF(AI28="","",OFERTA!$P28*AI28)</f>
        <v>258459.63636363638</v>
      </c>
      <c r="AF28" s="309">
        <f>IF(AI28="","",OFERTA!$O28*AI28)</f>
        <v>58073.143333333326</v>
      </c>
      <c r="AG28" s="308">
        <f t="shared" si="1"/>
        <v>38.961038961038959</v>
      </c>
      <c r="AH28" s="312">
        <v>7.27</v>
      </c>
      <c r="AI28" s="308">
        <f>IF('23'!$G$20=0,"",'23'!$G$20)</f>
        <v>0.77</v>
      </c>
      <c r="AJ28" s="312">
        <f t="shared" si="2"/>
        <v>5.5979000000000001</v>
      </c>
      <c r="AK28" s="312">
        <f t="shared" si="5"/>
        <v>0.1786384179781704</v>
      </c>
      <c r="AL28" s="312">
        <f>IF(AJ28="","",OFERTA!$E28/AJ28)</f>
        <v>5.3591525393451116</v>
      </c>
      <c r="AR28" s="164"/>
    </row>
    <row r="29" spans="1:44" s="163" customFormat="1" ht="99" x14ac:dyDescent="0.3">
      <c r="A29" s="145" t="s">
        <v>438</v>
      </c>
      <c r="B29" s="318">
        <v>24</v>
      </c>
      <c r="C29" s="307" t="s">
        <v>543</v>
      </c>
      <c r="D29" s="308" t="s">
        <v>373</v>
      </c>
      <c r="E29" s="308">
        <v>3</v>
      </c>
      <c r="F29" s="309">
        <f>IF('24'!$G$65=0,"",'24'!$G$65)</f>
        <v>2969776.7272727275</v>
      </c>
      <c r="G29" s="309">
        <f>IF(OFERTA!$C29="","",IF(OFERTA!$F29="","",OFERTA!$F29*OFERTA!$E29))</f>
        <v>8909330.1818181835</v>
      </c>
      <c r="H29" s="317">
        <f>+IF(OFERTA!$F29="","",OFERTA!$G29/OFERTA!$G$216)</f>
        <v>4.6334722320228475E-4</v>
      </c>
      <c r="I29" s="310">
        <v>3004011.3982830471</v>
      </c>
      <c r="J29" s="310">
        <f t="shared" si="3"/>
        <v>9012034.1948491409</v>
      </c>
      <c r="K29" s="310"/>
      <c r="L29" s="310">
        <f t="shared" si="4"/>
        <v>0</v>
      </c>
      <c r="M29" s="311">
        <f>+'24'!$N$28+'24'!$N$47</f>
        <v>41035.353535353534</v>
      </c>
      <c r="N29" s="311">
        <f>+'24'!$M$28+'24'!$M$47</f>
        <v>24000</v>
      </c>
      <c r="O29" s="311">
        <f>IF('24'!$G$39=0,0,'24'!$G$39)</f>
        <v>2306800</v>
      </c>
      <c r="P29" s="311">
        <f>IF('24'!$G$55=0,0,'24'!$G$55)</f>
        <v>102978.58585858587</v>
      </c>
      <c r="Q29" s="311">
        <f>+OFERTA!$M29+OFERTA!$N29+OFERTA!$O29+OFERTA!$P29</f>
        <v>2474813.9393939395</v>
      </c>
      <c r="R29" s="309">
        <f>IF(OFERTA!$M29="","",OFERTA!$M29*OFERTA!$E29)</f>
        <v>123106.06060606061</v>
      </c>
      <c r="S29" s="309">
        <f>IF(OFERTA!$N29="","",OFERTA!$N29*OFERTA!$E29)</f>
        <v>72000</v>
      </c>
      <c r="T29" s="309">
        <f>IF(OFERTA!$O29="","",OFERTA!$O29*OFERTA!$E29)</f>
        <v>6920400</v>
      </c>
      <c r="U29" s="309">
        <f>IF(OFERTA!$P29="","",OFERTA!$P29*OFERTA!$E29)</f>
        <v>308935.75757575757</v>
      </c>
      <c r="V29" s="309">
        <f>IF(OFERTA!$U29="","",OFERTA!$U29+OFERTA!$T29+OFERTA!$S29+OFERTA!$R29)</f>
        <v>7424441.8181818184</v>
      </c>
      <c r="W29" s="319">
        <f>IF(OFERTA!$R29="","",OFERTA!$R29/OFERTA!$R$216)</f>
        <v>6.0107503406881636E-5</v>
      </c>
      <c r="X29" s="319">
        <f>IF(OFERTA!$S29="","",OFERTA!$S29/OFERTA!$S$216)</f>
        <v>1.136605557975183E-4</v>
      </c>
      <c r="Y29" s="319">
        <f>IF(OFERTA!$T29="","",OFERTA!$T29/OFERTA!$T$216)</f>
        <v>7.3220636203848155E-4</v>
      </c>
      <c r="Z29" s="319">
        <f>IF(OFERTA!$U29="","",OFERTA!$U29/OFERTA!$U$216)</f>
        <v>7.9848434187636784E-5</v>
      </c>
      <c r="AA29" s="140"/>
      <c r="AB29" s="309">
        <f>IF(AI29="","",AI29*OFERTA!$Q29)</f>
        <v>2227332.5454545454</v>
      </c>
      <c r="AC29" s="309">
        <f>IF(AI29="","",OFERTA!$N29*AI29)</f>
        <v>21600</v>
      </c>
      <c r="AD29" s="309">
        <f>IF(AI29="","",OFERTA!$M29*AI29)</f>
        <v>36931.818181818184</v>
      </c>
      <c r="AE29" s="309">
        <f>IF(AI29="","",OFERTA!$P29*AI29)</f>
        <v>92680.727272727279</v>
      </c>
      <c r="AF29" s="309">
        <f>IF(AI29="","",OFERTA!$O29*AI29)</f>
        <v>2076120</v>
      </c>
      <c r="AG29" s="308">
        <f t="shared" si="1"/>
        <v>3.333333333333333</v>
      </c>
      <c r="AH29" s="312">
        <v>7.27</v>
      </c>
      <c r="AI29" s="308">
        <f>IF('24'!$G$20=0,"",'24'!$G$20)</f>
        <v>0.9</v>
      </c>
      <c r="AJ29" s="312">
        <f t="shared" si="2"/>
        <v>6.5430000000000001</v>
      </c>
      <c r="AK29" s="312">
        <f t="shared" si="5"/>
        <v>1.5283509093687911E-2</v>
      </c>
      <c r="AL29" s="312">
        <f>IF(AJ29="","",OFERTA!$E29/AJ29)</f>
        <v>0.4585052728106373</v>
      </c>
      <c r="AR29" s="164"/>
    </row>
    <row r="30" spans="1:44" s="163" customFormat="1" ht="99" x14ac:dyDescent="0.3">
      <c r="A30" s="145" t="s">
        <v>438</v>
      </c>
      <c r="B30" s="318">
        <v>25</v>
      </c>
      <c r="C30" s="307" t="s">
        <v>375</v>
      </c>
      <c r="D30" s="308" t="s">
        <v>373</v>
      </c>
      <c r="E30" s="308">
        <v>9</v>
      </c>
      <c r="F30" s="309">
        <f>IF('25'!$G$65=0,"",'25'!$G$65)</f>
        <v>2969776.7272727275</v>
      </c>
      <c r="G30" s="309">
        <f>IF(OFERTA!$C30="","",IF(OFERTA!$F30="","",OFERTA!$F30*OFERTA!$E30))</f>
        <v>26727990.545454547</v>
      </c>
      <c r="H30" s="317">
        <f>+IF(OFERTA!$F30="","",OFERTA!$G30/OFERTA!$G$216)</f>
        <v>1.3900416696068542E-3</v>
      </c>
      <c r="I30" s="310">
        <v>3004011.3982830471</v>
      </c>
      <c r="J30" s="310">
        <f t="shared" si="3"/>
        <v>27036102.584547423</v>
      </c>
      <c r="K30" s="310"/>
      <c r="L30" s="310">
        <f t="shared" si="4"/>
        <v>0</v>
      </c>
      <c r="M30" s="311">
        <f>+'25'!$N$28+'25'!$N$47</f>
        <v>41035.353535353534</v>
      </c>
      <c r="N30" s="311">
        <f>+'25'!$M$28+'25'!$M$47</f>
        <v>24000</v>
      </c>
      <c r="O30" s="311">
        <f>IF('25'!$G$39=0,0,'25'!$G$39)</f>
        <v>2306800</v>
      </c>
      <c r="P30" s="311">
        <f>IF('25'!$G$55=0,0,'25'!$G$55)</f>
        <v>102978.58585858587</v>
      </c>
      <c r="Q30" s="311">
        <f>+OFERTA!$M30+OFERTA!$N30+OFERTA!$O30+OFERTA!$P30</f>
        <v>2474813.9393939395</v>
      </c>
      <c r="R30" s="309">
        <f>IF(OFERTA!$M30="","",OFERTA!$M30*OFERTA!$E30)</f>
        <v>369318.18181818182</v>
      </c>
      <c r="S30" s="309">
        <f>IF(OFERTA!$N30="","",OFERTA!$N30*OFERTA!$E30)</f>
        <v>216000</v>
      </c>
      <c r="T30" s="309">
        <f>IF(OFERTA!$O30="","",OFERTA!$O30*OFERTA!$E30)</f>
        <v>20761200</v>
      </c>
      <c r="U30" s="309">
        <f>IF(OFERTA!$P30="","",OFERTA!$P30*OFERTA!$E30)</f>
        <v>926807.27272727282</v>
      </c>
      <c r="V30" s="309">
        <f>IF(OFERTA!$U30="","",OFERTA!$U30+OFERTA!$T30+OFERTA!$S30+OFERTA!$R30)</f>
        <v>22273325.454545457</v>
      </c>
      <c r="W30" s="319">
        <f>IF(OFERTA!$R30="","",OFERTA!$R30/OFERTA!$R$216)</f>
        <v>1.8032251022064491E-4</v>
      </c>
      <c r="X30" s="319">
        <f>IF(OFERTA!$S30="","",OFERTA!$S30/OFERTA!$S$216)</f>
        <v>3.4098166739255487E-4</v>
      </c>
      <c r="Y30" s="319">
        <f>IF(OFERTA!$T30="","",OFERTA!$T30/OFERTA!$T$216)</f>
        <v>2.1966190861154446E-3</v>
      </c>
      <c r="Z30" s="319">
        <f>IF(OFERTA!$U30="","",OFERTA!$U30/OFERTA!$U$216)</f>
        <v>2.3954530256291035E-4</v>
      </c>
      <c r="AA30" s="140"/>
      <c r="AB30" s="309">
        <f>IF(AI30="","",AI30*OFERTA!$Q30)</f>
        <v>2227332.5454545454</v>
      </c>
      <c r="AC30" s="309">
        <f>IF(AI30="","",OFERTA!$N30*AI30)</f>
        <v>21600</v>
      </c>
      <c r="AD30" s="309">
        <f>IF(AI30="","",OFERTA!$M30*AI30)</f>
        <v>36931.818181818184</v>
      </c>
      <c r="AE30" s="309">
        <f>IF(AI30="","",OFERTA!$P30*AI30)</f>
        <v>92680.727272727279</v>
      </c>
      <c r="AF30" s="309">
        <f>IF(AI30="","",OFERTA!$O30*AI30)</f>
        <v>2076120</v>
      </c>
      <c r="AG30" s="308">
        <f t="shared" si="1"/>
        <v>9.9999999999999982</v>
      </c>
      <c r="AH30" s="312">
        <v>7.27</v>
      </c>
      <c r="AI30" s="308">
        <f>IF('25'!$G$20=0,"",'25'!$G$20)</f>
        <v>0.9</v>
      </c>
      <c r="AJ30" s="312">
        <f t="shared" si="2"/>
        <v>6.5430000000000001</v>
      </c>
      <c r="AK30" s="312">
        <f t="shared" si="5"/>
        <v>4.585052728106373E-2</v>
      </c>
      <c r="AL30" s="312">
        <f>IF(AJ30="","",OFERTA!$E30/AJ30)</f>
        <v>1.3755158184319118</v>
      </c>
      <c r="AR30" s="164"/>
    </row>
    <row r="31" spans="1:44" s="163" customFormat="1" ht="99" x14ac:dyDescent="0.3">
      <c r="A31" s="145" t="s">
        <v>438</v>
      </c>
      <c r="B31" s="318">
        <v>26</v>
      </c>
      <c r="C31" s="307" t="s">
        <v>544</v>
      </c>
      <c r="D31" s="308" t="s">
        <v>373</v>
      </c>
      <c r="E31" s="308">
        <v>20</v>
      </c>
      <c r="F31" s="309">
        <f>IF('26'!$G$65=0,"",'26'!$G$65)</f>
        <v>4789030.6624581814</v>
      </c>
      <c r="G31" s="309">
        <f>IF(OFERTA!$C31="","",IF(OFERTA!$F31="","",OFERTA!$F31*OFERTA!$E31))</f>
        <v>95780613.249163628</v>
      </c>
      <c r="H31" s="317">
        <f>+IF(OFERTA!$F31="","",OFERTA!$G31/OFERTA!$G$216)</f>
        <v>4.9812590037554413E-3</v>
      </c>
      <c r="I31" s="310">
        <v>9290118.6966573559</v>
      </c>
      <c r="J31" s="310">
        <f t="shared" si="3"/>
        <v>185802373.93314713</v>
      </c>
      <c r="K31" s="310"/>
      <c r="L31" s="310">
        <f t="shared" si="4"/>
        <v>0</v>
      </c>
      <c r="M31" s="311">
        <f>+'26'!$N$28+'26'!$N$47</f>
        <v>455738.63636363635</v>
      </c>
      <c r="N31" s="311">
        <f>+'26'!$M$28+'26'!$M$47</f>
        <v>266544</v>
      </c>
      <c r="O31" s="311">
        <f>IF('26'!$G$39=0,0,'26'!$G$39)</f>
        <v>680000</v>
      </c>
      <c r="P31" s="311">
        <f>IF('26'!$G$55=0,0,'26'!$G$55)</f>
        <v>2588576.2490181816</v>
      </c>
      <c r="Q31" s="311">
        <f>+OFERTA!$M31+OFERTA!$N31+OFERTA!$O31+OFERTA!$P31</f>
        <v>3990858.8853818178</v>
      </c>
      <c r="R31" s="309">
        <f>IF(OFERTA!$M31="","",OFERTA!$M31*OFERTA!$E31)</f>
        <v>9114772.7272727266</v>
      </c>
      <c r="S31" s="309">
        <f>IF(OFERTA!$N31="","",OFERTA!$N31*OFERTA!$E31)</f>
        <v>5330880</v>
      </c>
      <c r="T31" s="309">
        <f>IF(OFERTA!$O31="","",OFERTA!$O31*OFERTA!$E31)</f>
        <v>13600000</v>
      </c>
      <c r="U31" s="309">
        <f>IF(OFERTA!$P31="","",OFERTA!$P31*OFERTA!$E31)</f>
        <v>51771524.98036363</v>
      </c>
      <c r="V31" s="309">
        <f>IF(OFERTA!$U31="","",OFERTA!$U31+OFERTA!$T31+OFERTA!$S31+OFERTA!$R31)</f>
        <v>79817177.707636356</v>
      </c>
      <c r="W31" s="319">
        <f>IF(OFERTA!$R31="","",OFERTA!$R31/OFERTA!$R$216)</f>
        <v>4.4503595522455159E-3</v>
      </c>
      <c r="X31" s="319">
        <f>IF(OFERTA!$S31="","",OFERTA!$S31/OFERTA!$S$216)</f>
        <v>8.415427551248255E-3</v>
      </c>
      <c r="Y31" s="319">
        <f>IF(OFERTA!$T31="","",OFERTA!$T31/OFERTA!$T$216)</f>
        <v>1.4389351083352621E-3</v>
      </c>
      <c r="Z31" s="319">
        <f>IF(OFERTA!$U31="","",OFERTA!$U31/OFERTA!$U$216)</f>
        <v>1.3381018881164785E-2</v>
      </c>
      <c r="AA31" s="140"/>
      <c r="AB31" s="309">
        <f>IF(AI31="","",AI31*OFERTA!$Q31)</f>
        <v>323408.33755120082</v>
      </c>
      <c r="AC31" s="309">
        <f>IF(AI31="","",OFERTA!$N31*AI31)</f>
        <v>21600</v>
      </c>
      <c r="AD31" s="309">
        <f>IF(AI31="","",OFERTA!$M31*AI31)</f>
        <v>36931.818181818184</v>
      </c>
      <c r="AE31" s="309">
        <f>IF(AI31="","",OFERTA!$P31*AI31)</f>
        <v>209771.1709090909</v>
      </c>
      <c r="AF31" s="309">
        <f>IF(AI31="","",OFERTA!$O31*AI31)</f>
        <v>55105.348460291738</v>
      </c>
      <c r="AG31" s="308">
        <f t="shared" si="1"/>
        <v>246.79999999999998</v>
      </c>
      <c r="AH31" s="312">
        <v>7.27</v>
      </c>
      <c r="AI31" s="308">
        <f>IF('26'!$G$20=0,"",'26'!$G$20)</f>
        <v>8.1037277147487846E-2</v>
      </c>
      <c r="AJ31" s="312">
        <f t="shared" si="2"/>
        <v>0.58914100486223664</v>
      </c>
      <c r="AK31" s="312">
        <f t="shared" si="5"/>
        <v>1.1315910132966529</v>
      </c>
      <c r="AL31" s="312">
        <f>IF(AJ31="","",OFERTA!$E31/AJ31)</f>
        <v>33.947730398899587</v>
      </c>
      <c r="AR31" s="164"/>
    </row>
    <row r="32" spans="1:44" s="386" customFormat="1" ht="295.14999999999998" customHeight="1" x14ac:dyDescent="0.3">
      <c r="A32" s="364" t="s">
        <v>438</v>
      </c>
      <c r="B32" s="378">
        <v>27</v>
      </c>
      <c r="C32" s="379" t="s">
        <v>545</v>
      </c>
      <c r="D32" s="380" t="s">
        <v>373</v>
      </c>
      <c r="E32" s="380">
        <v>320</v>
      </c>
      <c r="F32" s="381">
        <f>IF('27'!$G$65=0,"",'27'!$G$65)</f>
        <v>723408.64447552443</v>
      </c>
      <c r="G32" s="381">
        <f>IF(OFERTA!$C32="","",IF(OFERTA!$F32="","",OFERTA!$F32*OFERTA!$E32))</f>
        <v>231490766.23216781</v>
      </c>
      <c r="H32" s="382">
        <f>+IF(OFERTA!$F32="","",OFERTA!$G32/OFERTA!$G$216)</f>
        <v>1.2039132184093646E-2</v>
      </c>
      <c r="I32" s="365">
        <v>1459569.2616387585</v>
      </c>
      <c r="J32" s="365">
        <f t="shared" si="3"/>
        <v>467062163.72440273</v>
      </c>
      <c r="K32" s="365"/>
      <c r="L32" s="365">
        <f t="shared" si="4"/>
        <v>0</v>
      </c>
      <c r="M32" s="383">
        <f>+'27'!$N$28+'27'!$N$47</f>
        <v>94696.969696969696</v>
      </c>
      <c r="N32" s="383">
        <f>+'27'!$M$28+'27'!$M$47</f>
        <v>55384.615384615383</v>
      </c>
      <c r="O32" s="383">
        <f>IF('27'!$G$39=0,0,'27'!$G$39)</f>
        <v>96933.333333333343</v>
      </c>
      <c r="P32" s="383">
        <f>IF('27'!$G$55=0,0,'27'!$G$55)</f>
        <v>355825.61864801863</v>
      </c>
      <c r="Q32" s="383">
        <f>+OFERTA!$M32+OFERTA!$N32+OFERTA!$O32+OFERTA!$P32</f>
        <v>602840.53706293704</v>
      </c>
      <c r="R32" s="381">
        <f>IF(OFERTA!$M32="","",OFERTA!$M32*OFERTA!$E32)</f>
        <v>30303030.303030305</v>
      </c>
      <c r="S32" s="381">
        <f>IF(OFERTA!$N32="","",OFERTA!$N32*OFERTA!$E32)</f>
        <v>17723076.923076924</v>
      </c>
      <c r="T32" s="381">
        <f>IF(OFERTA!$O32="","",OFERTA!$O32*OFERTA!$E32)</f>
        <v>31018666.666666672</v>
      </c>
      <c r="U32" s="381">
        <f>IF(OFERTA!$P32="","",OFERTA!$P32*OFERTA!$E32)</f>
        <v>113864197.96736597</v>
      </c>
      <c r="V32" s="381">
        <f>IF(OFERTA!$U32="","",OFERTA!$U32+OFERTA!$T32+OFERTA!$S32+OFERTA!$R32)</f>
        <v>192908971.86013988</v>
      </c>
      <c r="W32" s="384">
        <f>IF(OFERTA!$R32="","",OFERTA!$R32/OFERTA!$R$216)</f>
        <v>1.4795693146309326E-2</v>
      </c>
      <c r="X32" s="384">
        <f>IF(OFERTA!$S32="","",OFERTA!$S32/OFERTA!$S$216)</f>
        <v>2.7977982965542967E-2</v>
      </c>
      <c r="Y32" s="384">
        <f>IF(OFERTA!$T32="","",OFERTA!$T32/OFERTA!$T$216)</f>
        <v>3.2819006235599553E-3</v>
      </c>
      <c r="Z32" s="384">
        <f>IF(OFERTA!$U32="","",OFERTA!$U32/OFERTA!$U$216)</f>
        <v>2.9429671686663678E-2</v>
      </c>
      <c r="AA32" s="364"/>
      <c r="AB32" s="381">
        <f>IF(AI32="","",AI32*OFERTA!$Q32)</f>
        <v>235107.80945454547</v>
      </c>
      <c r="AC32" s="381">
        <f>IF(AI32="","",OFERTA!$N32*AI32)</f>
        <v>21600</v>
      </c>
      <c r="AD32" s="381">
        <f>IF(AI32="","",OFERTA!$M32*AI32)</f>
        <v>36931.818181818184</v>
      </c>
      <c r="AE32" s="381">
        <f>IF(AI32="","",OFERTA!$P32*AI32)</f>
        <v>138771.99127272726</v>
      </c>
      <c r="AF32" s="381">
        <f>IF(AI32="","",OFERTA!$O32*AI32)</f>
        <v>37804.000000000007</v>
      </c>
      <c r="AG32" s="380">
        <f t="shared" si="1"/>
        <v>820.51282051282055</v>
      </c>
      <c r="AH32" s="385">
        <v>7.27</v>
      </c>
      <c r="AI32" s="380">
        <f>IF('27'!$G$20=0,"",'27'!$G$20)</f>
        <v>0.39</v>
      </c>
      <c r="AJ32" s="385">
        <f t="shared" si="2"/>
        <v>2.8352999999999997</v>
      </c>
      <c r="AK32" s="385">
        <f t="shared" si="5"/>
        <v>3.7620945461385631</v>
      </c>
      <c r="AL32" s="385">
        <f>IF(AJ32="","",OFERTA!$E32/AJ32)</f>
        <v>112.86283638415689</v>
      </c>
      <c r="AR32" s="387"/>
    </row>
    <row r="33" spans="1:44" s="351" customFormat="1" ht="173.45" customHeight="1" x14ac:dyDescent="0.3">
      <c r="A33" s="340" t="s">
        <v>438</v>
      </c>
      <c r="B33" s="341">
        <v>28</v>
      </c>
      <c r="C33" s="342" t="s">
        <v>376</v>
      </c>
      <c r="D33" s="343" t="s">
        <v>373</v>
      </c>
      <c r="E33" s="343">
        <v>16</v>
      </c>
      <c r="F33" s="344">
        <f>IF('28'!$G$65=0,"",'28'!$G$65)</f>
        <v>3881046.6784232724</v>
      </c>
      <c r="G33" s="344">
        <f>IF(OFERTA!$C33="","",IF(OFERTA!$F33="","",OFERTA!$F33*OFERTA!$E33))</f>
        <v>62096746.854772359</v>
      </c>
      <c r="H33" s="345">
        <f>+IF(OFERTA!$F33="","",OFERTA!$G33/OFERTA!$G$216)</f>
        <v>3.2294633421232374E-3</v>
      </c>
      <c r="I33" s="346">
        <v>5377434.3427820792</v>
      </c>
      <c r="J33" s="346">
        <f t="shared" si="3"/>
        <v>86038949.484513268</v>
      </c>
      <c r="K33" s="346"/>
      <c r="L33" s="346">
        <f t="shared" si="4"/>
        <v>0</v>
      </c>
      <c r="M33" s="347">
        <f>+'28'!$N$28+'28'!$N$47</f>
        <v>192784.09090909088</v>
      </c>
      <c r="N33" s="347">
        <f>+'28'!$M$28+'28'!$M$47</f>
        <v>112752</v>
      </c>
      <c r="O33" s="347">
        <f>IF('28'!$G$39=0,0,'28'!$G$39)</f>
        <v>1930000</v>
      </c>
      <c r="P33" s="347">
        <f>IF('28'!$G$55=0,0,'28'!$G$55)</f>
        <v>998669.47444363625</v>
      </c>
      <c r="Q33" s="347">
        <f>+OFERTA!$M33+OFERTA!$N33+OFERTA!$O33+OFERTA!$P33</f>
        <v>3234205.5653527272</v>
      </c>
      <c r="R33" s="344">
        <f>IF(OFERTA!$M33="","",OFERTA!$M33*OFERTA!$E33)</f>
        <v>3084545.4545454541</v>
      </c>
      <c r="S33" s="344">
        <f>IF(OFERTA!$N33="","",OFERTA!$N33*OFERTA!$E33)</f>
        <v>1804032</v>
      </c>
      <c r="T33" s="344">
        <f>IF(OFERTA!$O33="","",OFERTA!$O33*OFERTA!$E33)</f>
        <v>30880000</v>
      </c>
      <c r="U33" s="344">
        <f>IF(OFERTA!$P33="","",OFERTA!$P33*OFERTA!$E33)</f>
        <v>15978711.59109818</v>
      </c>
      <c r="V33" s="344">
        <f>IF(OFERTA!$U33="","",OFERTA!$U33+OFERTA!$T33+OFERTA!$S33+OFERTA!$R33)</f>
        <v>51747289.045643635</v>
      </c>
      <c r="W33" s="348">
        <f>IF(OFERTA!$R33="","",OFERTA!$R33/OFERTA!$R$216)</f>
        <v>1.5060536053628261E-3</v>
      </c>
      <c r="X33" s="348">
        <f>IF(OFERTA!$S33="","",OFERTA!$S33/OFERTA!$S$216)</f>
        <v>2.8478788860626185E-3</v>
      </c>
      <c r="Y33" s="348">
        <f>IF(OFERTA!$T33="","",OFERTA!$T33/OFERTA!$T$216)</f>
        <v>3.2672291283377128E-3</v>
      </c>
      <c r="Z33" s="348">
        <f>IF(OFERTA!$U33="","",OFERTA!$U33/OFERTA!$U$216)</f>
        <v>4.129904258726543E-3</v>
      </c>
      <c r="AA33" s="349"/>
      <c r="AB33" s="344">
        <f>IF(AI33="","",AI33*OFERTA!$Q33)</f>
        <v>619579.61022082902</v>
      </c>
      <c r="AC33" s="344">
        <f>IF(AI33="","",OFERTA!$N33*AI33)</f>
        <v>21600</v>
      </c>
      <c r="AD33" s="344">
        <f>IF(AI33="","",OFERTA!$M33*AI33)</f>
        <v>36931.818181818177</v>
      </c>
      <c r="AE33" s="344">
        <f>IF(AI33="","",OFERTA!$P33*AI33)</f>
        <v>191315.99127272726</v>
      </c>
      <c r="AF33" s="344">
        <f>IF(AI33="","",OFERTA!$O33*AI33)</f>
        <v>369731.80076628353</v>
      </c>
      <c r="AG33" s="343">
        <f t="shared" si="1"/>
        <v>83.52</v>
      </c>
      <c r="AH33" s="350">
        <v>7.27</v>
      </c>
      <c r="AI33" s="343">
        <f>IF('28'!$G$20=0,"",'28'!$G$20)</f>
        <v>0.19157088122605365</v>
      </c>
      <c r="AJ33" s="350">
        <f t="shared" si="2"/>
        <v>1.3927203065134099</v>
      </c>
      <c r="AK33" s="350">
        <f t="shared" si="5"/>
        <v>0.38294360385144433</v>
      </c>
      <c r="AL33" s="350">
        <f>IF(AJ33="","",OFERTA!$E33/AJ33)</f>
        <v>11.48830811554333</v>
      </c>
      <c r="AR33" s="352"/>
    </row>
    <row r="34" spans="1:44" s="163" customFormat="1" ht="74.45" customHeight="1" x14ac:dyDescent="0.3">
      <c r="A34" s="145" t="s">
        <v>438</v>
      </c>
      <c r="B34" s="318">
        <v>29</v>
      </c>
      <c r="C34" s="307" t="s">
        <v>546</v>
      </c>
      <c r="D34" s="308" t="s">
        <v>374</v>
      </c>
      <c r="E34" s="308">
        <v>30000</v>
      </c>
      <c r="F34" s="309">
        <f>IF('29'!$G$65=0,"",'29'!$G$65)</f>
        <v>5179.6623326159552</v>
      </c>
      <c r="G34" s="309">
        <f>IF(OFERTA!$C34="","",IF(OFERTA!$F34="","",OFERTA!$F34*OFERTA!$E34))</f>
        <v>155389869.97847864</v>
      </c>
      <c r="H34" s="317">
        <f>+IF(OFERTA!$F34="","",OFERTA!$G34/OFERTA!$G$216)</f>
        <v>8.0813555339127371E-3</v>
      </c>
      <c r="I34" s="310">
        <v>11597.238923327779</v>
      </c>
      <c r="J34" s="310">
        <f t="shared" si="3"/>
        <v>347917167.69983339</v>
      </c>
      <c r="K34" s="310"/>
      <c r="L34" s="310">
        <f t="shared" si="4"/>
        <v>0</v>
      </c>
      <c r="M34" s="311">
        <f>+'29'!$N$28+'29'!$N$47</f>
        <v>855.17161410018548</v>
      </c>
      <c r="N34" s="311">
        <f>+'29'!$M$28+'29'!$M$47</f>
        <v>330.61224489795916</v>
      </c>
      <c r="O34" s="311">
        <f>IF('29'!$G$39=0,0,'29'!$G$39)</f>
        <v>342.69159999999999</v>
      </c>
      <c r="P34" s="311">
        <f>IF('29'!$G$55=0,0,'29'!$G$55)</f>
        <v>2787.9098181818181</v>
      </c>
      <c r="Q34" s="311">
        <f>+OFERTA!$M34+OFERTA!$N34+OFERTA!$O34+OFERTA!$P34</f>
        <v>4316.3852771799629</v>
      </c>
      <c r="R34" s="309">
        <f>IF(OFERTA!$M34="","",OFERTA!$M34*OFERTA!$E34)</f>
        <v>25655148.423005566</v>
      </c>
      <c r="S34" s="309">
        <f>IF(OFERTA!$N34="","",OFERTA!$N34*OFERTA!$E34)</f>
        <v>9918367.346938774</v>
      </c>
      <c r="T34" s="309">
        <f>IF(OFERTA!$O34="","",OFERTA!$O34*OFERTA!$E34)</f>
        <v>10280748</v>
      </c>
      <c r="U34" s="309">
        <f>IF(OFERTA!$P34="","",OFERTA!$P34*OFERTA!$E34)</f>
        <v>83637294.545454547</v>
      </c>
      <c r="V34" s="309">
        <f>IF(OFERTA!$U34="","",OFERTA!$U34+OFERTA!$T34+OFERTA!$S34+OFERTA!$R34)</f>
        <v>129491558.31539889</v>
      </c>
      <c r="W34" s="319">
        <f>IF(OFERTA!$R34="","",OFERTA!$R34/OFERTA!$R$216)</f>
        <v>1.2526328221763795E-2</v>
      </c>
      <c r="X34" s="319">
        <f>IF(OFERTA!$S34="","",OFERTA!$S34/OFERTA!$S$216)</f>
        <v>1.5657321461903028E-2</v>
      </c>
      <c r="Y34" s="319">
        <f>IF(OFERTA!$T34="","",OFERTA!$T34/OFERTA!$T$216)</f>
        <v>1.0877447968490831E-3</v>
      </c>
      <c r="Z34" s="319">
        <f>IF(OFERTA!$U34="","",OFERTA!$U34/OFERTA!$U$216)</f>
        <v>2.1617138338241918E-2</v>
      </c>
      <c r="AA34" s="140"/>
      <c r="AB34" s="309">
        <f>IF(AI34="","",AI34*OFERTA!$Q34)</f>
        <v>423005.75716363639</v>
      </c>
      <c r="AC34" s="309">
        <f>IF(AI34="","",OFERTA!$N34*AI34)</f>
        <v>32399.999999999996</v>
      </c>
      <c r="AD34" s="309">
        <f>IF(AI34="","",OFERTA!$M34*AI34)</f>
        <v>83806.818181818177</v>
      </c>
      <c r="AE34" s="309">
        <f>IF(AI34="","",OFERTA!$P34*AI34)</f>
        <v>273215.16218181816</v>
      </c>
      <c r="AF34" s="309">
        <f>IF(AI34="","",OFERTA!$O34*AI34)</f>
        <v>33583.7768</v>
      </c>
      <c r="AG34" s="308">
        <f t="shared" si="1"/>
        <v>306.12244897959181</v>
      </c>
      <c r="AH34" s="312">
        <v>7.27</v>
      </c>
      <c r="AI34" s="308">
        <f>IF('29'!$G$20=0,"",'29'!$G$20)</f>
        <v>98</v>
      </c>
      <c r="AJ34" s="312">
        <f t="shared" si="2"/>
        <v>712.45999999999992</v>
      </c>
      <c r="AK34" s="312">
        <f t="shared" si="5"/>
        <v>1.4035875698284817</v>
      </c>
      <c r="AL34" s="312">
        <f>IF(AJ34="","",OFERTA!$E34/AJ34)</f>
        <v>42.10762709485445</v>
      </c>
      <c r="AR34" s="164"/>
    </row>
    <row r="35" spans="1:44" s="163" customFormat="1" ht="118.9" customHeight="1" x14ac:dyDescent="0.3">
      <c r="A35" s="145" t="s">
        <v>438</v>
      </c>
      <c r="B35" s="318">
        <v>30</v>
      </c>
      <c r="C35" s="307" t="s">
        <v>547</v>
      </c>
      <c r="D35" s="308" t="s">
        <v>373</v>
      </c>
      <c r="E35" s="308">
        <v>100</v>
      </c>
      <c r="F35" s="309">
        <f>IF('30'!$G$65=0,"",'30'!$G$65)</f>
        <v>32022.225368440606</v>
      </c>
      <c r="G35" s="309">
        <f>IF(OFERTA!$C35="","",IF(OFERTA!$F35="","",OFERTA!$F35*OFERTA!$E35))</f>
        <v>3202222.5368440608</v>
      </c>
      <c r="H35" s="317">
        <f>+IF(OFERTA!$F35="","",OFERTA!$G35/OFERTA!$G$216)</f>
        <v>1.6653787549039686E-4</v>
      </c>
      <c r="I35" s="310">
        <v>36776.996171551851</v>
      </c>
      <c r="J35" s="310">
        <f t="shared" si="3"/>
        <v>3677699.617155185</v>
      </c>
      <c r="K35" s="310"/>
      <c r="L35" s="310">
        <f t="shared" si="4"/>
        <v>0</v>
      </c>
      <c r="M35" s="311">
        <f>+'30'!$N$28+'30'!$N$47</f>
        <v>611.72859986728599</v>
      </c>
      <c r="N35" s="311">
        <f>+'30'!$M$28+'30'!$M$47</f>
        <v>236.49635036496352</v>
      </c>
      <c r="O35" s="311">
        <f>IF('30'!$G$39=0,0,'30'!$G$39)</f>
        <v>23842.691599999998</v>
      </c>
      <c r="P35" s="311">
        <f>IF('30'!$G$55=0,0,'30'!$G$55)</f>
        <v>1994.2712568015925</v>
      </c>
      <c r="Q35" s="311">
        <f>+OFERTA!$M35+OFERTA!$N35+OFERTA!$O35+OFERTA!$P35</f>
        <v>26685.187807033839</v>
      </c>
      <c r="R35" s="309">
        <f>IF(OFERTA!$M35="","",OFERTA!$M35*OFERTA!$E35)</f>
        <v>61172.859986728596</v>
      </c>
      <c r="S35" s="309">
        <f>IF(OFERTA!$N35="","",OFERTA!$N35*OFERTA!$E35)</f>
        <v>23649.635036496351</v>
      </c>
      <c r="T35" s="309">
        <f>IF(OFERTA!$O35="","",OFERTA!$O35*OFERTA!$E35)</f>
        <v>2384269.1599999997</v>
      </c>
      <c r="U35" s="309">
        <f>IF(OFERTA!$P35="","",OFERTA!$P35*OFERTA!$E35)</f>
        <v>199427.12568015925</v>
      </c>
      <c r="V35" s="309">
        <f>IF(OFERTA!$U35="","",OFERTA!$U35+OFERTA!$T35+OFERTA!$S35+OFERTA!$R35)</f>
        <v>2668518.780703384</v>
      </c>
      <c r="W35" s="319">
        <f>IF(OFERTA!$R35="","",OFERTA!$R35/OFERTA!$R$216)</f>
        <v>2.9868130553110748E-5</v>
      </c>
      <c r="X35" s="319">
        <f>IF(OFERTA!$S35="","",OFERTA!$S35/OFERTA!$S$216)</f>
        <v>3.7333759203564405E-5</v>
      </c>
      <c r="Y35" s="319">
        <f>IF(OFERTA!$T35="","",OFERTA!$T35/OFERTA!$T$216)</f>
        <v>2.5226533838566356E-4</v>
      </c>
      <c r="Z35" s="319">
        <f>IF(OFERTA!$U35="","",OFERTA!$U35/OFERTA!$U$216)</f>
        <v>5.1544514772450313E-5</v>
      </c>
      <c r="AA35" s="140"/>
      <c r="AB35" s="309">
        <f>IF(AI35="","",AI35*OFERTA!$Q35)</f>
        <v>3655870.7295636358</v>
      </c>
      <c r="AC35" s="309">
        <f>IF(AI35="","",OFERTA!$N35*AI35)</f>
        <v>32400.000000000004</v>
      </c>
      <c r="AD35" s="309">
        <f>IF(AI35="","",OFERTA!$M35*AI35)</f>
        <v>83806.818181818177</v>
      </c>
      <c r="AE35" s="309">
        <f>IF(AI35="","",OFERTA!$P35*AI35)</f>
        <v>273215.16218181816</v>
      </c>
      <c r="AF35" s="309">
        <f>IF(AI35="","",OFERTA!$O35*AI35)</f>
        <v>3266448.7492</v>
      </c>
      <c r="AG35" s="308">
        <f t="shared" si="1"/>
        <v>0.72992700729927018</v>
      </c>
      <c r="AH35" s="312">
        <v>7.27</v>
      </c>
      <c r="AI35" s="308">
        <f>IF('30'!$G$20=0,"",'30'!$G$20)</f>
        <v>137</v>
      </c>
      <c r="AJ35" s="312">
        <f t="shared" si="2"/>
        <v>995.9899999999999</v>
      </c>
      <c r="AK35" s="312">
        <f t="shared" si="5"/>
        <v>3.3467538161360394E-3</v>
      </c>
      <c r="AL35" s="312">
        <f>IF(AJ35="","",OFERTA!$E35/AJ35)</f>
        <v>0.10040261448408118</v>
      </c>
      <c r="AR35" s="164"/>
    </row>
    <row r="36" spans="1:44" s="351" customFormat="1" x14ac:dyDescent="0.3">
      <c r="A36" s="340" t="s">
        <v>438</v>
      </c>
      <c r="B36" s="341">
        <v>31</v>
      </c>
      <c r="C36" s="342" t="s">
        <v>588</v>
      </c>
      <c r="D36" s="343" t="s">
        <v>373</v>
      </c>
      <c r="E36" s="343">
        <v>2290</v>
      </c>
      <c r="F36" s="353">
        <f>IF('31'!$G$65=0,"",'31'!$G$65)</f>
        <v>72452.838489510483</v>
      </c>
      <c r="G36" s="344">
        <f>IF(OFERTA!$C36="","",IF(OFERTA!$F36="","",OFERTA!$F36*OFERTA!$E36))</f>
        <v>165917000.14097899</v>
      </c>
      <c r="H36" s="345">
        <f>+IF(OFERTA!$F36="","",OFERTA!$G36/OFERTA!$G$216)</f>
        <v>8.6288396241351213E-3</v>
      </c>
      <c r="I36" s="346">
        <v>100427.41779180936</v>
      </c>
      <c r="J36" s="346">
        <f t="shared" si="3"/>
        <v>229978786.74324343</v>
      </c>
      <c r="K36" s="346"/>
      <c r="L36" s="346">
        <f t="shared" si="4"/>
        <v>0</v>
      </c>
      <c r="M36" s="347">
        <f>+'31'!$N$28+'31'!$N$47</f>
        <v>9469.69696969697</v>
      </c>
      <c r="N36" s="347">
        <f>+'31'!$M$28+'31'!$M$47</f>
        <v>5538.461538461539</v>
      </c>
      <c r="O36" s="347">
        <f>IF('31'!$G$39=0,0,'31'!$G$39)</f>
        <v>3400</v>
      </c>
      <c r="P36" s="347">
        <f>IF('31'!$G$55=0,0,'31'!$G$55)</f>
        <v>41969.206899766898</v>
      </c>
      <c r="Q36" s="347">
        <f>+OFERTA!$M36+OFERTA!$N36+OFERTA!$O36+OFERTA!$P36</f>
        <v>60377.365407925405</v>
      </c>
      <c r="R36" s="344">
        <f>IF(OFERTA!$M36="","",OFERTA!$M36*OFERTA!$E36)</f>
        <v>21685606.060606062</v>
      </c>
      <c r="S36" s="344">
        <f>IF(OFERTA!$N36="","",OFERTA!$N36*OFERTA!$E36)</f>
        <v>12683076.923076924</v>
      </c>
      <c r="T36" s="344">
        <f>IF(OFERTA!$O36="","",OFERTA!$O36*OFERTA!$E36)</f>
        <v>7786000</v>
      </c>
      <c r="U36" s="344">
        <f>IF(OFERTA!$P36="","",OFERTA!$P36*OFERTA!$E36)</f>
        <v>96109483.800466195</v>
      </c>
      <c r="V36" s="344">
        <f>IF(OFERTA!$U36="","",OFERTA!$U36+OFERTA!$T36+OFERTA!$S36+OFERTA!$R36)</f>
        <v>138264166.78414917</v>
      </c>
      <c r="W36" s="348">
        <f>IF(OFERTA!$R36="","",OFERTA!$R36/OFERTA!$R$216)</f>
        <v>1.0588167907827612E-2</v>
      </c>
      <c r="X36" s="348">
        <f>IF(OFERTA!$S36="","",OFERTA!$S36/OFERTA!$S$216)</f>
        <v>2.0021744059716687E-2</v>
      </c>
      <c r="Y36" s="348">
        <f>IF(OFERTA!$T36="","",OFERTA!$T36/OFERTA!$T$216)</f>
        <v>8.2379034952193757E-4</v>
      </c>
      <c r="Z36" s="348">
        <f>IF(OFERTA!$U36="","",OFERTA!$U36/OFERTA!$U$216)</f>
        <v>2.484073663815816E-2</v>
      </c>
      <c r="AA36" s="349"/>
      <c r="AB36" s="344">
        <f>IF(AI36="","",AI36*OFERTA!$Q36)</f>
        <v>235471.72509090908</v>
      </c>
      <c r="AC36" s="344">
        <f>IF(AI36="","",OFERTA!$N36*AI36)</f>
        <v>21600</v>
      </c>
      <c r="AD36" s="344">
        <f>IF(AI36="","",OFERTA!$M36*AI36)</f>
        <v>36931.818181818184</v>
      </c>
      <c r="AE36" s="344">
        <f>IF(AI36="","",OFERTA!$P36*AI36)</f>
        <v>163679.9069090909</v>
      </c>
      <c r="AF36" s="344">
        <f>IF(AI36="","",OFERTA!$O36*AI36)</f>
        <v>13260</v>
      </c>
      <c r="AG36" s="343">
        <f t="shared" si="1"/>
        <v>587.17948717948718</v>
      </c>
      <c r="AH36" s="350">
        <v>7.27</v>
      </c>
      <c r="AI36" s="343">
        <f>IF('31'!$G$20=0,"",'31'!$G$20)</f>
        <v>3.9</v>
      </c>
      <c r="AJ36" s="350">
        <f t="shared" si="2"/>
        <v>28.352999999999998</v>
      </c>
      <c r="AK36" s="350">
        <f t="shared" si="5"/>
        <v>2.692248909580409</v>
      </c>
      <c r="AL36" s="350">
        <f>IF(AJ36="","",OFERTA!$E36/AJ36)</f>
        <v>80.767467287412273</v>
      </c>
      <c r="AR36" s="352"/>
    </row>
    <row r="37" spans="1:44" s="351" customFormat="1" ht="33" x14ac:dyDescent="0.3">
      <c r="A37" s="340" t="s">
        <v>438</v>
      </c>
      <c r="B37" s="341">
        <v>32</v>
      </c>
      <c r="C37" s="342" t="s">
        <v>377</v>
      </c>
      <c r="D37" s="343" t="s">
        <v>373</v>
      </c>
      <c r="E37" s="343">
        <v>16</v>
      </c>
      <c r="F37" s="344">
        <f>IF('32'!$G$65=0,"",'32'!$G$65)</f>
        <v>96751.383272727267</v>
      </c>
      <c r="G37" s="344">
        <f>IF(OFERTA!$C37="","",IF(OFERTA!$F37="","",OFERTA!$F37*OFERTA!$E37))</f>
        <v>1548022.1323636363</v>
      </c>
      <c r="H37" s="345">
        <f>+IF(OFERTA!$F37="","",OFERTA!$G37/OFERTA!$G$216)</f>
        <v>8.0507932902761992E-5</v>
      </c>
      <c r="I37" s="346">
        <v>137633.09488145626</v>
      </c>
      <c r="J37" s="346">
        <f t="shared" si="3"/>
        <v>2202129.5181033001</v>
      </c>
      <c r="K37" s="346"/>
      <c r="L37" s="346">
        <f t="shared" si="4"/>
        <v>0</v>
      </c>
      <c r="M37" s="347">
        <f>+'32'!$N$28+'32'!$N$47</f>
        <v>18939.39393939394</v>
      </c>
      <c r="N37" s="347">
        <f>+'32'!$M$28+'32'!$M$47</f>
        <v>11076.923076923078</v>
      </c>
      <c r="O37" s="347">
        <f>IF('32'!$G$39=0,0,'32'!$G$39)</f>
        <v>14200</v>
      </c>
      <c r="P37" s="347">
        <f>IF('32'!$G$55=0,0,'32'!$G$55)</f>
        <v>36409.835710955711</v>
      </c>
      <c r="Q37" s="347">
        <f>+OFERTA!$M37+OFERTA!$N37+OFERTA!$O37+OFERTA!$P37</f>
        <v>80626.152727272725</v>
      </c>
      <c r="R37" s="344">
        <f>IF(OFERTA!$M37="","",OFERTA!$M37*OFERTA!$E37)</f>
        <v>303030.30303030304</v>
      </c>
      <c r="S37" s="344">
        <f>IF(OFERTA!$N37="","",OFERTA!$N37*OFERTA!$E37)</f>
        <v>177230.76923076925</v>
      </c>
      <c r="T37" s="344">
        <f>IF(OFERTA!$O37="","",OFERTA!$O37*OFERTA!$E37)</f>
        <v>227200</v>
      </c>
      <c r="U37" s="344">
        <f>IF(OFERTA!$P37="","",OFERTA!$P37*OFERTA!$E37)</f>
        <v>582557.37137529138</v>
      </c>
      <c r="V37" s="344">
        <f>IF(OFERTA!$U37="","",OFERTA!$U37+OFERTA!$T37+OFERTA!$S37+OFERTA!$R37)</f>
        <v>1290018.4436363636</v>
      </c>
      <c r="W37" s="348">
        <f>IF(OFERTA!$R37="","",OFERTA!$R37/OFERTA!$R$216)</f>
        <v>1.4795693146309327E-4</v>
      </c>
      <c r="X37" s="348">
        <f>IF(OFERTA!$S37="","",OFERTA!$S37/OFERTA!$S$216)</f>
        <v>2.7977982965542966E-4</v>
      </c>
      <c r="Y37" s="348">
        <f>IF(OFERTA!$T37="","",OFERTA!$T37/OFERTA!$T$216)</f>
        <v>2.4038680633365555E-5</v>
      </c>
      <c r="Z37" s="348">
        <f>IF(OFERTA!$U37="","",OFERTA!$U37/OFERTA!$U$216)</f>
        <v>1.5056947209283748E-4</v>
      </c>
      <c r="AA37" s="349"/>
      <c r="AB37" s="344">
        <f>IF(AI37="","",AI37*OFERTA!$Q37)</f>
        <v>157220.99781818182</v>
      </c>
      <c r="AC37" s="344">
        <f>IF(AI37="","",OFERTA!$N37*AI37)</f>
        <v>21600</v>
      </c>
      <c r="AD37" s="344">
        <f>IF(AI37="","",OFERTA!$M37*AI37)</f>
        <v>36931.818181818184</v>
      </c>
      <c r="AE37" s="344">
        <f>IF(AI37="","",OFERTA!$P37*AI37)</f>
        <v>70999.179636363639</v>
      </c>
      <c r="AF37" s="344">
        <f>IF(AI37="","",OFERTA!$O37*AI37)</f>
        <v>27690</v>
      </c>
      <c r="AG37" s="343">
        <f t="shared" si="1"/>
        <v>8.2051282051282044</v>
      </c>
      <c r="AH37" s="350">
        <v>7.27</v>
      </c>
      <c r="AI37" s="343">
        <f>IF('32'!$G$20=0,"",'32'!$G$20)</f>
        <v>1.95</v>
      </c>
      <c r="AJ37" s="350">
        <f t="shared" si="2"/>
        <v>14.176499999999999</v>
      </c>
      <c r="AK37" s="350">
        <f t="shared" si="5"/>
        <v>3.7620945461385627E-2</v>
      </c>
      <c r="AL37" s="350">
        <f>IF(AJ37="","",OFERTA!$E37/AJ37)</f>
        <v>1.1286283638415688</v>
      </c>
      <c r="AR37" s="352"/>
    </row>
    <row r="38" spans="1:44" s="163" customFormat="1" ht="105" customHeight="1" x14ac:dyDescent="0.3">
      <c r="A38" s="145" t="s">
        <v>438</v>
      </c>
      <c r="B38" s="318">
        <v>33</v>
      </c>
      <c r="C38" s="307" t="s">
        <v>378</v>
      </c>
      <c r="D38" s="308" t="s">
        <v>374</v>
      </c>
      <c r="E38" s="308">
        <v>23000</v>
      </c>
      <c r="F38" s="309">
        <f>IF('33'!$G$65=0,"",'33'!$G$65)</f>
        <v>8750.009213543055</v>
      </c>
      <c r="G38" s="309">
        <f>IF(OFERTA!$C38="","",IF(OFERTA!$F38="","",OFERTA!$F38*OFERTA!$E38))</f>
        <v>201250211.91149026</v>
      </c>
      <c r="H38" s="317">
        <f>+IF(OFERTA!$F38="","",OFERTA!$G38/OFERTA!$G$216)</f>
        <v>1.0466412733064803E-2</v>
      </c>
      <c r="I38" s="310">
        <v>19283.474913177066</v>
      </c>
      <c r="J38" s="310">
        <f t="shared" si="3"/>
        <v>443519923.0030725</v>
      </c>
      <c r="K38" s="310"/>
      <c r="L38" s="310">
        <f t="shared" si="4"/>
        <v>0</v>
      </c>
      <c r="M38" s="311">
        <f>+'33'!$N$28+'33'!$N$47</f>
        <v>1895.3279125566514</v>
      </c>
      <c r="N38" s="311">
        <f>+'33'!$M$28+'33'!$M$47</f>
        <v>475.07331378299114</v>
      </c>
      <c r="O38" s="311">
        <f>IF('33'!$G$39=0,0,'33'!$G$39)</f>
        <v>226.66666666666666</v>
      </c>
      <c r="P38" s="311">
        <f>IF('33'!$G$55=0,0,'33'!$G$55)</f>
        <v>4694.6064516129027</v>
      </c>
      <c r="Q38" s="311">
        <f>+OFERTA!$M38+OFERTA!$N38+OFERTA!$O38+OFERTA!$P38</f>
        <v>7291.6743446192122</v>
      </c>
      <c r="R38" s="309">
        <f>IF(OFERTA!$M38="","",OFERTA!$M38*OFERTA!$E38)</f>
        <v>43592541.988802984</v>
      </c>
      <c r="S38" s="309">
        <f>IF(OFERTA!$N38="","",OFERTA!$N38*OFERTA!$E38)</f>
        <v>10926686.217008796</v>
      </c>
      <c r="T38" s="309">
        <f>IF(OFERTA!$O38="","",OFERTA!$O38*OFERTA!$E38)</f>
        <v>5213333.333333333</v>
      </c>
      <c r="U38" s="309">
        <f>IF(OFERTA!$P38="","",OFERTA!$P38*OFERTA!$E38)</f>
        <v>107975948.38709676</v>
      </c>
      <c r="V38" s="309">
        <f>IF(OFERTA!$U38="","",OFERTA!$U38+OFERTA!$T38+OFERTA!$S38+OFERTA!$R38)</f>
        <v>167708509.92624187</v>
      </c>
      <c r="W38" s="319">
        <f>IF(OFERTA!$R38="","",OFERTA!$R38/OFERTA!$R$216)</f>
        <v>2.1284401866219816E-2</v>
      </c>
      <c r="X38" s="319">
        <f>IF(OFERTA!$S38="","",OFERTA!$S38/OFERTA!$S$216)</f>
        <v>1.7249072617365309E-2</v>
      </c>
      <c r="Y38" s="319">
        <f>IF(OFERTA!$T38="","",OFERTA!$T38/OFERTA!$T$216)</f>
        <v>5.5159179152851714E-4</v>
      </c>
      <c r="Z38" s="319">
        <f>IF(OFERTA!$U38="","",OFERTA!$U38/OFERTA!$U$216)</f>
        <v>2.7907777579034489E-2</v>
      </c>
      <c r="AA38" s="140"/>
      <c r="AB38" s="309">
        <f>IF(AI38="","",AI38*OFERTA!$Q38)</f>
        <v>497292.19030303031</v>
      </c>
      <c r="AC38" s="309">
        <f>IF(AI38="","",OFERTA!$N38*AI38)</f>
        <v>32399.999999999996</v>
      </c>
      <c r="AD38" s="309">
        <f>IF(AI38="","",OFERTA!$M38*AI38)</f>
        <v>129261.36363636363</v>
      </c>
      <c r="AE38" s="309">
        <f>IF(AI38="","",OFERTA!$P38*AI38)</f>
        <v>320172.15999999997</v>
      </c>
      <c r="AF38" s="309">
        <f>IF(AI38="","",OFERTA!$O38*AI38)</f>
        <v>15458.666666666666</v>
      </c>
      <c r="AG38" s="308">
        <f t="shared" ref="AG38:AG69" si="6">IF(AL38="","",AL38*AH38)</f>
        <v>337.2434017595308</v>
      </c>
      <c r="AH38" s="312">
        <v>7.27</v>
      </c>
      <c r="AI38" s="308">
        <f>IF('33'!$G$20=0,"",'33'!$G$20)</f>
        <v>68.2</v>
      </c>
      <c r="AJ38" s="312">
        <f t="shared" ref="AJ38:AJ69" si="7">IF(AI38="","",AI38*AH38)</f>
        <v>495.81399999999996</v>
      </c>
      <c r="AK38" s="312">
        <f t="shared" si="5"/>
        <v>1.5462787792734105</v>
      </c>
      <c r="AL38" s="312">
        <f>IF(AJ38="","",OFERTA!$E38/AJ38)</f>
        <v>46.388363378202314</v>
      </c>
      <c r="AR38" s="164"/>
    </row>
    <row r="39" spans="1:44" s="376" customFormat="1" ht="100.15" customHeight="1" x14ac:dyDescent="0.3">
      <c r="A39" s="366" t="s">
        <v>438</v>
      </c>
      <c r="B39" s="367">
        <v>34</v>
      </c>
      <c r="C39" s="368" t="s">
        <v>548</v>
      </c>
      <c r="D39" s="369" t="s">
        <v>418</v>
      </c>
      <c r="E39" s="369">
        <v>26</v>
      </c>
      <c r="F39" s="370">
        <f>IF('34'!$G$65=0,"",'34'!$G$65)</f>
        <v>2459297.4975552447</v>
      </c>
      <c r="G39" s="370">
        <f>IF(OFERTA!$C39="","",IF(OFERTA!$F39="","",OFERTA!$F39*OFERTA!$E39))</f>
        <v>63941734.936436363</v>
      </c>
      <c r="H39" s="371">
        <f>+IF(OFERTA!$F39="","",OFERTA!$G39/OFERTA!$G$216)</f>
        <v>3.3254155727662224E-3</v>
      </c>
      <c r="I39" s="372">
        <v>2523320.9592814278</v>
      </c>
      <c r="J39" s="372">
        <f t="shared" si="3"/>
        <v>65606344.941317126</v>
      </c>
      <c r="K39" s="372"/>
      <c r="L39" s="372">
        <f t="shared" si="4"/>
        <v>0</v>
      </c>
      <c r="M39" s="373">
        <f>+'34'!$N$28+'34'!$N$47</f>
        <v>12310.60606060606</v>
      </c>
      <c r="N39" s="373">
        <f>+'34'!$M$28+'34'!$M$47</f>
        <v>7200</v>
      </c>
      <c r="O39" s="373">
        <f>IF('34'!$G$39=0,0,'34'!$G$39)</f>
        <v>1975138.4615384615</v>
      </c>
      <c r="P39" s="373">
        <f>IF('34'!$G$55=0,0,'34'!$G$55)</f>
        <v>54765.513696969698</v>
      </c>
      <c r="Q39" s="373">
        <f>+OFERTA!$M39+OFERTA!$N39+OFERTA!$O39+OFERTA!$P39</f>
        <v>2049414.5812960372</v>
      </c>
      <c r="R39" s="370">
        <f>IF(OFERTA!$M39="","",OFERTA!$M39*OFERTA!$E39)</f>
        <v>320075.75757575757</v>
      </c>
      <c r="S39" s="370">
        <f>IF(OFERTA!$N39="","",OFERTA!$N39*OFERTA!$E39)</f>
        <v>187200</v>
      </c>
      <c r="T39" s="370">
        <f>IF(OFERTA!$O39="","",OFERTA!$O39*OFERTA!$E39)</f>
        <v>51353600</v>
      </c>
      <c r="U39" s="370">
        <f>IF(OFERTA!$P39="","",OFERTA!$P39*OFERTA!$E39)</f>
        <v>1423903.3561212122</v>
      </c>
      <c r="V39" s="370">
        <f>IF(OFERTA!$U39="","",OFERTA!$U39+OFERTA!$T39+OFERTA!$S39+OFERTA!$R39)</f>
        <v>53284779.11369697</v>
      </c>
      <c r="W39" s="374">
        <f>IF(OFERTA!$R39="","",OFERTA!$R39/OFERTA!$R$216)</f>
        <v>1.5627950885789224E-4</v>
      </c>
      <c r="X39" s="374">
        <f>IF(OFERTA!$S39="","",OFERTA!$S39/OFERTA!$S$216)</f>
        <v>2.9551744507354759E-4</v>
      </c>
      <c r="Y39" s="374">
        <f>IF(OFERTA!$T39="","",OFERTA!$T39/OFERTA!$T$216)</f>
        <v>5.4334189690739502E-3</v>
      </c>
      <c r="Z39" s="374">
        <f>IF(OFERTA!$U39="","",OFERTA!$U39/OFERTA!$U$216)</f>
        <v>3.6802620167048476E-4</v>
      </c>
      <c r="AA39" s="366"/>
      <c r="AB39" s="370">
        <f>IF(AI39="","",AI39*OFERTA!$Q39)</f>
        <v>6148243.7438881118</v>
      </c>
      <c r="AC39" s="370">
        <f>IF(AI39="","",OFERTA!$N39*AI39)</f>
        <v>21600</v>
      </c>
      <c r="AD39" s="370">
        <f>IF(AI39="","",OFERTA!$M39*AI39)</f>
        <v>36931.818181818177</v>
      </c>
      <c r="AE39" s="370">
        <f>IF(AI39="","",OFERTA!$P39*AI39)</f>
        <v>164296.5410909091</v>
      </c>
      <c r="AF39" s="370">
        <f>IF(AI39="","",OFERTA!$O39*AI39)</f>
        <v>5925415.384615384</v>
      </c>
      <c r="AG39" s="369">
        <f t="shared" si="6"/>
        <v>8.6666666666666661</v>
      </c>
      <c r="AH39" s="375">
        <v>7.27</v>
      </c>
      <c r="AI39" s="369">
        <f>IF('34'!$G$20=0,"",'34'!$G$20)</f>
        <v>3</v>
      </c>
      <c r="AJ39" s="375">
        <f t="shared" si="7"/>
        <v>21.81</v>
      </c>
      <c r="AK39" s="375">
        <f t="shared" si="5"/>
        <v>3.9737123643588571E-2</v>
      </c>
      <c r="AL39" s="375">
        <f>IF(AJ39="","",OFERTA!$E39/AJ39)</f>
        <v>1.192113709307657</v>
      </c>
      <c r="AR39" s="377"/>
    </row>
    <row r="40" spans="1:44" s="163" customFormat="1" ht="114" customHeight="1" x14ac:dyDescent="0.3">
      <c r="A40" s="145" t="s">
        <v>438</v>
      </c>
      <c r="B40" s="318">
        <v>35</v>
      </c>
      <c r="C40" s="307" t="s">
        <v>379</v>
      </c>
      <c r="D40" s="308" t="s">
        <v>373</v>
      </c>
      <c r="E40" s="308">
        <v>1320</v>
      </c>
      <c r="F40" s="309">
        <f>IF('35'!$G$65=0,"",'35'!$G$65)</f>
        <v>109916.70438077104</v>
      </c>
      <c r="G40" s="309">
        <f>IF(OFERTA!$C40="","",IF(OFERTA!$F40="","",OFERTA!$F40*OFERTA!$E40))</f>
        <v>145090049.78261778</v>
      </c>
      <c r="H40" s="317">
        <f>+IF(OFERTA!$F40="","",OFERTA!$G40/OFERTA!$G$216)</f>
        <v>7.5456931451762348E-3</v>
      </c>
      <c r="I40" s="310">
        <v>157043.63224237555</v>
      </c>
      <c r="J40" s="310">
        <f t="shared" si="3"/>
        <v>207297594.55993572</v>
      </c>
      <c r="K40" s="310"/>
      <c r="L40" s="310">
        <f t="shared" si="4"/>
        <v>0</v>
      </c>
      <c r="M40" s="311">
        <f>+'35'!$N$28+'35'!$N$47</f>
        <v>6445.3434872283033</v>
      </c>
      <c r="N40" s="311">
        <f>+'35'!$M$28+'35'!$M$47</f>
        <v>3769.633507853403</v>
      </c>
      <c r="O40" s="311">
        <f>IF('35'!$G$39=0,0,'35'!$G$39)</f>
        <v>56081.119999999995</v>
      </c>
      <c r="P40" s="311">
        <f>IF('35'!$G$55=0,0,'35'!$G$55)</f>
        <v>25301.156655560841</v>
      </c>
      <c r="Q40" s="311">
        <f>+OFERTA!$M40+OFERTA!$N40+OFERTA!$O40+OFERTA!$P40</f>
        <v>91597.253650642539</v>
      </c>
      <c r="R40" s="309">
        <f>IF(OFERTA!$M40="","",OFERTA!$M40*OFERTA!$E40)</f>
        <v>8507853.4031413607</v>
      </c>
      <c r="S40" s="309">
        <f>IF(OFERTA!$N40="","",OFERTA!$N40*OFERTA!$E40)</f>
        <v>4975916.2303664917</v>
      </c>
      <c r="T40" s="309">
        <f>IF(OFERTA!$O40="","",OFERTA!$O40*OFERTA!$E40)</f>
        <v>74027078.399999991</v>
      </c>
      <c r="U40" s="309">
        <f>IF(OFERTA!$P40="","",OFERTA!$P40*OFERTA!$E40)</f>
        <v>33397526.785340309</v>
      </c>
      <c r="V40" s="309">
        <f>IF(OFERTA!$U40="","",OFERTA!$U40+OFERTA!$T40+OFERTA!$S40+OFERTA!$R40)</f>
        <v>120908374.81884816</v>
      </c>
      <c r="W40" s="319">
        <f>IF(OFERTA!$R40="","",OFERTA!$R40/OFERTA!$R$216)</f>
        <v>4.1540264134598825E-3</v>
      </c>
      <c r="X40" s="319">
        <f>IF(OFERTA!$S40="","",OFERTA!$S40/OFERTA!$S$216)</f>
        <v>7.8550750603520493E-3</v>
      </c>
      <c r="Y40" s="319">
        <f>IF(OFERTA!$T40="","",OFERTA!$T40/OFERTA!$T$216)</f>
        <v>7.8323648586210975E-3</v>
      </c>
      <c r="Z40" s="319">
        <f>IF(OFERTA!$U40="","",OFERTA!$U40/OFERTA!$U$216)</f>
        <v>8.6320218820741118E-3</v>
      </c>
      <c r="AA40" s="140"/>
      <c r="AB40" s="309">
        <f>IF(AI40="","",AI40*OFERTA!$Q40)</f>
        <v>524852.2634181818</v>
      </c>
      <c r="AC40" s="309">
        <f>IF(AI40="","",OFERTA!$N40*AI40)</f>
        <v>21600</v>
      </c>
      <c r="AD40" s="309">
        <f>IF(AI40="","",OFERTA!$M40*AI40)</f>
        <v>36931.818181818184</v>
      </c>
      <c r="AE40" s="309">
        <f>IF(AI40="","",OFERTA!$P40*AI40)</f>
        <v>144975.62763636361</v>
      </c>
      <c r="AF40" s="309">
        <f>IF(AI40="","",OFERTA!$O40*AI40)</f>
        <v>321344.81760000001</v>
      </c>
      <c r="AG40" s="308">
        <f t="shared" si="6"/>
        <v>230.36649214659687</v>
      </c>
      <c r="AH40" s="312">
        <v>7.27</v>
      </c>
      <c r="AI40" s="308">
        <f>IF('35'!$G$20=0,"",'35'!$G$20)</f>
        <v>5.73</v>
      </c>
      <c r="AJ40" s="312">
        <f t="shared" si="7"/>
        <v>41.6571</v>
      </c>
      <c r="AK40" s="312">
        <f t="shared" si="5"/>
        <v>1.0562425132810493</v>
      </c>
      <c r="AL40" s="312">
        <f>IF(AJ40="","",OFERTA!$E40/AJ40)</f>
        <v>31.687275398431481</v>
      </c>
      <c r="AR40" s="164"/>
    </row>
    <row r="41" spans="1:44" s="221" customFormat="1" hidden="1" x14ac:dyDescent="0.3">
      <c r="A41" s="354"/>
      <c r="B41" s="355">
        <v>36</v>
      </c>
      <c r="C41" s="356"/>
      <c r="D41" s="357" t="s">
        <v>373</v>
      </c>
      <c r="E41" s="357"/>
      <c r="F41" s="358">
        <f>IF('36'!$G$65=0,"",'36'!$G$65)</f>
        <v>12443.513685333333</v>
      </c>
      <c r="G41" s="358" t="str">
        <f>IF(OFERTA!$C41="","",IF(OFERTA!$F41="","",OFERTA!$F41*OFERTA!$E41))</f>
        <v/>
      </c>
      <c r="H41" s="359" t="e">
        <f>+IF(OFERTA!$F41="","",OFERTA!$G41/OFERTA!$G$216)</f>
        <v>#VALUE!</v>
      </c>
      <c r="I41" s="325">
        <v>518769.62561500649</v>
      </c>
      <c r="J41" s="325" t="str">
        <f t="shared" si="3"/>
        <v/>
      </c>
      <c r="K41" s="325"/>
      <c r="L41" s="325" t="str">
        <f t="shared" si="4"/>
        <v/>
      </c>
      <c r="M41" s="360">
        <f>+'36'!$N$28+'36'!$N$47</f>
        <v>0</v>
      </c>
      <c r="N41" s="360">
        <f>+'36'!$M$28+'36'!$M$47</f>
        <v>0</v>
      </c>
      <c r="O41" s="360">
        <f>IF('36'!$G$39=0,0,'36'!$G$39)</f>
        <v>10260</v>
      </c>
      <c r="P41" s="360">
        <f>IF('36'!$G$55=0,0,'36'!$G$55)</f>
        <v>109.59473777777777</v>
      </c>
      <c r="Q41" s="360">
        <f>+OFERTA!$M41+OFERTA!$N41+OFERTA!$O41+OFERTA!$P41</f>
        <v>10369.594737777777</v>
      </c>
      <c r="R41" s="358">
        <f>IF(OFERTA!$M41="","",OFERTA!$M41*OFERTA!$E41)</f>
        <v>0</v>
      </c>
      <c r="S41" s="358">
        <f>IF(OFERTA!$N41="","",OFERTA!$N41*OFERTA!$E41)</f>
        <v>0</v>
      </c>
      <c r="T41" s="358">
        <f>IF(OFERTA!$O41="","",OFERTA!$O41*OFERTA!$E41)</f>
        <v>0</v>
      </c>
      <c r="U41" s="358">
        <f>IF(OFERTA!$P41="","",OFERTA!$P41*OFERTA!$E41)</f>
        <v>0</v>
      </c>
      <c r="V41" s="358">
        <f>IF(OFERTA!$U41="","",OFERTA!$U41+OFERTA!$T41+OFERTA!$S41+OFERTA!$R41)</f>
        <v>0</v>
      </c>
      <c r="W41" s="361">
        <f>IF(OFERTA!$R41="","",OFERTA!$R41/OFERTA!$R$216)</f>
        <v>0</v>
      </c>
      <c r="X41" s="361">
        <f>IF(OFERTA!$S41="","",OFERTA!$S41/OFERTA!$S$216)</f>
        <v>0</v>
      </c>
      <c r="Y41" s="361">
        <f>IF(OFERTA!$T41="","",OFERTA!$T41/OFERTA!$T$216)</f>
        <v>0</v>
      </c>
      <c r="Z41" s="361">
        <f>IF(OFERTA!$U41="","",OFERTA!$U41/OFERTA!$U$216)</f>
        <v>0</v>
      </c>
      <c r="AA41" s="354"/>
      <c r="AB41" s="358">
        <f>IF(AI41="","",AI41*OFERTA!$Q41)</f>
        <v>2333158.8160000001</v>
      </c>
      <c r="AC41" s="358">
        <f>IF(AI41="","",OFERTA!$N41*AI41)</f>
        <v>0</v>
      </c>
      <c r="AD41" s="358">
        <f>IF(AI41="","",OFERTA!$M41*AI41)</f>
        <v>0</v>
      </c>
      <c r="AE41" s="358">
        <f>IF(AI41="","",OFERTA!$P41*AI41)</f>
        <v>24658.815999999999</v>
      </c>
      <c r="AF41" s="358">
        <f>IF(AI41="","",OFERTA!$O41*AI41)</f>
        <v>2308500</v>
      </c>
      <c r="AG41" s="357">
        <f t="shared" si="6"/>
        <v>0</v>
      </c>
      <c r="AH41" s="362">
        <v>7.27</v>
      </c>
      <c r="AI41" s="357">
        <f>IF('36'!$G$20=0,"",'36'!$G$20)</f>
        <v>225</v>
      </c>
      <c r="AJ41" s="362">
        <f t="shared" si="7"/>
        <v>1635.75</v>
      </c>
      <c r="AK41" s="362">
        <f t="shared" si="5"/>
        <v>0</v>
      </c>
      <c r="AL41" s="362">
        <f>IF(AJ41="","",OFERTA!$E41/AJ41)</f>
        <v>0</v>
      </c>
      <c r="AR41" s="363"/>
    </row>
    <row r="42" spans="1:44" s="221" customFormat="1" hidden="1" x14ac:dyDescent="0.3">
      <c r="A42" s="354"/>
      <c r="B42" s="355">
        <v>37</v>
      </c>
      <c r="C42" s="356"/>
      <c r="D42" s="357" t="s">
        <v>373</v>
      </c>
      <c r="E42" s="357"/>
      <c r="F42" s="358">
        <f>IF('37'!$G$65=0,"",'37'!$G$65)</f>
        <v>28932.964737662336</v>
      </c>
      <c r="G42" s="358" t="str">
        <f>IF(OFERTA!$C42="","",IF(OFERTA!$F42="","",OFERTA!$F42*OFERTA!$E42))</f>
        <v/>
      </c>
      <c r="H42" s="359" t="e">
        <f>+IF(OFERTA!$F42="","",OFERTA!$G42/OFERTA!$G$216)</f>
        <v>#VALUE!</v>
      </c>
      <c r="I42" s="325">
        <v>518769.62561500649</v>
      </c>
      <c r="J42" s="325" t="str">
        <f t="shared" si="3"/>
        <v/>
      </c>
      <c r="K42" s="325"/>
      <c r="L42" s="325" t="str">
        <f t="shared" si="4"/>
        <v/>
      </c>
      <c r="M42" s="360">
        <f>+'37'!$N$28+'37'!$N$47</f>
        <v>0</v>
      </c>
      <c r="N42" s="360">
        <f>+'37'!$M$28+'37'!$M$47</f>
        <v>0</v>
      </c>
      <c r="O42" s="360">
        <f>IF('37'!$G$39=0,0,'37'!$G$39)</f>
        <v>3400</v>
      </c>
      <c r="P42" s="360">
        <f>IF('37'!$G$55=0,0,'37'!$G$55)</f>
        <v>20710.803948051947</v>
      </c>
      <c r="Q42" s="360">
        <f>+OFERTA!$M42+OFERTA!$N42+OFERTA!$O42+OFERTA!$P42</f>
        <v>24110.803948051947</v>
      </c>
      <c r="R42" s="358">
        <f>IF(OFERTA!$M42="","",OFERTA!$M42*OFERTA!$E42)</f>
        <v>0</v>
      </c>
      <c r="S42" s="358">
        <f>IF(OFERTA!$N42="","",OFERTA!$N42*OFERTA!$E42)</f>
        <v>0</v>
      </c>
      <c r="T42" s="358">
        <f>IF(OFERTA!$O42="","",OFERTA!$O42*OFERTA!$E42)</f>
        <v>0</v>
      </c>
      <c r="U42" s="358">
        <f>IF(OFERTA!$P42="","",OFERTA!$P42*OFERTA!$E42)</f>
        <v>0</v>
      </c>
      <c r="V42" s="358">
        <f>IF(OFERTA!$U42="","",OFERTA!$U42+OFERTA!$T42+OFERTA!$S42+OFERTA!$R42)</f>
        <v>0</v>
      </c>
      <c r="W42" s="361">
        <f>IF(OFERTA!$R42="","",OFERTA!$R42/OFERTA!$R$216)</f>
        <v>0</v>
      </c>
      <c r="X42" s="361">
        <f>IF(OFERTA!$S42="","",OFERTA!$S42/OFERTA!$S$216)</f>
        <v>0</v>
      </c>
      <c r="Y42" s="361">
        <f>IF(OFERTA!$T42="","",OFERTA!$T42/OFERTA!$T$216)</f>
        <v>0</v>
      </c>
      <c r="Z42" s="361">
        <f>IF(OFERTA!$U42="","",OFERTA!$U42/OFERTA!$U$216)</f>
        <v>0</v>
      </c>
      <c r="AA42" s="354"/>
      <c r="AB42" s="358">
        <f>IF(AI42="","",AI42*OFERTA!$Q42)</f>
        <v>168775.62763636364</v>
      </c>
      <c r="AC42" s="358">
        <f>IF(AI42="","",OFERTA!$N42*AI42)</f>
        <v>0</v>
      </c>
      <c r="AD42" s="358">
        <f>IF(AI42="","",OFERTA!$M42*AI42)</f>
        <v>0</v>
      </c>
      <c r="AE42" s="358">
        <f>IF(AI42="","",OFERTA!$P42*AI42)</f>
        <v>144975.62763636364</v>
      </c>
      <c r="AF42" s="358">
        <f>IF(AI42="","",OFERTA!$O42*AI42)</f>
        <v>23800</v>
      </c>
      <c r="AG42" s="357">
        <f t="shared" si="6"/>
        <v>0</v>
      </c>
      <c r="AH42" s="362">
        <v>7.27</v>
      </c>
      <c r="AI42" s="357">
        <f>IF('37'!$G$20=0,"",'37'!$G$20)</f>
        <v>7</v>
      </c>
      <c r="AJ42" s="362">
        <f t="shared" si="7"/>
        <v>50.89</v>
      </c>
      <c r="AK42" s="362">
        <f t="shared" si="5"/>
        <v>0</v>
      </c>
      <c r="AL42" s="362">
        <f>IF(AJ42="","",OFERTA!$E42/AJ42)</f>
        <v>0</v>
      </c>
      <c r="AR42" s="363"/>
    </row>
    <row r="43" spans="1:44" s="221" customFormat="1" hidden="1" x14ac:dyDescent="0.3">
      <c r="A43" s="354"/>
      <c r="B43" s="355">
        <v>38</v>
      </c>
      <c r="C43" s="356"/>
      <c r="D43" s="357" t="s">
        <v>373</v>
      </c>
      <c r="E43" s="357"/>
      <c r="F43" s="358">
        <f>IF('38'!$G$65=0,"",'38'!$G$65)</f>
        <v>28932.964737662336</v>
      </c>
      <c r="G43" s="358" t="str">
        <f>IF(OFERTA!$C43="","",IF(OFERTA!$F43="","",OFERTA!$F43*OFERTA!$E43))</f>
        <v/>
      </c>
      <c r="H43" s="359" t="e">
        <f>+IF(OFERTA!$F43="","",OFERTA!$G43/OFERTA!$G$216)</f>
        <v>#VALUE!</v>
      </c>
      <c r="I43" s="325">
        <v>80262.477104360878</v>
      </c>
      <c r="J43" s="325" t="str">
        <f t="shared" si="3"/>
        <v/>
      </c>
      <c r="K43" s="325"/>
      <c r="L43" s="325" t="str">
        <f t="shared" si="4"/>
        <v/>
      </c>
      <c r="M43" s="360">
        <f>+'38'!$N$28+'38'!$N$47</f>
        <v>0</v>
      </c>
      <c r="N43" s="360">
        <f>+'38'!$M$28+'38'!$M$47</f>
        <v>0</v>
      </c>
      <c r="O43" s="360">
        <f>IF('38'!$G$39=0,0,'38'!$G$39)</f>
        <v>3400</v>
      </c>
      <c r="P43" s="360">
        <f>IF('38'!$G$55=0,0,'38'!$G$55)</f>
        <v>20710.803948051947</v>
      </c>
      <c r="Q43" s="360">
        <f>+OFERTA!$M43+OFERTA!$N43+OFERTA!$O43+OFERTA!$P43</f>
        <v>24110.803948051947</v>
      </c>
      <c r="R43" s="358">
        <f>IF(OFERTA!$M43="","",OFERTA!$M43*OFERTA!$E43)</f>
        <v>0</v>
      </c>
      <c r="S43" s="358">
        <f>IF(OFERTA!$N43="","",OFERTA!$N43*OFERTA!$E43)</f>
        <v>0</v>
      </c>
      <c r="T43" s="358">
        <f>IF(OFERTA!$O43="","",OFERTA!$O43*OFERTA!$E43)</f>
        <v>0</v>
      </c>
      <c r="U43" s="358">
        <f>IF(OFERTA!$P43="","",OFERTA!$P43*OFERTA!$E43)</f>
        <v>0</v>
      </c>
      <c r="V43" s="358">
        <f>IF(OFERTA!$U43="","",OFERTA!$U43+OFERTA!$T43+OFERTA!$S43+OFERTA!$R43)</f>
        <v>0</v>
      </c>
      <c r="W43" s="361">
        <f>IF(OFERTA!$R43="","",OFERTA!$R43/OFERTA!$R$216)</f>
        <v>0</v>
      </c>
      <c r="X43" s="361">
        <f>IF(OFERTA!$S43="","",OFERTA!$S43/OFERTA!$S$216)</f>
        <v>0</v>
      </c>
      <c r="Y43" s="361">
        <f>IF(OFERTA!$T43="","",OFERTA!$T43/OFERTA!$T$216)</f>
        <v>0</v>
      </c>
      <c r="Z43" s="361">
        <f>IF(OFERTA!$U43="","",OFERTA!$U43/OFERTA!$U$216)</f>
        <v>0</v>
      </c>
      <c r="AA43" s="354"/>
      <c r="AB43" s="358">
        <f>IF(AI43="","",AI43*OFERTA!$Q43)</f>
        <v>168775.62763636364</v>
      </c>
      <c r="AC43" s="358">
        <f>IF(AI43="","",OFERTA!$N43*AI43)</f>
        <v>0</v>
      </c>
      <c r="AD43" s="358">
        <f>IF(AI43="","",OFERTA!$M43*AI43)</f>
        <v>0</v>
      </c>
      <c r="AE43" s="358">
        <f>IF(AI43="","",OFERTA!$P43*AI43)</f>
        <v>144975.62763636364</v>
      </c>
      <c r="AF43" s="358">
        <f>IF(AI43="","",OFERTA!$O43*AI43)</f>
        <v>23800</v>
      </c>
      <c r="AG43" s="357">
        <f t="shared" si="6"/>
        <v>0</v>
      </c>
      <c r="AH43" s="362">
        <v>7.27</v>
      </c>
      <c r="AI43" s="357">
        <f>IF('38'!$G$20=0,"",'38'!$G$20)</f>
        <v>7</v>
      </c>
      <c r="AJ43" s="362">
        <f t="shared" si="7"/>
        <v>50.89</v>
      </c>
      <c r="AK43" s="362">
        <f t="shared" si="5"/>
        <v>0</v>
      </c>
      <c r="AL43" s="362">
        <f>IF(AJ43="","",OFERTA!$E43/AJ43)</f>
        <v>0</v>
      </c>
      <c r="AR43" s="363"/>
    </row>
    <row r="44" spans="1:44" s="221" customFormat="1" hidden="1" x14ac:dyDescent="0.3">
      <c r="A44" s="354"/>
      <c r="B44" s="355">
        <v>39</v>
      </c>
      <c r="C44" s="356"/>
      <c r="D44" s="357" t="s">
        <v>373</v>
      </c>
      <c r="E44" s="357"/>
      <c r="F44" s="358">
        <f>IF('39'!$G$65=0,"",'39'!$G$65)</f>
        <v>50625.739137662342</v>
      </c>
      <c r="G44" s="358" t="str">
        <f>IF(OFERTA!$C44="","",IF(OFERTA!$F44="","",OFERTA!$F44*OFERTA!$E44))</f>
        <v/>
      </c>
      <c r="H44" s="359" t="e">
        <f>+IF(OFERTA!$F44="","",OFERTA!$G44/OFERTA!$G$216)</f>
        <v>#VALUE!</v>
      </c>
      <c r="I44" s="325">
        <v>54727.0998820737</v>
      </c>
      <c r="J44" s="325" t="str">
        <f t="shared" si="3"/>
        <v/>
      </c>
      <c r="K44" s="325"/>
      <c r="L44" s="325" t="str">
        <f t="shared" si="4"/>
        <v/>
      </c>
      <c r="M44" s="360">
        <f>+'39'!$N$28+'39'!$N$47</f>
        <v>0</v>
      </c>
      <c r="N44" s="360">
        <f>+'39'!$M$28+'39'!$M$47</f>
        <v>0</v>
      </c>
      <c r="O44" s="360">
        <f>IF('39'!$G$39=0,0,'39'!$G$39)</f>
        <v>25000</v>
      </c>
      <c r="P44" s="360">
        <f>IF('39'!$G$55=0,0,'39'!$G$55)</f>
        <v>17188.115948051949</v>
      </c>
      <c r="Q44" s="360">
        <f>+OFERTA!$M44+OFERTA!$N44+OFERTA!$O44+OFERTA!$P44</f>
        <v>42188.115948051949</v>
      </c>
      <c r="R44" s="358">
        <f>IF(OFERTA!$M44="","",OFERTA!$M44*OFERTA!$E44)</f>
        <v>0</v>
      </c>
      <c r="S44" s="358">
        <f>IF(OFERTA!$N44="","",OFERTA!$N44*OFERTA!$E44)</f>
        <v>0</v>
      </c>
      <c r="T44" s="358">
        <f>IF(OFERTA!$O44="","",OFERTA!$O44*OFERTA!$E44)</f>
        <v>0</v>
      </c>
      <c r="U44" s="358">
        <f>IF(OFERTA!$P44="","",OFERTA!$P44*OFERTA!$E44)</f>
        <v>0</v>
      </c>
      <c r="V44" s="358">
        <f>IF(OFERTA!$U44="","",OFERTA!$U44+OFERTA!$T44+OFERTA!$S44+OFERTA!$R44)</f>
        <v>0</v>
      </c>
      <c r="W44" s="361">
        <f>IF(OFERTA!$R44="","",OFERTA!$R44/OFERTA!$R$216)</f>
        <v>0</v>
      </c>
      <c r="X44" s="361">
        <f>IF(OFERTA!$S44="","",OFERTA!$S44/OFERTA!$S$216)</f>
        <v>0</v>
      </c>
      <c r="Y44" s="361">
        <f>IF(OFERTA!$T44="","",OFERTA!$T44/OFERTA!$T$216)</f>
        <v>0</v>
      </c>
      <c r="Z44" s="361">
        <f>IF(OFERTA!$U44="","",OFERTA!$U44/OFERTA!$U$216)</f>
        <v>0</v>
      </c>
      <c r="AA44" s="354"/>
      <c r="AB44" s="358">
        <f>IF(AI44="","",AI44*OFERTA!$Q44)</f>
        <v>295316.81163636362</v>
      </c>
      <c r="AC44" s="358">
        <f>IF(AI44="","",OFERTA!$N44*AI44)</f>
        <v>0</v>
      </c>
      <c r="AD44" s="358">
        <f>IF(AI44="","",OFERTA!$M44*AI44)</f>
        <v>0</v>
      </c>
      <c r="AE44" s="358">
        <f>IF(AI44="","",OFERTA!$P44*AI44)</f>
        <v>120316.81163636365</v>
      </c>
      <c r="AF44" s="358">
        <f>IF(AI44="","",OFERTA!$O44*AI44)</f>
        <v>175000</v>
      </c>
      <c r="AG44" s="357">
        <f t="shared" si="6"/>
        <v>0</v>
      </c>
      <c r="AH44" s="362">
        <v>7.27</v>
      </c>
      <c r="AI44" s="357">
        <f>IF('39'!$G$20=0,"",'39'!$G$20)</f>
        <v>7</v>
      </c>
      <c r="AJ44" s="362">
        <f t="shared" si="7"/>
        <v>50.89</v>
      </c>
      <c r="AK44" s="362">
        <f t="shared" si="5"/>
        <v>0</v>
      </c>
      <c r="AL44" s="362">
        <f>IF(AJ44="","",OFERTA!$E44/AJ44)</f>
        <v>0</v>
      </c>
      <c r="AR44" s="363"/>
    </row>
    <row r="45" spans="1:44" s="351" customFormat="1" ht="49.5" x14ac:dyDescent="0.3">
      <c r="A45" s="340" t="s">
        <v>438</v>
      </c>
      <c r="B45" s="341">
        <v>40</v>
      </c>
      <c r="C45" s="342" t="s">
        <v>380</v>
      </c>
      <c r="D45" s="343" t="s">
        <v>373</v>
      </c>
      <c r="E45" s="343">
        <v>2</v>
      </c>
      <c r="F45" s="344">
        <f>IF('40'!$G$65=0,"",'40'!$G$65)</f>
        <v>477248.90131661441</v>
      </c>
      <c r="G45" s="344">
        <f>IF(OFERTA!$C45="","",IF(OFERTA!$F45="","",OFERTA!$F45*OFERTA!$E45))</f>
        <v>954497.80263322883</v>
      </c>
      <c r="H45" s="345">
        <f>+IF(OFERTA!$F45="","",OFERTA!$G45/OFERTA!$G$216)</f>
        <v>4.9640533842302096E-5</v>
      </c>
      <c r="I45" s="346">
        <v>2729532.2381573827</v>
      </c>
      <c r="J45" s="346">
        <v>518769.62561500649</v>
      </c>
      <c r="K45" s="346"/>
      <c r="L45" s="346">
        <f t="shared" si="4"/>
        <v>0</v>
      </c>
      <c r="M45" s="347">
        <f>+'40'!$N$28+'40'!$N$47</f>
        <v>10612.59143155695</v>
      </c>
      <c r="N45" s="347">
        <f>+'40'!$M$28+'40'!$M$47</f>
        <v>6206.8965517241377</v>
      </c>
      <c r="O45" s="347">
        <f>IF('40'!$G$39=0,0,'40'!$G$39)</f>
        <v>353400</v>
      </c>
      <c r="P45" s="347">
        <f>IF('40'!$G$55=0,0,'40'!$G$55)</f>
        <v>27487.929780564264</v>
      </c>
      <c r="Q45" s="347">
        <f>+OFERTA!$M45+OFERTA!$N45+OFERTA!$O45+OFERTA!$P45</f>
        <v>397707.41776384535</v>
      </c>
      <c r="R45" s="344">
        <f>IF(OFERTA!$M45="","",OFERTA!$M45*OFERTA!$E45)</f>
        <v>21225.1828631139</v>
      </c>
      <c r="S45" s="344">
        <f>IF(OFERTA!$N45="","",OFERTA!$N45*OFERTA!$E45)</f>
        <v>12413.793103448275</v>
      </c>
      <c r="T45" s="344">
        <f>IF(OFERTA!$O45="","",OFERTA!$O45*OFERTA!$E45)</f>
        <v>706800</v>
      </c>
      <c r="U45" s="344">
        <f>IF(OFERTA!$P45="","",OFERTA!$P45*OFERTA!$E45)</f>
        <v>54975.859561128527</v>
      </c>
      <c r="V45" s="344">
        <f>IF(OFERTA!$U45="","",OFERTA!$U45+OFERTA!$T45+OFERTA!$S45+OFERTA!$R45)</f>
        <v>795414.83552769071</v>
      </c>
      <c r="W45" s="348">
        <f>IF(OFERTA!$R45="","",OFERTA!$R45/OFERTA!$R$216)</f>
        <v>1.0363362656358903E-5</v>
      </c>
      <c r="X45" s="348">
        <f>IF(OFERTA!$S45="","",OFERTA!$S45/OFERTA!$S$216)</f>
        <v>1.9596647551296256E-5</v>
      </c>
      <c r="Y45" s="348">
        <f>IF(OFERTA!$T45="","",OFERTA!$T45/OFERTA!$T$216)</f>
        <v>7.478230401260024E-5</v>
      </c>
      <c r="Z45" s="348">
        <f>IF(OFERTA!$U45="","",OFERTA!$U45/OFERTA!$U$216)</f>
        <v>1.4209220514071044E-5</v>
      </c>
      <c r="AA45" s="349"/>
      <c r="AB45" s="344">
        <f>IF(AI45="","",AI45*OFERTA!$Q45)</f>
        <v>1384021.8138181819</v>
      </c>
      <c r="AC45" s="344">
        <f>IF(AI45="","",OFERTA!$N45*AI45)</f>
        <v>21600</v>
      </c>
      <c r="AD45" s="344">
        <f>IF(AI45="","",OFERTA!$M45*AI45)</f>
        <v>36931.818181818184</v>
      </c>
      <c r="AE45" s="344">
        <f>IF(AI45="","",OFERTA!$P45*AI45)</f>
        <v>95657.99563636363</v>
      </c>
      <c r="AF45" s="344">
        <f>IF(AI45="","",OFERTA!$O45*AI45)</f>
        <v>1229832</v>
      </c>
      <c r="AG45" s="343">
        <f t="shared" si="6"/>
        <v>0.57471264367816088</v>
      </c>
      <c r="AH45" s="350">
        <v>7.27</v>
      </c>
      <c r="AI45" s="343">
        <f>IF('40'!$G$20=0,"",'40'!$G$20)</f>
        <v>3.48</v>
      </c>
      <c r="AJ45" s="350">
        <f t="shared" si="7"/>
        <v>25.299599999999998</v>
      </c>
      <c r="AK45" s="350">
        <f t="shared" si="5"/>
        <v>2.6350877747737781E-3</v>
      </c>
      <c r="AL45" s="350">
        <f>IF(AJ45="","",OFERTA!$E45/AJ45)</f>
        <v>7.9052633243213336E-2</v>
      </c>
      <c r="AR45" s="352"/>
    </row>
    <row r="46" spans="1:44" s="163" customFormat="1" ht="49.5" x14ac:dyDescent="0.3">
      <c r="A46" s="145" t="s">
        <v>438</v>
      </c>
      <c r="B46" s="318">
        <v>41</v>
      </c>
      <c r="C46" s="307" t="s">
        <v>381</v>
      </c>
      <c r="D46" s="308" t="s">
        <v>373</v>
      </c>
      <c r="E46" s="308">
        <v>394</v>
      </c>
      <c r="F46" s="309">
        <f>IF('41'!$G$65=0,"",'41'!$G$65)</f>
        <v>477248.90131661441</v>
      </c>
      <c r="G46" s="309">
        <f>IF(OFERTA!$C46="","",IF(OFERTA!$F46="","",OFERTA!$F46*OFERTA!$E46))</f>
        <v>188036067.11874607</v>
      </c>
      <c r="H46" s="317">
        <f>+IF(OFERTA!$F46="","",OFERTA!$G46/OFERTA!$G$216)</f>
        <v>9.7791851669335132E-3</v>
      </c>
      <c r="I46" s="310">
        <v>52326.692064645868</v>
      </c>
      <c r="J46" s="310">
        <v>518769.62561500649</v>
      </c>
      <c r="K46" s="310"/>
      <c r="L46" s="310">
        <f t="shared" si="4"/>
        <v>0</v>
      </c>
      <c r="M46" s="311">
        <f>+'41'!$N$28+'41'!$N$47</f>
        <v>10612.59143155695</v>
      </c>
      <c r="N46" s="311">
        <f>+'41'!$M$28+'41'!$M$47</f>
        <v>6206.8965517241377</v>
      </c>
      <c r="O46" s="311">
        <f>IF('41'!$G$39=0,0,'41'!$G$39)</f>
        <v>353400</v>
      </c>
      <c r="P46" s="311">
        <f>IF('41'!$G$55=0,0,'41'!$G$55)</f>
        <v>27487.929780564264</v>
      </c>
      <c r="Q46" s="311">
        <f>+OFERTA!$M46+OFERTA!$N46+OFERTA!$O46+OFERTA!$P46</f>
        <v>397707.41776384535</v>
      </c>
      <c r="R46" s="309">
        <f>IF(OFERTA!$M46="","",OFERTA!$M46*OFERTA!$E46)</f>
        <v>4181361.0240334384</v>
      </c>
      <c r="S46" s="309">
        <f>IF(OFERTA!$N46="","",OFERTA!$N46*OFERTA!$E46)</f>
        <v>2445517.2413793104</v>
      </c>
      <c r="T46" s="309">
        <f>IF(OFERTA!$O46="","",OFERTA!$O46*OFERTA!$E46)</f>
        <v>139239600</v>
      </c>
      <c r="U46" s="309">
        <f>IF(OFERTA!$P46="","",OFERTA!$P46*OFERTA!$E46)</f>
        <v>10830244.333542319</v>
      </c>
      <c r="V46" s="309">
        <f>IF(OFERTA!$U46="","",OFERTA!$U46+OFERTA!$T46+OFERTA!$S46+OFERTA!$R46)</f>
        <v>156696722.59895507</v>
      </c>
      <c r="W46" s="319">
        <f>IF(OFERTA!$R46="","",OFERTA!$R46/OFERTA!$R$216)</f>
        <v>2.0415824433027041E-3</v>
      </c>
      <c r="X46" s="319">
        <f>IF(OFERTA!$S46="","",OFERTA!$S46/OFERTA!$S$216)</f>
        <v>3.860539567605363E-3</v>
      </c>
      <c r="Y46" s="319">
        <f>IF(OFERTA!$T46="","",OFERTA!$T46/OFERTA!$T$216)</f>
        <v>1.4732113890482249E-2</v>
      </c>
      <c r="Z46" s="319">
        <f>IF(OFERTA!$U46="","",OFERTA!$U46/OFERTA!$U$216)</f>
        <v>2.7992164412719953E-3</v>
      </c>
      <c r="AA46" s="140"/>
      <c r="AB46" s="309">
        <f>IF(AI46="","",AI46*OFERTA!$Q46)</f>
        <v>1384021.8138181819</v>
      </c>
      <c r="AC46" s="309">
        <f>IF(AI46="","",OFERTA!$N46*AI46)</f>
        <v>21600</v>
      </c>
      <c r="AD46" s="309">
        <f>IF(AI46="","",OFERTA!$M46*AI46)</f>
        <v>36931.818181818184</v>
      </c>
      <c r="AE46" s="309">
        <f>IF(AI46="","",OFERTA!$P46*AI46)</f>
        <v>95657.99563636363</v>
      </c>
      <c r="AF46" s="309">
        <f>IF(AI46="","",OFERTA!$O46*AI46)</f>
        <v>1229832</v>
      </c>
      <c r="AG46" s="308">
        <f t="shared" si="6"/>
        <v>113.2183908045977</v>
      </c>
      <c r="AH46" s="312">
        <v>7.27</v>
      </c>
      <c r="AI46" s="308">
        <f>IF('41'!$G$20=0,"",'41'!$G$20)</f>
        <v>3.48</v>
      </c>
      <c r="AJ46" s="312">
        <f t="shared" si="7"/>
        <v>25.299599999999998</v>
      </c>
      <c r="AK46" s="312">
        <f t="shared" si="5"/>
        <v>0.51911229163043426</v>
      </c>
      <c r="AL46" s="312">
        <f>IF(AJ46="","",OFERTA!$E46/AJ46)</f>
        <v>15.573368748913028</v>
      </c>
      <c r="AR46" s="164"/>
    </row>
    <row r="47" spans="1:44" s="351" customFormat="1" ht="143.44999999999999" customHeight="1" x14ac:dyDescent="0.3">
      <c r="A47" s="340" t="s">
        <v>438</v>
      </c>
      <c r="B47" s="341">
        <v>42</v>
      </c>
      <c r="C47" s="342" t="s">
        <v>555</v>
      </c>
      <c r="D47" s="343" t="s">
        <v>373</v>
      </c>
      <c r="E47" s="343">
        <v>1480</v>
      </c>
      <c r="F47" s="344">
        <f>IF('42'!$G$65=0,"",'42'!$G$65)</f>
        <v>70292.425751600502</v>
      </c>
      <c r="G47" s="344">
        <f>IF(OFERTA!$C47="","",IF(OFERTA!$F47="","",OFERTA!$F47*OFERTA!$E47))</f>
        <v>104032790.11236875</v>
      </c>
      <c r="H47" s="345">
        <f>+IF(OFERTA!$F47="","",OFERTA!$G47/OFERTA!$G$216)</f>
        <v>5.4104296772975822E-3</v>
      </c>
      <c r="I47" s="346">
        <v>340532.50246002618</v>
      </c>
      <c r="J47" s="346">
        <v>80262.477104360878</v>
      </c>
      <c r="K47" s="346"/>
      <c r="L47" s="346">
        <f t="shared" si="4"/>
        <v>0</v>
      </c>
      <c r="M47" s="347">
        <f>+'42'!$N$28+'42'!$N$47</f>
        <v>1120.3585147247118</v>
      </c>
      <c r="N47" s="347">
        <f>+'42'!$M$28+'42'!$M$47</f>
        <v>304.22535211267603</v>
      </c>
      <c r="O47" s="347">
        <f>IF('42'!$G$39=0,0,'42'!$G$39)</f>
        <v>52800</v>
      </c>
      <c r="P47" s="347">
        <f>IF('42'!$G$55=0,0,'42'!$G$55)</f>
        <v>4352.437592829705</v>
      </c>
      <c r="Q47" s="347">
        <f>+OFERTA!$M47+OFERTA!$N47+OFERTA!$O47+OFERTA!$P47</f>
        <v>58577.021459667099</v>
      </c>
      <c r="R47" s="344">
        <f>IF(OFERTA!$M47="","",OFERTA!$M47*OFERTA!$E47)</f>
        <v>1658130.6017925735</v>
      </c>
      <c r="S47" s="344">
        <f>IF(OFERTA!$N47="","",OFERTA!$N47*OFERTA!$E47)</f>
        <v>450253.52112676052</v>
      </c>
      <c r="T47" s="344">
        <f>IF(OFERTA!$O47="","",OFERTA!$O47*OFERTA!$E47)</f>
        <v>78144000</v>
      </c>
      <c r="U47" s="344">
        <f>IF(OFERTA!$P47="","",OFERTA!$P47*OFERTA!$E47)</f>
        <v>6441607.637387963</v>
      </c>
      <c r="V47" s="344">
        <f>IF(OFERTA!$U47="","",OFERTA!$U47+OFERTA!$T47+OFERTA!$S47+OFERTA!$R47)</f>
        <v>86693991.760307297</v>
      </c>
      <c r="W47" s="348">
        <f>IF(OFERTA!$R47="","",OFERTA!$R47/OFERTA!$R$216)</f>
        <v>8.0959532216072852E-4</v>
      </c>
      <c r="X47" s="348">
        <f>IF(OFERTA!$S47="","",OFERTA!$S47/OFERTA!$S$216)</f>
        <v>7.1077868695912838E-4</v>
      </c>
      <c r="Y47" s="348">
        <f>IF(OFERTA!$T47="","",OFERTA!$T47/OFERTA!$T$216)</f>
        <v>8.2679518460110832E-3</v>
      </c>
      <c r="Z47" s="348">
        <f>IF(OFERTA!$U47="","",OFERTA!$U47/OFERTA!$U$216)</f>
        <v>1.6649166400571846E-3</v>
      </c>
      <c r="AA47" s="349"/>
      <c r="AB47" s="344">
        <f>IF(AI47="","",AI47*OFERTA!$Q47)</f>
        <v>4158968.5236363639</v>
      </c>
      <c r="AC47" s="344">
        <f>IF(AI47="","",OFERTA!$N47*AI47)</f>
        <v>21600</v>
      </c>
      <c r="AD47" s="344">
        <f>IF(AI47="","",OFERTA!$M47*AI47)</f>
        <v>79545.45454545453</v>
      </c>
      <c r="AE47" s="344">
        <f>IF(AI47="","",OFERTA!$P47*AI47)</f>
        <v>309023.06909090903</v>
      </c>
      <c r="AF47" s="344">
        <f>IF(AI47="","",OFERTA!$O47*AI47)</f>
        <v>3748800</v>
      </c>
      <c r="AG47" s="343">
        <f t="shared" si="6"/>
        <v>20.845070422535212</v>
      </c>
      <c r="AH47" s="350">
        <v>7.27</v>
      </c>
      <c r="AI47" s="343">
        <f>IF('42'!$G$20=0,"",'42'!$G$20)</f>
        <v>71</v>
      </c>
      <c r="AJ47" s="350">
        <f t="shared" si="7"/>
        <v>516.16999999999996</v>
      </c>
      <c r="AK47" s="350">
        <f t="shared" si="5"/>
        <v>9.5575747008414549E-2</v>
      </c>
      <c r="AL47" s="350">
        <f>IF(AJ47="","",OFERTA!$E47/AJ47)</f>
        <v>2.8672724102524363</v>
      </c>
      <c r="AR47" s="352"/>
    </row>
    <row r="48" spans="1:44" s="376" customFormat="1" ht="144.6" customHeight="1" x14ac:dyDescent="0.3">
      <c r="A48" s="366" t="s">
        <v>438</v>
      </c>
      <c r="B48" s="367">
        <v>43</v>
      </c>
      <c r="C48" s="368" t="s">
        <v>525</v>
      </c>
      <c r="D48" s="369" t="s">
        <v>373</v>
      </c>
      <c r="E48" s="369">
        <v>1900</v>
      </c>
      <c r="F48" s="370">
        <f>IF('43'!$G$65=0,"",'43'!$G$65)</f>
        <v>41904.574887896102</v>
      </c>
      <c r="G48" s="370">
        <f>IF(OFERTA!$C48="","",IF(OFERTA!$F48="","",OFERTA!$F48*OFERTA!$E48))</f>
        <v>79618692.287002593</v>
      </c>
      <c r="H48" s="371">
        <f>+IF(OFERTA!$F48="","",OFERTA!$G48/OFERTA!$G$216)</f>
        <v>4.1407265454664315E-3</v>
      </c>
      <c r="I48" s="372">
        <v>72837.957056891144</v>
      </c>
      <c r="J48" s="372">
        <v>54727.0998820737</v>
      </c>
      <c r="K48" s="372"/>
      <c r="L48" s="372">
        <f t="shared" si="4"/>
        <v>0</v>
      </c>
      <c r="M48" s="373">
        <f>+'43'!$N$28+'43'!$N$47</f>
        <v>1060.6060606060605</v>
      </c>
      <c r="N48" s="373">
        <f>+'43'!$M$28+'43'!$M$47</f>
        <v>288</v>
      </c>
      <c r="O48" s="373">
        <f>IF('43'!$G$39=0,0,'43'!$G$39)</f>
        <v>28136.428571428572</v>
      </c>
      <c r="P48" s="373">
        <f>IF('43'!$G$55=0,0,'43'!$G$55)</f>
        <v>5435.4444412121211</v>
      </c>
      <c r="Q48" s="373">
        <f>+OFERTA!$M48+OFERTA!$N48+OFERTA!$O48+OFERTA!$P48</f>
        <v>34920.479073246752</v>
      </c>
      <c r="R48" s="370">
        <f>IF(OFERTA!$M48="","",OFERTA!$M48*OFERTA!$E48)</f>
        <v>2015151.5151515149</v>
      </c>
      <c r="S48" s="370">
        <f>IF(OFERTA!$N48="","",OFERTA!$N48*OFERTA!$E48)</f>
        <v>547200</v>
      </c>
      <c r="T48" s="370">
        <f>IF(OFERTA!$O48="","",OFERTA!$O48*OFERTA!$E48)</f>
        <v>53459214.285714291</v>
      </c>
      <c r="U48" s="370">
        <f>IF(OFERTA!$P48="","",OFERTA!$P48*OFERTA!$E48)</f>
        <v>10327344.438303029</v>
      </c>
      <c r="V48" s="370">
        <f>IF(OFERTA!$U48="","",OFERTA!$U48+OFERTA!$T48+OFERTA!$S48+OFERTA!$R48)</f>
        <v>66348910.239168838</v>
      </c>
      <c r="W48" s="374">
        <f>IF(OFERTA!$R48="","",OFERTA!$R48/OFERTA!$R$216)</f>
        <v>9.8391359422956995E-4</v>
      </c>
      <c r="X48" s="374">
        <f>IF(OFERTA!$S48="","",OFERTA!$S48/OFERTA!$S$216)</f>
        <v>8.6382022406113906E-4</v>
      </c>
      <c r="Y48" s="374">
        <f>IF(OFERTA!$T48="","",OFERTA!$T48/OFERTA!$T$216)</f>
        <v>5.6562014926273742E-3</v>
      </c>
      <c r="Z48" s="374">
        <f>IF(OFERTA!$U48="","",OFERTA!$U48/OFERTA!$U$216)</f>
        <v>2.6692354720792765E-3</v>
      </c>
      <c r="AA48" s="366"/>
      <c r="AB48" s="370">
        <f>IF(AI48="","",AI48*OFERTA!$Q48)</f>
        <v>2619035.9304935066</v>
      </c>
      <c r="AC48" s="370">
        <f>IF(AI48="","",OFERTA!$N48*AI48)</f>
        <v>21600</v>
      </c>
      <c r="AD48" s="370">
        <f>IF(AI48="","",OFERTA!$M48*AI48)</f>
        <v>79545.454545454544</v>
      </c>
      <c r="AE48" s="370">
        <f>IF(AI48="","",OFERTA!$P48*AI48)</f>
        <v>407658.33309090906</v>
      </c>
      <c r="AF48" s="370">
        <f>IF(AI48="","",OFERTA!$O48*AI48)</f>
        <v>2110232.1428571427</v>
      </c>
      <c r="AG48" s="369">
        <f t="shared" si="6"/>
        <v>25.333333333333332</v>
      </c>
      <c r="AH48" s="375">
        <v>7.27</v>
      </c>
      <c r="AI48" s="369">
        <f>IF('43'!$G$20=0,"",'43'!$G$20)</f>
        <v>75</v>
      </c>
      <c r="AJ48" s="375">
        <f t="shared" si="7"/>
        <v>545.25</v>
      </c>
      <c r="AK48" s="375">
        <f t="shared" si="5"/>
        <v>0.11615466911202812</v>
      </c>
      <c r="AL48" s="375">
        <f>IF(AJ48="","",OFERTA!$E48/AJ48)</f>
        <v>3.4846400733608438</v>
      </c>
      <c r="AR48" s="377"/>
    </row>
    <row r="49" spans="1:44" s="221" customFormat="1" ht="243.6" customHeight="1" x14ac:dyDescent="0.3">
      <c r="A49" s="354" t="s">
        <v>438</v>
      </c>
      <c r="B49" s="355">
        <v>44</v>
      </c>
      <c r="C49" s="356" t="s">
        <v>532</v>
      </c>
      <c r="D49" s="357" t="s">
        <v>373</v>
      </c>
      <c r="E49" s="357">
        <v>64</v>
      </c>
      <c r="F49" s="358">
        <f>IF('44'!$G$65=0,"",'44'!$G$65)</f>
        <v>2958718.8724363637</v>
      </c>
      <c r="G49" s="358">
        <f>IF(OFERTA!$C49="","",IF(OFERTA!$F49="","",OFERTA!$F49*OFERTA!$E49))</f>
        <v>189358007.83592728</v>
      </c>
      <c r="H49" s="359">
        <f>+IF(OFERTA!$F49="","",OFERTA!$G49/OFERTA!$G$216)</f>
        <v>9.8479352915830567E-3</v>
      </c>
      <c r="I49" s="325">
        <v>140423.85750780025</v>
      </c>
      <c r="J49" s="325">
        <v>2729532.2381573827</v>
      </c>
      <c r="K49" s="325"/>
      <c r="L49" s="325">
        <f t="shared" si="4"/>
        <v>0</v>
      </c>
      <c r="M49" s="360">
        <f>+'44'!$N$28+'44'!$N$47</f>
        <v>517045.45454545459</v>
      </c>
      <c r="N49" s="360">
        <f>+'44'!$M$28+'44'!$M$47</f>
        <v>302400</v>
      </c>
      <c r="O49" s="360">
        <f>IF('44'!$G$39=0,0,'44'!$G$39)</f>
        <v>3400</v>
      </c>
      <c r="P49" s="360">
        <f>IF('44'!$G$55=0,0,'44'!$G$55)</f>
        <v>1642753.6058181818</v>
      </c>
      <c r="Q49" s="360">
        <f>+OFERTA!$M49+OFERTA!$N49+OFERTA!$O49+OFERTA!$P49</f>
        <v>2465599.0603636364</v>
      </c>
      <c r="R49" s="358">
        <f>IF(OFERTA!$M49="","",OFERTA!$M49*OFERTA!$E49)</f>
        <v>33090909.090909094</v>
      </c>
      <c r="S49" s="358">
        <f>IF(OFERTA!$N49="","",OFERTA!$N49*OFERTA!$E49)</f>
        <v>19353600</v>
      </c>
      <c r="T49" s="358">
        <f>IF(OFERTA!$O49="","",OFERTA!$O49*OFERTA!$E49)</f>
        <v>217600</v>
      </c>
      <c r="U49" s="358">
        <f>IF(OFERTA!$P49="","",OFERTA!$P49*OFERTA!$E49)</f>
        <v>105136230.77236363</v>
      </c>
      <c r="V49" s="358">
        <f>IF(OFERTA!$U49="","",OFERTA!$U49+OFERTA!$T49+OFERTA!$S49+OFERTA!$R49)</f>
        <v>157798339.86327273</v>
      </c>
      <c r="W49" s="361">
        <f>IF(OFERTA!$R49="","",OFERTA!$R49/OFERTA!$R$216)</f>
        <v>1.6156896915769783E-2</v>
      </c>
      <c r="X49" s="361">
        <f>IF(OFERTA!$S49="","",OFERTA!$S49/OFERTA!$S$216)</f>
        <v>3.0551957398372919E-2</v>
      </c>
      <c r="Y49" s="361">
        <f>IF(OFERTA!$T49="","",OFERTA!$T49/OFERTA!$T$216)</f>
        <v>2.3022961733364195E-5</v>
      </c>
      <c r="Z49" s="361">
        <f>IF(OFERTA!$U49="","",OFERTA!$U49/OFERTA!$U$216)</f>
        <v>2.7173815907356232E-2</v>
      </c>
      <c r="AA49" s="354"/>
      <c r="AB49" s="358">
        <f>IF(AI49="","",AI49*OFERTA!$Q49)</f>
        <v>176114.21859740259</v>
      </c>
      <c r="AC49" s="358">
        <f>IF(AI49="","",OFERTA!$N49*AI49)</f>
        <v>21600</v>
      </c>
      <c r="AD49" s="358">
        <f>IF(AI49="","",OFERTA!$M49*AI49)</f>
        <v>36931.818181818184</v>
      </c>
      <c r="AE49" s="358">
        <f>IF(AI49="","",OFERTA!$P49*AI49)</f>
        <v>117339.54327272726</v>
      </c>
      <c r="AF49" s="358">
        <f>IF(AI49="","",OFERTA!$O49*AI49)</f>
        <v>242.85714285714283</v>
      </c>
      <c r="AG49" s="357">
        <f t="shared" si="6"/>
        <v>896</v>
      </c>
      <c r="AH49" s="362">
        <v>7.27</v>
      </c>
      <c r="AI49" s="357">
        <f>IF('44'!$G$20=0,"",'44'!$G$20)</f>
        <v>7.1428571428571425E-2</v>
      </c>
      <c r="AJ49" s="362">
        <f t="shared" si="7"/>
        <v>0.51928571428571424</v>
      </c>
      <c r="AK49" s="362">
        <f t="shared" si="5"/>
        <v>4.1082072443833111</v>
      </c>
      <c r="AL49" s="362">
        <f>IF(AJ49="","",OFERTA!$E49/AJ49)</f>
        <v>123.24621733149932</v>
      </c>
      <c r="AR49" s="363"/>
    </row>
    <row r="50" spans="1:44" s="376" customFormat="1" ht="160.9" customHeight="1" x14ac:dyDescent="0.3">
      <c r="A50" s="364" t="s">
        <v>438</v>
      </c>
      <c r="B50" s="367">
        <v>45</v>
      </c>
      <c r="C50" s="368" t="s">
        <v>528</v>
      </c>
      <c r="D50" s="369" t="s">
        <v>373</v>
      </c>
      <c r="E50" s="369">
        <v>320</v>
      </c>
      <c r="F50" s="370">
        <f>IF('45'!$G$65=0,"",'45'!$G$65)</f>
        <v>41135.14993763456</v>
      </c>
      <c r="G50" s="370">
        <f>IF(OFERTA!$C50="","",IF(OFERTA!$F50="","",OFERTA!$F50*OFERTA!$E50))</f>
        <v>13163247.980043059</v>
      </c>
      <c r="H50" s="371">
        <f>+IF(OFERTA!$F50="","",OFERTA!$G50/OFERTA!$G$216)</f>
        <v>6.8458057737302792E-4</v>
      </c>
      <c r="I50" s="365">
        <v>216744.18001248036</v>
      </c>
      <c r="J50" s="365">
        <v>52326.692064645868</v>
      </c>
      <c r="K50" s="365"/>
      <c r="L50" s="365">
        <f t="shared" si="4"/>
        <v>0</v>
      </c>
      <c r="M50" s="373">
        <f>+'45'!$N$28+'45'!$N$47</f>
        <v>1063.4419056878951</v>
      </c>
      <c r="N50" s="373">
        <f>+'45'!$M$28+'45'!$M$47</f>
        <v>288.77005347593587</v>
      </c>
      <c r="O50" s="373">
        <f>IF('45'!$G$39=0,0,'45'!$G$39)</f>
        <v>28136.428571428572</v>
      </c>
      <c r="P50" s="373">
        <f>IF('45'!$G$55=0,0,'45'!$G$55)</f>
        <v>4790.6510841030631</v>
      </c>
      <c r="Q50" s="373">
        <f>+OFERTA!$M50+OFERTA!$N50+OFERTA!$O50+OFERTA!$P50</f>
        <v>34279.291614695467</v>
      </c>
      <c r="R50" s="370">
        <f>IF(OFERTA!$M50="","",OFERTA!$M50*OFERTA!$E50)</f>
        <v>340301.40982012643</v>
      </c>
      <c r="S50" s="370">
        <f>IF(OFERTA!$N50="","",OFERTA!$N50*OFERTA!$E50)</f>
        <v>92406.417112299474</v>
      </c>
      <c r="T50" s="370">
        <f>IF(OFERTA!$O50="","",OFERTA!$O50*OFERTA!$E50)</f>
        <v>9003657.1428571437</v>
      </c>
      <c r="U50" s="370">
        <f>IF(OFERTA!$P50="","",OFERTA!$P50*OFERTA!$E50)</f>
        <v>1533008.3469129801</v>
      </c>
      <c r="V50" s="370">
        <f>IF(OFERTA!$U50="","",OFERTA!$U50+OFERTA!$T50+OFERTA!$S50+OFERTA!$R50)</f>
        <v>10969373.31670255</v>
      </c>
      <c r="W50" s="374">
        <f>IF(OFERTA!$R50="","",OFERTA!$R50/OFERTA!$R$216)</f>
        <v>1.661548428195165E-4</v>
      </c>
      <c r="X50" s="374">
        <f>IF(OFERTA!$S50="","",OFERTA!$S50/OFERTA!$S$216)</f>
        <v>1.45874510114462E-4</v>
      </c>
      <c r="Y50" s="374">
        <f>IF(OFERTA!$T50="","",OFERTA!$T50/OFERTA!$T$216)</f>
        <v>9.5262340928461042E-4</v>
      </c>
      <c r="Z50" s="374">
        <f>IF(OFERTA!$U50="","",OFERTA!$U50/OFERTA!$U$216)</f>
        <v>3.9622579483231828E-4</v>
      </c>
      <c r="AA50" s="366"/>
      <c r="AB50" s="370">
        <f>IF(AI50="","",AI50*OFERTA!$Q50)</f>
        <v>2564091.0127792209</v>
      </c>
      <c r="AC50" s="370">
        <f>IF(AI50="","",OFERTA!$N50*AI50)</f>
        <v>21600.000000000004</v>
      </c>
      <c r="AD50" s="370">
        <f>IF(AI50="","",OFERTA!$M50*AI50)</f>
        <v>79545.454545454544</v>
      </c>
      <c r="AE50" s="370">
        <f>IF(AI50="","",OFERTA!$P50*AI50)</f>
        <v>358340.70109090913</v>
      </c>
      <c r="AF50" s="370">
        <f>IF(AI50="","",OFERTA!$O50*AI50)</f>
        <v>2104604.8571428573</v>
      </c>
      <c r="AG50" s="369">
        <f t="shared" si="6"/>
        <v>4.2780748663101607</v>
      </c>
      <c r="AH50" s="375">
        <v>7.27</v>
      </c>
      <c r="AI50" s="369">
        <f>IF('45'!$G$20=0,"",'45'!$G$20)</f>
        <v>74.8</v>
      </c>
      <c r="AJ50" s="375">
        <f t="shared" si="7"/>
        <v>543.79599999999994</v>
      </c>
      <c r="AK50" s="375">
        <f t="shared" si="5"/>
        <v>1.9615198836818712E-2</v>
      </c>
      <c r="AL50" s="375">
        <f>IF(AJ50="","",OFERTA!$E50/AJ50)</f>
        <v>0.58845596510456133</v>
      </c>
      <c r="AR50" s="377"/>
    </row>
    <row r="51" spans="1:44" s="351" customFormat="1" ht="33" x14ac:dyDescent="0.3">
      <c r="A51" s="340" t="s">
        <v>438</v>
      </c>
      <c r="B51" s="341">
        <v>46</v>
      </c>
      <c r="C51" s="342" t="s">
        <v>382</v>
      </c>
      <c r="D51" s="343" t="s">
        <v>373</v>
      </c>
      <c r="E51" s="343">
        <v>60</v>
      </c>
      <c r="F51" s="344">
        <f>IF('46'!$G$65=0,"",'46'!$G$65)</f>
        <v>193852.07854545457</v>
      </c>
      <c r="G51" s="344">
        <f>IF(OFERTA!$C51="","",IF(OFERTA!$F51="","",OFERTA!$F51*OFERTA!$E51))</f>
        <v>11631124.712727275</v>
      </c>
      <c r="H51" s="345">
        <f>+IF(OFERTA!$F51="","",OFERTA!$G51/OFERTA!$G$216)</f>
        <v>6.0489949618881865E-4</v>
      </c>
      <c r="I51" s="346">
        <v>409724.33252340066</v>
      </c>
      <c r="J51" s="346">
        <v>340532.50246002618</v>
      </c>
      <c r="K51" s="346"/>
      <c r="L51" s="346">
        <f t="shared" si="4"/>
        <v>0</v>
      </c>
      <c r="M51" s="347">
        <f>+'46'!$N$28+'46'!$N$47</f>
        <v>37878.78787878788</v>
      </c>
      <c r="N51" s="347">
        <f>+'46'!$M$28+'46'!$M$47</f>
        <v>22153.846153846156</v>
      </c>
      <c r="O51" s="347">
        <f>IF('46'!$G$39=0,0,'46'!$G$39)</f>
        <v>3400</v>
      </c>
      <c r="P51" s="347">
        <f>IF('46'!$G$55=0,0,'46'!$G$55)</f>
        <v>98110.76475524476</v>
      </c>
      <c r="Q51" s="347">
        <f>+OFERTA!$M51+OFERTA!$N51+OFERTA!$O51+OFERTA!$P51</f>
        <v>161543.3987878788</v>
      </c>
      <c r="R51" s="344">
        <f>IF(OFERTA!$M51="","",OFERTA!$M51*OFERTA!$E51)</f>
        <v>2272727.2727272729</v>
      </c>
      <c r="S51" s="344">
        <f>IF(OFERTA!$N51="","",OFERTA!$N51*OFERTA!$E51)</f>
        <v>1329230.7692307695</v>
      </c>
      <c r="T51" s="344">
        <f>IF(OFERTA!$O51="","",OFERTA!$O51*OFERTA!$E51)</f>
        <v>204000</v>
      </c>
      <c r="U51" s="344">
        <f>IF(OFERTA!$P51="","",OFERTA!$P51*OFERTA!$E51)</f>
        <v>5886645.8853146853</v>
      </c>
      <c r="V51" s="344">
        <f>IF(OFERTA!$U51="","",OFERTA!$U51+OFERTA!$T51+OFERTA!$S51+OFERTA!$R51)</f>
        <v>9692603.9272727277</v>
      </c>
      <c r="W51" s="348">
        <f>IF(OFERTA!$R51="","",OFERTA!$R51/OFERTA!$R$216)</f>
        <v>1.1096769859731995E-3</v>
      </c>
      <c r="X51" s="348">
        <f>IF(OFERTA!$S51="","",OFERTA!$S51/OFERTA!$S$216)</f>
        <v>2.0983487224157226E-3</v>
      </c>
      <c r="Y51" s="348">
        <f>IF(OFERTA!$T51="","",OFERTA!$T51/OFERTA!$T$216)</f>
        <v>2.1584026625028932E-5</v>
      </c>
      <c r="Z51" s="348">
        <f>IF(OFERTA!$U51="","",OFERTA!$U51/OFERTA!$U$216)</f>
        <v>1.5214796119682225E-3</v>
      </c>
      <c r="AA51" s="349"/>
      <c r="AB51" s="344">
        <f>IF(AI51="","",AI51*OFERTA!$Q51)</f>
        <v>157504.81381818184</v>
      </c>
      <c r="AC51" s="344">
        <f>IF(AI51="","",OFERTA!$N51*AI51)</f>
        <v>21600</v>
      </c>
      <c r="AD51" s="344">
        <f>IF(AI51="","",OFERTA!$M51*AI51)</f>
        <v>36931.818181818184</v>
      </c>
      <c r="AE51" s="344">
        <f>IF(AI51="","",OFERTA!$P51*AI51)</f>
        <v>95657.995636363645</v>
      </c>
      <c r="AF51" s="344">
        <f>IF(AI51="","",OFERTA!$O51*AI51)</f>
        <v>3315</v>
      </c>
      <c r="AG51" s="343">
        <f t="shared" si="6"/>
        <v>61.53846153846154</v>
      </c>
      <c r="AH51" s="350">
        <v>7.27</v>
      </c>
      <c r="AI51" s="343">
        <f>IF('46'!$G$20=0,"",'46'!$G$20)</f>
        <v>0.97499999999999998</v>
      </c>
      <c r="AJ51" s="350">
        <f t="shared" si="7"/>
        <v>7.0882499999999995</v>
      </c>
      <c r="AK51" s="350">
        <f t="shared" si="5"/>
        <v>0.28215709096039221</v>
      </c>
      <c r="AL51" s="350">
        <f>IF(AJ51="","",OFERTA!$E51/AJ51)</f>
        <v>8.464712728811767</v>
      </c>
      <c r="AR51" s="352"/>
    </row>
    <row r="52" spans="1:44" s="351" customFormat="1" ht="195" customHeight="1" x14ac:dyDescent="0.3">
      <c r="A52" s="340" t="s">
        <v>438</v>
      </c>
      <c r="B52" s="341">
        <v>47</v>
      </c>
      <c r="C52" s="342" t="s">
        <v>531</v>
      </c>
      <c r="D52" s="343" t="s">
        <v>435</v>
      </c>
      <c r="E52" s="343">
        <v>2300</v>
      </c>
      <c r="F52" s="344">
        <f>IF('47'!$G$65=0,"",'47'!$G$65)</f>
        <v>41650.171174681978</v>
      </c>
      <c r="G52" s="344">
        <f>IF(OFERTA!$C52="","",IF(OFERTA!$F52="","",OFERTA!$F52*OFERTA!$E52))</f>
        <v>95795393.701768547</v>
      </c>
      <c r="H52" s="345">
        <f>+IF(OFERTA!$F52="","",OFERTA!$G52/OFERTA!$G$216)</f>
        <v>4.982027690237186E-3</v>
      </c>
      <c r="I52" s="346">
        <v>214085.19869652667</v>
      </c>
      <c r="J52" s="346">
        <v>72837.957056891144</v>
      </c>
      <c r="K52" s="346"/>
      <c r="L52" s="346">
        <f t="shared" si="4"/>
        <v>0</v>
      </c>
      <c r="M52" s="347">
        <f>+'47'!$N$28+'47'!$N$47</f>
        <v>13962.147067949118</v>
      </c>
      <c r="N52" s="347">
        <f>+'47'!$M$28+'47'!$M$47</f>
        <v>4607.5085324232077</v>
      </c>
      <c r="O52" s="347">
        <f>IF('47'!$G$39=0,0,'47'!$G$39)</f>
        <v>340</v>
      </c>
      <c r="P52" s="347">
        <f>IF('47'!$G$55=0,0,'47'!$G$55)</f>
        <v>15798.820378529321</v>
      </c>
      <c r="Q52" s="347">
        <f>+OFERTA!$M52+OFERTA!$N52+OFERTA!$O52+OFERTA!$P52</f>
        <v>34708.475978901646</v>
      </c>
      <c r="R52" s="344">
        <f>IF(OFERTA!$M52="","",OFERTA!$M52*OFERTA!$E52)</f>
        <v>32112938.25628297</v>
      </c>
      <c r="S52" s="344">
        <f>IF(OFERTA!$N52="","",OFERTA!$N52*OFERTA!$E52)</f>
        <v>10597269.624573378</v>
      </c>
      <c r="T52" s="344">
        <f>IF(OFERTA!$O52="","",OFERTA!$O52*OFERTA!$E52)</f>
        <v>782000</v>
      </c>
      <c r="U52" s="344">
        <f>IF(OFERTA!$P52="","",OFERTA!$P52*OFERTA!$E52)</f>
        <v>36337286.870617434</v>
      </c>
      <c r="V52" s="344">
        <f>IF(OFERTA!$U52="","",OFERTA!$U52+OFERTA!$T52+OFERTA!$S52+OFERTA!$R52)</f>
        <v>79829494.751473784</v>
      </c>
      <c r="W52" s="348">
        <f>IF(OFERTA!$R52="","",OFERTA!$R52/OFERTA!$R$216)</f>
        <v>1.5679394955389236E-2</v>
      </c>
      <c r="X52" s="348">
        <f>IF(OFERTA!$S52="","",OFERTA!$S52/OFERTA!$S$216)</f>
        <v>1.6729049381460668E-2</v>
      </c>
      <c r="Y52" s="348">
        <f>IF(OFERTA!$T52="","",OFERTA!$T52/OFERTA!$T$216)</f>
        <v>8.2738768729277574E-5</v>
      </c>
      <c r="Z52" s="348">
        <f>IF(OFERTA!$U52="","",OFERTA!$U52/OFERTA!$U$216)</f>
        <v>9.3918408215801028E-3</v>
      </c>
      <c r="AA52" s="349"/>
      <c r="AB52" s="344">
        <f>IF(AI52="","",AI52*OFERTA!$Q52)</f>
        <v>1016958.3461818183</v>
      </c>
      <c r="AC52" s="344">
        <f>IF(AI52="","",OFERTA!$N52*AI52)</f>
        <v>135000</v>
      </c>
      <c r="AD52" s="344">
        <f>IF(AI52="","",OFERTA!$M52*AI52)</f>
        <v>409090.90909090918</v>
      </c>
      <c r="AE52" s="344">
        <f>IF(AI52="","",OFERTA!$P52*AI52)</f>
        <v>462905.43709090911</v>
      </c>
      <c r="AF52" s="344">
        <f>IF(AI52="","",OFERTA!$O52*AI52)</f>
        <v>9962</v>
      </c>
      <c r="AG52" s="343">
        <f t="shared" si="6"/>
        <v>78.498293515358355</v>
      </c>
      <c r="AH52" s="350">
        <v>7.27</v>
      </c>
      <c r="AI52" s="343">
        <f>IF('47'!$G$20=0,"",'47'!$G$20)</f>
        <v>29.3</v>
      </c>
      <c r="AJ52" s="350">
        <f t="shared" si="7"/>
        <v>213.011</v>
      </c>
      <c r="AK52" s="350">
        <f t="shared" si="5"/>
        <v>0.35991881483428867</v>
      </c>
      <c r="AL52" s="350">
        <f>IF(AJ52="","",OFERTA!$E52/AJ52)</f>
        <v>10.797564445028661</v>
      </c>
      <c r="AR52" s="352"/>
    </row>
    <row r="53" spans="1:44" s="351" customFormat="1" ht="66" x14ac:dyDescent="0.3">
      <c r="A53" s="340" t="s">
        <v>438</v>
      </c>
      <c r="B53" s="341">
        <v>48</v>
      </c>
      <c r="C53" s="342" t="s">
        <v>383</v>
      </c>
      <c r="D53" s="343" t="s">
        <v>374</v>
      </c>
      <c r="E53" s="343">
        <v>5930</v>
      </c>
      <c r="F53" s="370">
        <f>IF('48'!$G$65=0,"",'48'!$G$65)</f>
        <v>106860.67740547344</v>
      </c>
      <c r="G53" s="344">
        <f>IF(OFERTA!$C53="","",IF(OFERTA!$F53="","",OFERTA!$F53*OFERTA!$E53))</f>
        <v>633683817.01445746</v>
      </c>
      <c r="H53" s="345">
        <f>+IF(OFERTA!$F53="","",OFERTA!$G53/OFERTA!$G$216)</f>
        <v>3.295597211124502E-2</v>
      </c>
      <c r="I53" s="346">
        <v>36726.727346073923</v>
      </c>
      <c r="J53" s="346">
        <v>140423.85750780025</v>
      </c>
      <c r="K53" s="346"/>
      <c r="L53" s="346">
        <f t="shared" si="4"/>
        <v>0</v>
      </c>
      <c r="M53" s="347">
        <f>+'48'!$N$28+'48'!$N$47</f>
        <v>24968.54356715949</v>
      </c>
      <c r="N53" s="347">
        <f>+'48'!$M$28+'48'!$M$47</f>
        <v>8221.4532871972333</v>
      </c>
      <c r="O53" s="347">
        <f>IF('48'!$G$39=0,0,'48'!$G$39)</f>
        <v>38034.000000000007</v>
      </c>
      <c r="P53" s="347">
        <f>IF('48'!$G$55=0,0,'48'!$G$55)</f>
        <v>17826.56765020447</v>
      </c>
      <c r="Q53" s="347">
        <f>+OFERTA!$M53+OFERTA!$N53+OFERTA!$O53+OFERTA!$P53</f>
        <v>89050.564504561189</v>
      </c>
      <c r="R53" s="344">
        <f>IF(OFERTA!$M53="","",OFERTA!$M53*OFERTA!$E53)</f>
        <v>148063463.35325578</v>
      </c>
      <c r="S53" s="344">
        <f>IF(OFERTA!$N53="","",OFERTA!$N53*OFERTA!$E53)</f>
        <v>48753217.993079595</v>
      </c>
      <c r="T53" s="344">
        <f>IF(OFERTA!$O53="","",OFERTA!$O53*OFERTA!$E53)</f>
        <v>225541620.00000003</v>
      </c>
      <c r="U53" s="344">
        <f>IF(OFERTA!$P53="","",OFERTA!$P53*OFERTA!$E53)</f>
        <v>105711546.16571251</v>
      </c>
      <c r="V53" s="344">
        <f>IF(OFERTA!$U53="","",OFERTA!$U53+OFERTA!$T53+OFERTA!$S53+OFERTA!$R53)</f>
        <v>528069847.51204789</v>
      </c>
      <c r="W53" s="348">
        <f>IF(OFERTA!$R53="","",OFERTA!$R53/OFERTA!$R$216)</f>
        <v>7.2293151808501419E-2</v>
      </c>
      <c r="X53" s="348">
        <f>IF(OFERTA!$S53="","",OFERTA!$S53/OFERTA!$S$216)</f>
        <v>7.6962747972374942E-2</v>
      </c>
      <c r="Y53" s="348">
        <f>IF(OFERTA!$T53="","",OFERTA!$T53/OFERTA!$T$216)</f>
        <v>2.3863217309471368E-2</v>
      </c>
      <c r="Z53" s="348">
        <f>IF(OFERTA!$U53="","",OFERTA!$U53/OFERTA!$U$216)</f>
        <v>2.7322513596751048E-2</v>
      </c>
      <c r="AA53" s="349"/>
      <c r="AB53" s="344">
        <f>IF(AI53="","",AI53*OFERTA!$Q53)</f>
        <v>2573561.3141818182</v>
      </c>
      <c r="AC53" s="344">
        <f>IF(AI53="","",OFERTA!$N53*AI53)</f>
        <v>237600.00000000003</v>
      </c>
      <c r="AD53" s="344">
        <f>IF(AI53="","",OFERTA!$M53*AI53)</f>
        <v>721590.90909090918</v>
      </c>
      <c r="AE53" s="344">
        <f>IF(AI53="","",OFERTA!$P53*AI53)</f>
        <v>515187.80509090913</v>
      </c>
      <c r="AF53" s="344">
        <f>IF(AI53="","",OFERTA!$O53*AI53)</f>
        <v>1099182.6000000001</v>
      </c>
      <c r="AG53" s="343">
        <f t="shared" si="6"/>
        <v>205.19031141868513</v>
      </c>
      <c r="AH53" s="350">
        <v>7.27</v>
      </c>
      <c r="AI53" s="343">
        <f>IF('48'!$G$20=0,"",'48'!$G$20)</f>
        <v>28.9</v>
      </c>
      <c r="AJ53" s="350">
        <f t="shared" si="7"/>
        <v>210.10299999999998</v>
      </c>
      <c r="AK53" s="350">
        <f t="shared" si="5"/>
        <v>0.94080839715123865</v>
      </c>
      <c r="AL53" s="350">
        <f>IF(AJ53="","",OFERTA!$E53/AJ53)</f>
        <v>28.22425191453716</v>
      </c>
      <c r="AR53" s="352"/>
    </row>
    <row r="54" spans="1:44" s="351" customFormat="1" ht="79.900000000000006" customHeight="1" x14ac:dyDescent="0.3">
      <c r="A54" s="340" t="s">
        <v>438</v>
      </c>
      <c r="B54" s="341">
        <v>49</v>
      </c>
      <c r="C54" s="342" t="s">
        <v>384</v>
      </c>
      <c r="D54" s="343" t="s">
        <v>374</v>
      </c>
      <c r="E54" s="343">
        <v>6505</v>
      </c>
      <c r="F54" s="370">
        <f>IF('49'!$G$65=0,"",'49'!$G$65)</f>
        <v>162898.83900789969</v>
      </c>
      <c r="G54" s="344">
        <f>IF(OFERTA!$C54="","",IF(OFERTA!$F54="","",OFERTA!$F54*OFERTA!$E54))</f>
        <v>1059656947.7463875</v>
      </c>
      <c r="H54" s="345">
        <f>+IF(OFERTA!$F54="","",OFERTA!$G54/OFERTA!$G$216)</f>
        <v>5.510954182473659E-2</v>
      </c>
      <c r="I54" s="346">
        <v>46288.176298354607</v>
      </c>
      <c r="J54" s="346">
        <v>216744.18001248036</v>
      </c>
      <c r="K54" s="346"/>
      <c r="L54" s="346">
        <f t="shared" si="4"/>
        <v>0</v>
      </c>
      <c r="M54" s="347">
        <f>+'49'!$N$28+'49'!$N$47</f>
        <v>39811.912225705331</v>
      </c>
      <c r="N54" s="347">
        <f>+'49'!$M$28+'49'!$M$47</f>
        <v>13108.965517241379</v>
      </c>
      <c r="O54" s="347">
        <f>IF('49'!$G$39=0,0,'49'!$G$39)</f>
        <v>54404</v>
      </c>
      <c r="P54" s="347">
        <f>IF('49'!$G$55=0,0,'49'!$G$55)</f>
        <v>28424.154763636361</v>
      </c>
      <c r="Q54" s="347">
        <f>+OFERTA!$M54+OFERTA!$N54+OFERTA!$O54+OFERTA!$P54</f>
        <v>135749.03250658305</v>
      </c>
      <c r="R54" s="344">
        <f>IF(OFERTA!$M54="","",OFERTA!$M54*OFERTA!$E54)</f>
        <v>258976489.02821317</v>
      </c>
      <c r="S54" s="344">
        <f>IF(OFERTA!$N54="","",OFERTA!$N54*OFERTA!$E54)</f>
        <v>85273820.68965517</v>
      </c>
      <c r="T54" s="344">
        <f>IF(OFERTA!$O54="","",OFERTA!$O54*OFERTA!$E54)</f>
        <v>353898020</v>
      </c>
      <c r="U54" s="344">
        <f>IF(OFERTA!$P54="","",OFERTA!$P54*OFERTA!$E54)</f>
        <v>184899126.73745453</v>
      </c>
      <c r="V54" s="344">
        <f>IF(OFERTA!$U54="","",OFERTA!$U54+OFERTA!$T54+OFERTA!$S54+OFERTA!$R54)</f>
        <v>883047456.45532286</v>
      </c>
      <c r="W54" s="348">
        <f>IF(OFERTA!$R54="","",OFERTA!$R54/OFERTA!$R$216)</f>
        <v>0.12644730990440953</v>
      </c>
      <c r="X54" s="348">
        <f>IF(OFERTA!$S54="","",OFERTA!$S54/OFERTA!$S$216)</f>
        <v>0.13461485909116835</v>
      </c>
      <c r="Y54" s="348">
        <f>IF(OFERTA!$T54="","",OFERTA!$T54/OFERTA!$T$216)</f>
        <v>3.7443844540318731E-2</v>
      </c>
      <c r="Z54" s="348">
        <f>IF(OFERTA!$U54="","",OFERTA!$U54/OFERTA!$U$216)</f>
        <v>4.7789565923027633E-2</v>
      </c>
      <c r="AA54" s="349"/>
      <c r="AB54" s="344">
        <f>IF(AI54="","",AI54*OFERTA!$Q54)</f>
        <v>2460451.2141818181</v>
      </c>
      <c r="AC54" s="344">
        <f>IF(AI54="","",OFERTA!$N54*AI54)</f>
        <v>237600</v>
      </c>
      <c r="AD54" s="344">
        <f>IF(AI54="","",OFERTA!$M54*AI54)</f>
        <v>721590.90909090918</v>
      </c>
      <c r="AE54" s="344">
        <f>IF(AI54="","",OFERTA!$P54*AI54)</f>
        <v>515187.80509090907</v>
      </c>
      <c r="AF54" s="344">
        <f>IF(AI54="","",OFERTA!$O54*AI54)</f>
        <v>986072.5</v>
      </c>
      <c r="AG54" s="343">
        <f t="shared" si="6"/>
        <v>358.89655172413796</v>
      </c>
      <c r="AH54" s="350">
        <v>7.27</v>
      </c>
      <c r="AI54" s="343">
        <f>IF('49'!$G$20=0,"",'49'!$G$20)</f>
        <v>18.125</v>
      </c>
      <c r="AJ54" s="350">
        <f t="shared" si="7"/>
        <v>131.76874999999998</v>
      </c>
      <c r="AK54" s="350">
        <f t="shared" si="5"/>
        <v>1.6455596135907291</v>
      </c>
      <c r="AL54" s="350">
        <f>IF(AJ54="","",OFERTA!$E54/AJ54)</f>
        <v>49.36678840772187</v>
      </c>
      <c r="AR54" s="352"/>
    </row>
    <row r="55" spans="1:44" s="351" customFormat="1" ht="66" x14ac:dyDescent="0.3">
      <c r="A55" s="340" t="s">
        <v>438</v>
      </c>
      <c r="B55" s="341">
        <v>50</v>
      </c>
      <c r="C55" s="342" t="s">
        <v>385</v>
      </c>
      <c r="D55" s="343" t="s">
        <v>374</v>
      </c>
      <c r="E55" s="343">
        <v>3545</v>
      </c>
      <c r="F55" s="370">
        <f>IF('50'!$G$65=0,"",'50'!$G$65)</f>
        <v>308999.23077908624</v>
      </c>
      <c r="G55" s="344">
        <f>IF(OFERTA!$C55="","",IF(OFERTA!$F55="","",OFERTA!$F55*OFERTA!$E55))</f>
        <v>1095402273.1118608</v>
      </c>
      <c r="H55" s="345">
        <f>+IF(OFERTA!$F55="","",OFERTA!$G55/OFERTA!$G$216)</f>
        <v>5.6968547710987645E-2</v>
      </c>
      <c r="I55" s="346">
        <v>13387.860430244422</v>
      </c>
      <c r="J55" s="346">
        <v>409724.33252340066</v>
      </c>
      <c r="K55" s="346"/>
      <c r="L55" s="346">
        <f t="shared" si="4"/>
        <v>0</v>
      </c>
      <c r="M55" s="347">
        <f>+'50'!$N$28+'50'!$N$47</f>
        <v>74776.260009420643</v>
      </c>
      <c r="N55" s="347">
        <f>+'50'!$M$28+'50'!$M$47</f>
        <v>24621.761658031093</v>
      </c>
      <c r="O55" s="347">
        <f>IF('50'!$G$39=0,0,'50'!$G$39)</f>
        <v>104713.99999999999</v>
      </c>
      <c r="P55" s="347">
        <f>IF('50'!$G$55=0,0,'50'!$G$55)</f>
        <v>53387.337315120109</v>
      </c>
      <c r="Q55" s="347">
        <f>+OFERTA!$M55+OFERTA!$N55+OFERTA!$O55+OFERTA!$P55</f>
        <v>257499.35898257181</v>
      </c>
      <c r="R55" s="344">
        <f>IF(OFERTA!$M55="","",OFERTA!$M55*OFERTA!$E55)</f>
        <v>265081841.73339617</v>
      </c>
      <c r="S55" s="344">
        <f>IF(OFERTA!$N55="","",OFERTA!$N55*OFERTA!$E55)</f>
        <v>87284145.077720225</v>
      </c>
      <c r="T55" s="344">
        <f>IF(OFERTA!$O55="","",OFERTA!$O55*OFERTA!$E55)</f>
        <v>371211129.99999994</v>
      </c>
      <c r="U55" s="344">
        <f>IF(OFERTA!$P55="","",OFERTA!$P55*OFERTA!$E55)</f>
        <v>189258110.7821008</v>
      </c>
      <c r="V55" s="344">
        <f>IF(OFERTA!$U55="","",OFERTA!$U55+OFERTA!$T55+OFERTA!$S55+OFERTA!$R55)</f>
        <v>912835227.59321702</v>
      </c>
      <c r="W55" s="348">
        <f>IF(OFERTA!$R55="","",OFERTA!$R55/OFERTA!$R$216)</f>
        <v>0.12942829643521347</v>
      </c>
      <c r="X55" s="348">
        <f>IF(OFERTA!$S55="","",OFERTA!$S55/OFERTA!$S$216)</f>
        <v>0.13778839502562362</v>
      </c>
      <c r="Y55" s="348">
        <f>IF(OFERTA!$T55="","",OFERTA!$T55/OFERTA!$T$216)</f>
        <v>3.9275641732485662E-2</v>
      </c>
      <c r="Z55" s="348">
        <f>IF(OFERTA!$U55="","",OFERTA!$U55/OFERTA!$U$216)</f>
        <v>4.8916201613713406E-2</v>
      </c>
      <c r="AA55" s="349"/>
      <c r="AB55" s="344">
        <f>IF(AI55="","",AI55*OFERTA!$Q55)</f>
        <v>2484868.8141818182</v>
      </c>
      <c r="AC55" s="344">
        <f>IF(AI55="","",OFERTA!$N55*AI55)</f>
        <v>237600.00000000006</v>
      </c>
      <c r="AD55" s="344">
        <f>IF(AI55="","",OFERTA!$M55*AI55)</f>
        <v>721590.90909090918</v>
      </c>
      <c r="AE55" s="344">
        <f>IF(AI55="","",OFERTA!$P55*AI55)</f>
        <v>515187.80509090907</v>
      </c>
      <c r="AF55" s="344">
        <f>IF(AI55="","",OFERTA!$O55*AI55)</f>
        <v>1010490.0999999999</v>
      </c>
      <c r="AG55" s="343">
        <f t="shared" si="6"/>
        <v>367.35751295336786</v>
      </c>
      <c r="AH55" s="350">
        <v>7.27</v>
      </c>
      <c r="AI55" s="343">
        <f>IF('50'!$G$20=0,"",'50'!$G$20)</f>
        <v>9.65</v>
      </c>
      <c r="AJ55" s="350">
        <f t="shared" si="7"/>
        <v>70.155500000000004</v>
      </c>
      <c r="AK55" s="350">
        <f t="shared" si="5"/>
        <v>1.6843535669572118</v>
      </c>
      <c r="AL55" s="350">
        <f>IF(AJ55="","",OFERTA!$E55/AJ55)</f>
        <v>50.530607008716352</v>
      </c>
      <c r="AR55" s="352"/>
    </row>
    <row r="56" spans="1:44" s="351" customFormat="1" ht="64.900000000000006" customHeight="1" x14ac:dyDescent="0.3">
      <c r="A56" s="340" t="s">
        <v>438</v>
      </c>
      <c r="B56" s="341">
        <v>51</v>
      </c>
      <c r="C56" s="342" t="s">
        <v>386</v>
      </c>
      <c r="D56" s="343" t="s">
        <v>374</v>
      </c>
      <c r="E56" s="343">
        <v>7131</v>
      </c>
      <c r="F56" s="370">
        <f>IF('51'!$G$65=0,"",'51'!$G$65)</f>
        <v>161189.0249464073</v>
      </c>
      <c r="G56" s="344">
        <f>IF(OFERTA!$C56="","",IF(OFERTA!$F56="","",OFERTA!$F56*OFERTA!$E56))</f>
        <v>1149438936.8928304</v>
      </c>
      <c r="H56" s="345">
        <f>+IF(OFERTA!$F56="","",OFERTA!$G56/OFERTA!$G$216)</f>
        <v>5.9778830594556583E-2</v>
      </c>
      <c r="I56" s="346">
        <v>13387.860430244422</v>
      </c>
      <c r="J56" s="346">
        <v>214085.19869652667</v>
      </c>
      <c r="K56" s="346"/>
      <c r="L56" s="346">
        <f t="shared" si="4"/>
        <v>0</v>
      </c>
      <c r="M56" s="347">
        <f>+'51'!$N$28+'51'!$N$47</f>
        <v>39388.15005954745</v>
      </c>
      <c r="N56" s="347">
        <f>+'51'!$M$28+'51'!$M$47</f>
        <v>12969.432314410482</v>
      </c>
      <c r="O56" s="347">
        <f>IF('51'!$G$39=0,0,'51'!$G$39)</f>
        <v>53844.999999999993</v>
      </c>
      <c r="P56" s="347">
        <f>IF('51'!$G$55=0,0,'51'!$G$55)</f>
        <v>28121.605081381505</v>
      </c>
      <c r="Q56" s="347">
        <f>+OFERTA!$M56+OFERTA!$N56+OFERTA!$O56+OFERTA!$P56</f>
        <v>134324.18745533944</v>
      </c>
      <c r="R56" s="344">
        <f>IF(OFERTA!$M56="","",OFERTA!$M56*OFERTA!$E56)</f>
        <v>280876898.07463288</v>
      </c>
      <c r="S56" s="344">
        <f>IF(OFERTA!$N56="","",OFERTA!$N56*OFERTA!$E56)</f>
        <v>92485021.834061146</v>
      </c>
      <c r="T56" s="344">
        <f>IF(OFERTA!$O56="","",OFERTA!$O56*OFERTA!$E56)</f>
        <v>383968694.99999994</v>
      </c>
      <c r="U56" s="344">
        <f>IF(OFERTA!$P56="","",OFERTA!$P56*OFERTA!$E56)</f>
        <v>200535165.83533153</v>
      </c>
      <c r="V56" s="344">
        <f>IF(OFERTA!$U56="","",OFERTA!$U56+OFERTA!$T56+OFERTA!$S56+OFERTA!$R56)</f>
        <v>957865780.74402547</v>
      </c>
      <c r="W56" s="348">
        <f>IF(OFERTA!$R56="","",OFERTA!$R56/OFERTA!$R$216)</f>
        <v>0.13714035706138247</v>
      </c>
      <c r="X56" s="348">
        <f>IF(OFERTA!$S56="","",OFERTA!$S56/OFERTA!$S$216)</f>
        <v>0.14599859700840284</v>
      </c>
      <c r="Y56" s="348">
        <f>IF(OFERTA!$T56="","",OFERTA!$T56/OFERTA!$T$216)</f>
        <v>4.0625443804203985E-2</v>
      </c>
      <c r="Z56" s="348">
        <f>IF(OFERTA!$U56="","",OFERTA!$U56/OFERTA!$U$216)</f>
        <v>5.1830902052776177E-2</v>
      </c>
      <c r="AA56" s="349"/>
      <c r="AB56" s="344">
        <f>IF(AI56="","",AI56*OFERTA!$Q56)</f>
        <v>2460819.114181818</v>
      </c>
      <c r="AC56" s="344">
        <f>IF(AI56="","",OFERTA!$N56*AI56)</f>
        <v>237600</v>
      </c>
      <c r="AD56" s="344">
        <f>IF(AI56="","",OFERTA!$M56*AI56)</f>
        <v>721590.90909090918</v>
      </c>
      <c r="AE56" s="344">
        <f>IF(AI56="","",OFERTA!$P56*AI56)</f>
        <v>515187.80509090907</v>
      </c>
      <c r="AF56" s="344">
        <f>IF(AI56="","",OFERTA!$O56*AI56)</f>
        <v>986440.39999999967</v>
      </c>
      <c r="AG56" s="343">
        <f t="shared" si="6"/>
        <v>389.2467248908298</v>
      </c>
      <c r="AH56" s="350">
        <v>7.27</v>
      </c>
      <c r="AI56" s="343">
        <f>IF('51'!$G$20=0,"",'51'!$G$20)</f>
        <v>18.319999999999997</v>
      </c>
      <c r="AJ56" s="350">
        <f t="shared" si="7"/>
        <v>133.18639999999996</v>
      </c>
      <c r="AK56" s="350">
        <f t="shared" si="5"/>
        <v>1.7847167578671701</v>
      </c>
      <c r="AL56" s="350">
        <f>IF(AJ56="","",OFERTA!$E56/AJ56)</f>
        <v>53.541502736015104</v>
      </c>
      <c r="AR56" s="352"/>
    </row>
    <row r="57" spans="1:44" s="376" customFormat="1" ht="74.650000000000006" customHeight="1" x14ac:dyDescent="0.3">
      <c r="A57" s="364" t="s">
        <v>438</v>
      </c>
      <c r="B57" s="367">
        <v>52</v>
      </c>
      <c r="C57" s="368" t="s">
        <v>558</v>
      </c>
      <c r="D57" s="369" t="s">
        <v>373</v>
      </c>
      <c r="E57" s="369">
        <v>194140</v>
      </c>
      <c r="F57" s="370">
        <f>IF('52'!$G$65=0,"",'52'!$G$65)</f>
        <v>32978.959860363633</v>
      </c>
      <c r="G57" s="370">
        <f>IF(OFERTA!$C57="","",IF(OFERTA!$F57="","",OFERTA!$F57*OFERTA!$E57))</f>
        <v>6402535267.2909956</v>
      </c>
      <c r="H57" s="371">
        <f>+IF(OFERTA!$F57="","",OFERTA!$G57/OFERTA!$G$216)</f>
        <v>0.33297642774628528</v>
      </c>
      <c r="I57" s="365">
        <v>14326.547144716023</v>
      </c>
      <c r="J57" s="365">
        <v>36726.727346073923</v>
      </c>
      <c r="K57" s="365"/>
      <c r="L57" s="365">
        <f t="shared" si="4"/>
        <v>0</v>
      </c>
      <c r="M57" s="373">
        <f>+'52'!$N$28+'52'!$N$47</f>
        <v>265.15151515151513</v>
      </c>
      <c r="N57" s="373">
        <f>+'52'!$M$28+'52'!$M$47</f>
        <v>72</v>
      </c>
      <c r="O57" s="373">
        <f>IF('52'!$G$39=0,0,'52'!$G$39)</f>
        <v>25488.272727272728</v>
      </c>
      <c r="P57" s="373">
        <f>IF('52'!$G$55=0,0,'52'!$G$55)</f>
        <v>1657.0423078787876</v>
      </c>
      <c r="Q57" s="373">
        <f>+OFERTA!$M57+OFERTA!$N57+OFERTA!$O57+OFERTA!$P57</f>
        <v>27482.46655030303</v>
      </c>
      <c r="R57" s="370">
        <f>IF(OFERTA!$M57="","",OFERTA!$M57*OFERTA!$E57)</f>
        <v>51476515.151515149</v>
      </c>
      <c r="S57" s="370">
        <f>IF(OFERTA!$N57="","",OFERTA!$N57*OFERTA!$E57)</f>
        <v>13978080</v>
      </c>
      <c r="T57" s="370">
        <f>IF(OFERTA!$O57="","",OFERTA!$O57*OFERTA!$E57)</f>
        <v>4948293267.272727</v>
      </c>
      <c r="U57" s="370">
        <f>IF(OFERTA!$P57="","",OFERTA!$P57*OFERTA!$E57)</f>
        <v>321698193.65158784</v>
      </c>
      <c r="V57" s="370">
        <f>IF(OFERTA!$U57="","",OFERTA!$U57+OFERTA!$T57+OFERTA!$S57+OFERTA!$R57)</f>
        <v>5335446056.0758295</v>
      </c>
      <c r="W57" s="374">
        <f>IF(OFERTA!$R57="","",OFERTA!$R57/OFERTA!$R$216)</f>
        <v>2.5133813839964308E-2</v>
      </c>
      <c r="X57" s="374">
        <f>IF(OFERTA!$S57="","",OFERTA!$S57/OFERTA!$S$216)</f>
        <v>2.2066060302530201E-2</v>
      </c>
      <c r="Y57" s="374">
        <f>IF(OFERTA!$T57="","",OFERTA!$T57/OFERTA!$T$216)</f>
        <v>0.52354947857483314</v>
      </c>
      <c r="Z57" s="374">
        <f>IF(OFERTA!$U57="","",OFERTA!$U57/OFERTA!$U$216)</f>
        <v>8.3147050524805061E-2</v>
      </c>
      <c r="AA57" s="366"/>
      <c r="AB57" s="370">
        <f>IF(AI57="","",AI57*OFERTA!$Q57)</f>
        <v>4122369.9825454545</v>
      </c>
      <c r="AC57" s="370">
        <f>IF(AI57="","",OFERTA!$N57*AI57)</f>
        <v>10800</v>
      </c>
      <c r="AD57" s="370">
        <f>IF(AI57="","",OFERTA!$M57*AI57)</f>
        <v>39772.727272727272</v>
      </c>
      <c r="AE57" s="370">
        <f>IF(AI57="","",OFERTA!$P57*AI57)</f>
        <v>248556.34618181814</v>
      </c>
      <c r="AF57" s="370">
        <f>IF(AI57="","",OFERTA!$O57*AI57)</f>
        <v>3823240.9090909092</v>
      </c>
      <c r="AG57" s="369">
        <f t="shared" si="6"/>
        <v>1294.2666666666667</v>
      </c>
      <c r="AH57" s="375">
        <v>7.27</v>
      </c>
      <c r="AI57" s="369">
        <f>IF('52'!$G$20=0,"",'52'!$G$20)</f>
        <v>150</v>
      </c>
      <c r="AJ57" s="375">
        <f t="shared" si="7"/>
        <v>1090.5</v>
      </c>
      <c r="AK57" s="375">
        <f t="shared" si="5"/>
        <v>5.9342809108971419</v>
      </c>
      <c r="AL57" s="375">
        <f>IF(AJ57="","",OFERTA!$E57/AJ57)</f>
        <v>178.02842732691425</v>
      </c>
      <c r="AR57" s="377"/>
    </row>
    <row r="58" spans="1:44" s="412" customFormat="1" ht="74.650000000000006" customHeight="1" x14ac:dyDescent="0.3">
      <c r="A58" s="401" t="s">
        <v>438</v>
      </c>
      <c r="B58" s="402">
        <v>53</v>
      </c>
      <c r="C58" s="403" t="s">
        <v>566</v>
      </c>
      <c r="D58" s="404" t="s">
        <v>374</v>
      </c>
      <c r="E58" s="404">
        <v>224</v>
      </c>
      <c r="F58" s="405">
        <f>IF('53'!$G$65=0,"",'53'!$G$65)</f>
        <v>43120.605713454548</v>
      </c>
      <c r="G58" s="405">
        <f>IF(OFERTA!$C58="","",IF(OFERTA!$F58="","",OFERTA!$F58*OFERTA!$E58))</f>
        <v>9659015.679813819</v>
      </c>
      <c r="H58" s="406">
        <f>+IF(OFERTA!$F58="","",OFERTA!$G58/OFERTA!$G$216)</f>
        <v>5.0233609067968374E-4</v>
      </c>
      <c r="I58" s="407">
        <v>308346.13667588547</v>
      </c>
      <c r="J58" s="407">
        <v>46288.176298354607</v>
      </c>
      <c r="K58" s="407"/>
      <c r="L58" s="407">
        <f t="shared" si="4"/>
        <v>0</v>
      </c>
      <c r="M58" s="408">
        <f>+'53'!$N$28+'53'!$N$47</f>
        <v>1051.1363636363635</v>
      </c>
      <c r="N58" s="408">
        <f>+'53'!$M$28+'53'!$M$47</f>
        <v>432</v>
      </c>
      <c r="O58" s="408">
        <f>IF('53'!$G$39=0,0,'53'!$G$39)</f>
        <v>32840</v>
      </c>
      <c r="P58" s="408">
        <f>IF('53'!$G$55=0,0,'53'!$G$55)</f>
        <v>1610.7017309090909</v>
      </c>
      <c r="Q58" s="408">
        <f>+OFERTA!$M58+OFERTA!$N58+OFERTA!$O58+OFERTA!$P58</f>
        <v>35933.838094545448</v>
      </c>
      <c r="R58" s="405">
        <f>IF(OFERTA!$M58="","",OFERTA!$M58*OFERTA!$E58)</f>
        <v>235454.54545454541</v>
      </c>
      <c r="S58" s="405">
        <f>IF(OFERTA!$N58="","",OFERTA!$N58*OFERTA!$E58)</f>
        <v>96768</v>
      </c>
      <c r="T58" s="405">
        <f>IF(OFERTA!$O58="","",OFERTA!$O58*OFERTA!$E58)</f>
        <v>7356160</v>
      </c>
      <c r="U58" s="405">
        <f>IF(OFERTA!$P58="","",OFERTA!$P58*OFERTA!$E58)</f>
        <v>360797.18772363634</v>
      </c>
      <c r="V58" s="405">
        <f>IF(OFERTA!$U58="","",OFERTA!$U58+OFERTA!$T58+OFERTA!$S58+OFERTA!$R58)</f>
        <v>8049179.7331781816</v>
      </c>
      <c r="W58" s="409">
        <f>IF(OFERTA!$R58="","",OFERTA!$R58/OFERTA!$R$216)</f>
        <v>1.1496253574682344E-4</v>
      </c>
      <c r="X58" s="409">
        <f>IF(OFERTA!$S58="","",OFERTA!$S58/OFERTA!$S$216)</f>
        <v>1.5275978699186459E-4</v>
      </c>
      <c r="Y58" s="409">
        <f>IF(OFERTA!$T58="","",OFERTA!$T58/OFERTA!$T$216)</f>
        <v>7.7831153577437664E-4</v>
      </c>
      <c r="Z58" s="409">
        <f>IF(OFERTA!$U58="","",OFERTA!$U58/OFERTA!$U$216)</f>
        <v>9.3252690219812478E-5</v>
      </c>
      <c r="AA58" s="410"/>
      <c r="AB58" s="405">
        <f>IF(AI58="","",AI58*OFERTA!$Q58)</f>
        <v>3593383.8094545449</v>
      </c>
      <c r="AC58" s="405">
        <f>IF(AI58="","",OFERTA!$N58*AI58)</f>
        <v>43200</v>
      </c>
      <c r="AD58" s="405">
        <f>IF(AI58="","",OFERTA!$M58*AI58)</f>
        <v>105113.63636363635</v>
      </c>
      <c r="AE58" s="405">
        <f>IF(AI58="","",OFERTA!$P58*AI58)</f>
        <v>161070.17309090908</v>
      </c>
      <c r="AF58" s="405">
        <f>IF(AI58="","",OFERTA!$O58*AI58)</f>
        <v>3284000</v>
      </c>
      <c r="AG58" s="404">
        <f t="shared" si="6"/>
        <v>2.2400000000000002</v>
      </c>
      <c r="AH58" s="411">
        <v>7.27</v>
      </c>
      <c r="AI58" s="404">
        <f>IF('53'!$G$20=0,"",'53'!$G$20)</f>
        <v>100</v>
      </c>
      <c r="AJ58" s="411">
        <f t="shared" si="7"/>
        <v>727</v>
      </c>
      <c r="AK58" s="411">
        <f t="shared" si="5"/>
        <v>1.0270518110958277E-2</v>
      </c>
      <c r="AL58" s="411">
        <f>IF(AJ58="","",OFERTA!$E58/AJ58)</f>
        <v>0.3081155433287483</v>
      </c>
      <c r="AR58" s="413"/>
    </row>
    <row r="59" spans="1:44" s="10" customFormat="1" hidden="1" x14ac:dyDescent="0.3">
      <c r="A59" s="354"/>
      <c r="B59" s="320">
        <v>54</v>
      </c>
      <c r="C59" s="321"/>
      <c r="D59" s="322"/>
      <c r="E59" s="322"/>
      <c r="F59" s="323">
        <f>IF('54'!$G$65=0,"",'54'!$G$65)</f>
        <v>1756.4906356363635</v>
      </c>
      <c r="G59" s="323" t="str">
        <f>IF(OFERTA!$C59="","",IF(OFERTA!$F59="","",OFERTA!$F59*OFERTA!$E59))</f>
        <v/>
      </c>
      <c r="H59" s="324" t="e">
        <f>+IF(OFERTA!$F59="","",OFERTA!$G59/OFERTA!$G$216)</f>
        <v>#VALUE!</v>
      </c>
      <c r="I59" s="325">
        <v>2020982.6950402772</v>
      </c>
      <c r="J59" s="325">
        <v>4252.9565319160392</v>
      </c>
      <c r="K59" s="325"/>
      <c r="L59" s="325" t="str">
        <f t="shared" si="4"/>
        <v/>
      </c>
      <c r="M59" s="326">
        <f>+'54'!$N$28+'54'!$N$47</f>
        <v>0</v>
      </c>
      <c r="N59" s="326">
        <f>+'54'!$M$28+'54'!$M$47</f>
        <v>0</v>
      </c>
      <c r="O59" s="326">
        <f>IF('54'!$G$39=0,0,'54'!$G$39)</f>
        <v>400</v>
      </c>
      <c r="P59" s="326">
        <f>IF('54'!$G$55=0,0,'54'!$G$55)</f>
        <v>1063.7421963636364</v>
      </c>
      <c r="Q59" s="326">
        <f>+OFERTA!$M59+OFERTA!$N59+OFERTA!$O59+OFERTA!$P59</f>
        <v>1463.7421963636364</v>
      </c>
      <c r="R59" s="323">
        <f>IF(OFERTA!$M59="","",OFERTA!$M59*OFERTA!$E59)</f>
        <v>0</v>
      </c>
      <c r="S59" s="323">
        <f>IF(OFERTA!$N59="","",OFERTA!$N59*OFERTA!$E59)</f>
        <v>0</v>
      </c>
      <c r="T59" s="323">
        <f>IF(OFERTA!$O59="","",OFERTA!$O59*OFERTA!$E59)</f>
        <v>0</v>
      </c>
      <c r="U59" s="323">
        <f>IF(OFERTA!$P59="","",OFERTA!$P59*OFERTA!$E59)</f>
        <v>0</v>
      </c>
      <c r="V59" s="323">
        <f>IF(OFERTA!$U59="","",OFERTA!$U59+OFERTA!$T59+OFERTA!$S59+OFERTA!$R59)</f>
        <v>0</v>
      </c>
      <c r="W59" s="327">
        <f>IF(OFERTA!$R59="","",OFERTA!$R59/OFERTA!$R$216)</f>
        <v>0</v>
      </c>
      <c r="X59" s="327">
        <f>IF(OFERTA!$S59="","",OFERTA!$S59/OFERTA!$S$216)</f>
        <v>0</v>
      </c>
      <c r="Y59" s="327">
        <f>IF(OFERTA!$T59="","",OFERTA!$T59/OFERTA!$T$216)</f>
        <v>0</v>
      </c>
      <c r="Z59" s="327">
        <f>IF(OFERTA!$U59="","",OFERTA!$U59/OFERTA!$U$216)</f>
        <v>0</v>
      </c>
      <c r="AA59" s="328"/>
      <c r="AB59" s="323">
        <f>IF(AI59="","",AI59*OFERTA!$Q59)</f>
        <v>292748.43927272729</v>
      </c>
      <c r="AC59" s="323">
        <f>IF(AI59="","",OFERTA!$N59*AI59)</f>
        <v>0</v>
      </c>
      <c r="AD59" s="323">
        <f>IF(AI59="","",OFERTA!$M59*AI59)</f>
        <v>0</v>
      </c>
      <c r="AE59" s="323">
        <f>IF(AI59="","",OFERTA!$P59*AI59)</f>
        <v>212748.43927272726</v>
      </c>
      <c r="AF59" s="323">
        <f>IF(AI59="","",OFERTA!$O59*AI59)</f>
        <v>80000</v>
      </c>
      <c r="AG59" s="322">
        <f t="shared" si="6"/>
        <v>0</v>
      </c>
      <c r="AH59" s="329">
        <v>7.27</v>
      </c>
      <c r="AI59" s="322">
        <f>IF('54'!$G$20=0,"",'54'!$G$20)</f>
        <v>200</v>
      </c>
      <c r="AJ59" s="329">
        <f t="shared" si="7"/>
        <v>1454</v>
      </c>
      <c r="AK59" s="329">
        <f t="shared" si="5"/>
        <v>0</v>
      </c>
      <c r="AL59" s="329">
        <f>IF(AJ59="","",OFERTA!$E59/AJ59)</f>
        <v>0</v>
      </c>
      <c r="AR59" s="330"/>
    </row>
    <row r="60" spans="1:44" s="10" customFormat="1" hidden="1" x14ac:dyDescent="0.3">
      <c r="A60" s="220"/>
      <c r="B60" s="320">
        <v>55</v>
      </c>
      <c r="C60" s="321"/>
      <c r="D60" s="322"/>
      <c r="E60" s="322"/>
      <c r="F60" s="323">
        <f>IF('55'!$G$65=0,"",'55'!$G$65)</f>
        <v>21501.987514181819</v>
      </c>
      <c r="G60" s="323" t="str">
        <f>IF(OFERTA!$C60="","",IF(OFERTA!$F60="","",OFERTA!$F60*OFERTA!$E60))</f>
        <v/>
      </c>
      <c r="H60" s="324" t="e">
        <f>+IF(OFERTA!$F60="","",OFERTA!$G60/OFERTA!$G$216)</f>
        <v>#VALUE!</v>
      </c>
      <c r="I60" s="325">
        <v>1181757.4825809826</v>
      </c>
      <c r="J60" s="325">
        <v>25309.608709221386</v>
      </c>
      <c r="K60" s="325"/>
      <c r="L60" s="325" t="str">
        <f t="shared" si="4"/>
        <v/>
      </c>
      <c r="M60" s="326">
        <f>+'55'!$N$28+'55'!$N$47</f>
        <v>0</v>
      </c>
      <c r="N60" s="326">
        <f>+'55'!$M$28+'55'!$M$47</f>
        <v>0</v>
      </c>
      <c r="O60" s="326">
        <f>IF('55'!$G$39=0,0,'55'!$G$39)</f>
        <v>16500</v>
      </c>
      <c r="P60" s="326">
        <f>IF('55'!$G$55=0,0,'55'!$G$55)</f>
        <v>1418.3229284848485</v>
      </c>
      <c r="Q60" s="326">
        <f>+OFERTA!$M60+OFERTA!$N60+OFERTA!$O60+OFERTA!$P60</f>
        <v>17918.322928484849</v>
      </c>
      <c r="R60" s="323">
        <f>IF(OFERTA!$M60="","",OFERTA!$M60*OFERTA!$E60)</f>
        <v>0</v>
      </c>
      <c r="S60" s="323">
        <f>IF(OFERTA!$N60="","",OFERTA!$N60*OFERTA!$E60)</f>
        <v>0</v>
      </c>
      <c r="T60" s="323">
        <f>IF(OFERTA!$O60="","",OFERTA!$O60*OFERTA!$E60)</f>
        <v>0</v>
      </c>
      <c r="U60" s="323">
        <f>IF(OFERTA!$P60="","",OFERTA!$P60*OFERTA!$E60)</f>
        <v>0</v>
      </c>
      <c r="V60" s="323">
        <f>IF(OFERTA!$U60="","",OFERTA!$U60+OFERTA!$T60+OFERTA!$S60+OFERTA!$R60)</f>
        <v>0</v>
      </c>
      <c r="W60" s="327">
        <f>IF(OFERTA!$R60="","",OFERTA!$R60/OFERTA!$R$216)</f>
        <v>0</v>
      </c>
      <c r="X60" s="327">
        <f>IF(OFERTA!$S60="","",OFERTA!$S60/OFERTA!$S$216)</f>
        <v>0</v>
      </c>
      <c r="Y60" s="327">
        <f>IF(OFERTA!$T60="","",OFERTA!$T60/OFERTA!$T$216)</f>
        <v>0</v>
      </c>
      <c r="Z60" s="327">
        <f>IF(OFERTA!$U60="","",OFERTA!$U60/OFERTA!$U$216)</f>
        <v>0</v>
      </c>
      <c r="AA60" s="328"/>
      <c r="AB60" s="323">
        <f>IF(AI60="","",AI60*OFERTA!$Q60)</f>
        <v>2687748.4392727274</v>
      </c>
      <c r="AC60" s="323">
        <f>IF(AI60="","",OFERTA!$N60*AI60)</f>
        <v>0</v>
      </c>
      <c r="AD60" s="323">
        <f>IF(AI60="","",OFERTA!$M60*AI60)</f>
        <v>0</v>
      </c>
      <c r="AE60" s="323">
        <f>IF(AI60="","",OFERTA!$P60*AI60)</f>
        <v>212748.43927272726</v>
      </c>
      <c r="AF60" s="323">
        <f>IF(AI60="","",OFERTA!$O60*AI60)</f>
        <v>2475000</v>
      </c>
      <c r="AG60" s="322">
        <f t="shared" si="6"/>
        <v>0</v>
      </c>
      <c r="AH60" s="329">
        <v>7.27</v>
      </c>
      <c r="AI60" s="322">
        <f>IF('55'!$G$20=0,"",'55'!$G$20)</f>
        <v>150</v>
      </c>
      <c r="AJ60" s="329">
        <f t="shared" si="7"/>
        <v>1090.5</v>
      </c>
      <c r="AK60" s="329">
        <f t="shared" si="5"/>
        <v>0</v>
      </c>
      <c r="AL60" s="329">
        <f>IF(AJ60="","",OFERTA!$E60/AJ60)</f>
        <v>0</v>
      </c>
      <c r="AR60" s="330"/>
    </row>
    <row r="61" spans="1:44" s="351" customFormat="1" x14ac:dyDescent="0.3">
      <c r="A61" s="340" t="s">
        <v>438</v>
      </c>
      <c r="B61" s="341">
        <v>56</v>
      </c>
      <c r="C61" s="342"/>
      <c r="D61" s="343"/>
      <c r="E61" s="343"/>
      <c r="F61" s="344" t="str">
        <f>IF('56'!$G$65=0,"",'56'!$G$65)</f>
        <v/>
      </c>
      <c r="G61" s="344" t="str">
        <f>IF(OFERTA!$C61="","",IF(OFERTA!$F61="","",OFERTA!$F61*OFERTA!$E61))</f>
        <v/>
      </c>
      <c r="H61" s="345" t="str">
        <f>+IF(OFERTA!$F61="","",OFERTA!$G61/OFERTA!$G$216)</f>
        <v/>
      </c>
      <c r="I61" s="346">
        <v>4229701.8575422363</v>
      </c>
      <c r="J61" s="346">
        <v>13387.860430244422</v>
      </c>
      <c r="K61" s="346"/>
      <c r="L61" s="346" t="str">
        <f t="shared" si="4"/>
        <v/>
      </c>
      <c r="M61" s="347">
        <f>+'56'!$N$28+'56'!$N$47</f>
        <v>0</v>
      </c>
      <c r="N61" s="347">
        <f>+'56'!$M$28+'56'!$M$47</f>
        <v>0</v>
      </c>
      <c r="O61" s="347">
        <f>IF('56'!$G$39=0,0,'56'!$G$39)</f>
        <v>0</v>
      </c>
      <c r="P61" s="347">
        <f>IF('56'!$G$55=0,0,'56'!$G$55)</f>
        <v>0</v>
      </c>
      <c r="Q61" s="347">
        <f>+OFERTA!$M61+OFERTA!$N61+OFERTA!$O61+OFERTA!$P61</f>
        <v>0</v>
      </c>
      <c r="R61" s="344">
        <f>IF(OFERTA!$M61="","",OFERTA!$M61*OFERTA!$E61)</f>
        <v>0</v>
      </c>
      <c r="S61" s="344">
        <f>IF(OFERTA!$N61="","",OFERTA!$N61*OFERTA!$E61)</f>
        <v>0</v>
      </c>
      <c r="T61" s="344">
        <f>IF(OFERTA!$O61="","",OFERTA!$O61*OFERTA!$E61)</f>
        <v>0</v>
      </c>
      <c r="U61" s="344">
        <f>IF(OFERTA!$P61="","",OFERTA!$P61*OFERTA!$E61)</f>
        <v>0</v>
      </c>
      <c r="V61" s="344">
        <f>IF(OFERTA!$U61="","",OFERTA!$U61+OFERTA!$T61+OFERTA!$S61+OFERTA!$R61)</f>
        <v>0</v>
      </c>
      <c r="W61" s="348">
        <f>IF(OFERTA!$R61="","",OFERTA!$R61/OFERTA!$R$216)</f>
        <v>0</v>
      </c>
      <c r="X61" s="348">
        <f>IF(OFERTA!$S61="","",OFERTA!$S61/OFERTA!$S$216)</f>
        <v>0</v>
      </c>
      <c r="Y61" s="348">
        <f>IF(OFERTA!$T61="","",OFERTA!$T61/OFERTA!$T$216)</f>
        <v>0</v>
      </c>
      <c r="Z61" s="348">
        <f>IF(OFERTA!$U61="","",OFERTA!$U61/OFERTA!$U$216)</f>
        <v>0</v>
      </c>
      <c r="AA61" s="349"/>
      <c r="AB61" s="344" t="str">
        <f>IF(AI61="","",AI61*OFERTA!$Q61)</f>
        <v/>
      </c>
      <c r="AC61" s="344" t="str">
        <f>IF(AI61="","",OFERTA!$N61*AI61)</f>
        <v/>
      </c>
      <c r="AD61" s="344" t="str">
        <f>IF(AI61="","",OFERTA!$M61*AI61)</f>
        <v/>
      </c>
      <c r="AE61" s="344" t="str">
        <f>IF(AI61="","",OFERTA!$P61*AI61)</f>
        <v/>
      </c>
      <c r="AF61" s="344" t="str">
        <f>IF(AI61="","",OFERTA!$O61*AI61)</f>
        <v/>
      </c>
      <c r="AG61" s="343" t="str">
        <f t="shared" si="6"/>
        <v/>
      </c>
      <c r="AH61" s="350">
        <v>7.27</v>
      </c>
      <c r="AI61" s="343" t="str">
        <f>IF('56'!$G$20=0,"",'56'!$G$20)</f>
        <v/>
      </c>
      <c r="AJ61" s="350" t="str">
        <f t="shared" si="7"/>
        <v/>
      </c>
      <c r="AK61" s="350" t="str">
        <f t="shared" si="5"/>
        <v/>
      </c>
      <c r="AL61" s="350" t="str">
        <f>IF(AJ61="","",OFERTA!$E61/AJ61)</f>
        <v/>
      </c>
      <c r="AR61" s="352"/>
    </row>
    <row r="62" spans="1:44" s="163" customFormat="1" ht="161.44999999999999" customHeight="1" x14ac:dyDescent="0.3">
      <c r="A62" s="145" t="s">
        <v>438</v>
      </c>
      <c r="B62" s="318">
        <v>57</v>
      </c>
      <c r="C62" s="307" t="s">
        <v>561</v>
      </c>
      <c r="D62" s="308" t="s">
        <v>374</v>
      </c>
      <c r="E62" s="308">
        <v>32500</v>
      </c>
      <c r="F62" s="309">
        <f>IF('57'!$G$65=0,"",'57'!$G$65)</f>
        <v>11977.577879648095</v>
      </c>
      <c r="G62" s="309">
        <f>IF(OFERTA!$C62="","",IF(OFERTA!$F62="","",OFERTA!$F62*OFERTA!$E62))</f>
        <v>389271281.08856308</v>
      </c>
      <c r="H62" s="317">
        <f>+IF(OFERTA!$F62="","",OFERTA!$G62/OFERTA!$G$216)</f>
        <v>2.0244817902570201E-2</v>
      </c>
      <c r="I62" s="310">
        <v>4353755.886362236</v>
      </c>
      <c r="J62" s="310">
        <v>13387.860430244422</v>
      </c>
      <c r="K62" s="310"/>
      <c r="L62" s="310">
        <f t="shared" si="4"/>
        <v>0</v>
      </c>
      <c r="M62" s="311">
        <f>+'57'!$N$28+'57'!$N$47</f>
        <v>293.25513196480938</v>
      </c>
      <c r="N62" s="311">
        <f>+'57'!$M$28+'57'!$M$47</f>
        <v>156.77419354838707</v>
      </c>
      <c r="O62" s="311">
        <f>IF('57'!$G$39=0,0,'57'!$G$39)</f>
        <v>8618</v>
      </c>
      <c r="P62" s="311">
        <f>IF('57'!$G$55=0,0,'57'!$G$55)</f>
        <v>913.28557419354843</v>
      </c>
      <c r="Q62" s="311">
        <f>+OFERTA!$M62+OFERTA!$N62+OFERTA!$O62+OFERTA!$P62</f>
        <v>9981.3148997067456</v>
      </c>
      <c r="R62" s="309">
        <f>IF(OFERTA!$M62="","",OFERTA!$M62*OFERTA!$E62)</f>
        <v>9530791.7888563052</v>
      </c>
      <c r="S62" s="309">
        <f>IF(OFERTA!$N62="","",OFERTA!$N62*OFERTA!$E62)</f>
        <v>5095161.2903225804</v>
      </c>
      <c r="T62" s="309">
        <f>IF(OFERTA!$O62="","",OFERTA!$O62*OFERTA!$E62)</f>
        <v>280085000</v>
      </c>
      <c r="U62" s="309">
        <f>IF(OFERTA!$P62="","",OFERTA!$P62*OFERTA!$E62)</f>
        <v>29681781.161290325</v>
      </c>
      <c r="V62" s="309">
        <f>IF(OFERTA!$U62="","",OFERTA!$U62+OFERTA!$T62+OFERTA!$S62+OFERTA!$R62)</f>
        <v>324392734.24046928</v>
      </c>
      <c r="W62" s="319">
        <f>IF(OFERTA!$R62="","",OFERTA!$R62/OFERTA!$R$216)</f>
        <v>4.6534841347263198E-3</v>
      </c>
      <c r="X62" s="319">
        <f>IF(OFERTA!$S62="","",OFERTA!$S62/OFERTA!$S$216)</f>
        <v>8.0433175574453463E-3</v>
      </c>
      <c r="Y62" s="319">
        <f>IF(OFERTA!$T62="","",OFERTA!$T62/OFERTA!$T$216)</f>
        <v>2.9634127927800142E-2</v>
      </c>
      <c r="Z62" s="319">
        <f>IF(OFERTA!$U62="","",OFERTA!$U62/OFERTA!$U$216)</f>
        <v>7.6716394639035684E-3</v>
      </c>
      <c r="AA62" s="140"/>
      <c r="AB62" s="309">
        <f>IF(AI62="","",AI62*OFERTA!$Q62)</f>
        <v>1547103.8094545456</v>
      </c>
      <c r="AC62" s="309">
        <f>IF(AI62="","",OFERTA!$N62*AI62)</f>
        <v>24299.999999999996</v>
      </c>
      <c r="AD62" s="309">
        <f>IF(AI62="","",OFERTA!$M62*AI62)</f>
        <v>45454.545454545456</v>
      </c>
      <c r="AE62" s="309">
        <f>IF(AI62="","",OFERTA!$P62*AI62)</f>
        <v>141559.264</v>
      </c>
      <c r="AF62" s="309">
        <f>IF(AI62="","",OFERTA!$O62*AI62)</f>
        <v>1335790</v>
      </c>
      <c r="AG62" s="308">
        <f t="shared" si="6"/>
        <v>209.67741935483872</v>
      </c>
      <c r="AH62" s="312">
        <v>7.27</v>
      </c>
      <c r="AI62" s="308">
        <f>IF('57'!$G$20=0,"",'57'!$G$20)</f>
        <v>155</v>
      </c>
      <c r="AJ62" s="312">
        <f t="shared" si="7"/>
        <v>1126.8499999999999</v>
      </c>
      <c r="AK62" s="312">
        <f t="shared" si="5"/>
        <v>0.96138202363520742</v>
      </c>
      <c r="AL62" s="312">
        <f>IF(AJ62="","",OFERTA!$E62/AJ62)</f>
        <v>28.841460709056221</v>
      </c>
      <c r="AR62" s="164"/>
    </row>
    <row r="63" spans="1:44" s="163" customFormat="1" ht="161.44999999999999" customHeight="1" x14ac:dyDescent="0.3">
      <c r="A63" s="145" t="s">
        <v>438</v>
      </c>
      <c r="B63" s="318">
        <v>58</v>
      </c>
      <c r="C63" s="307" t="s">
        <v>562</v>
      </c>
      <c r="D63" s="308" t="s">
        <v>374</v>
      </c>
      <c r="E63" s="308">
        <v>32500</v>
      </c>
      <c r="F63" s="309">
        <f>IF('58'!$G$65=0,"",'58'!$G$65)</f>
        <v>12540.053570909093</v>
      </c>
      <c r="G63" s="309">
        <f>IF(OFERTA!$C63="","",IF(OFERTA!$F63="","",OFERTA!$F63*OFERTA!$E63))</f>
        <v>407551741.05454552</v>
      </c>
      <c r="H63" s="317">
        <f>+IF(OFERTA!$F63="","",OFERTA!$G63/OFERTA!$G$216)</f>
        <v>2.1195529144744627E-2</v>
      </c>
      <c r="I63" s="310">
        <v>440762.27877049724</v>
      </c>
      <c r="J63" s="310">
        <v>14326.547144716023</v>
      </c>
      <c r="K63" s="310"/>
      <c r="L63" s="310">
        <f t="shared" si="4"/>
        <v>0</v>
      </c>
      <c r="M63" s="311">
        <f>+'58'!$N$28+'58'!$N$47</f>
        <v>284.09090909090907</v>
      </c>
      <c r="N63" s="311">
        <f>+'58'!$M$28+'58'!$M$47</f>
        <v>151.875</v>
      </c>
      <c r="O63" s="311">
        <f>IF('58'!$G$39=0,0,'58'!$G$39)</f>
        <v>9129.3333333333339</v>
      </c>
      <c r="P63" s="311">
        <f>IF('58'!$G$55=0,0,'58'!$G$55)</f>
        <v>884.7453999999999</v>
      </c>
      <c r="Q63" s="311">
        <f>+OFERTA!$M63+OFERTA!$N63+OFERTA!$O63+OFERTA!$P63</f>
        <v>10450.044642424244</v>
      </c>
      <c r="R63" s="309">
        <f>IF(OFERTA!$M63="","",OFERTA!$M63*OFERTA!$E63)</f>
        <v>9232954.5454545449</v>
      </c>
      <c r="S63" s="309">
        <f>IF(OFERTA!$N63="","",OFERTA!$N63*OFERTA!$E63)</f>
        <v>4935937.5</v>
      </c>
      <c r="T63" s="309">
        <f>IF(OFERTA!$O63="","",OFERTA!$O63*OFERTA!$E63)</f>
        <v>296703333.33333337</v>
      </c>
      <c r="U63" s="309">
        <f>IF(OFERTA!$P63="","",OFERTA!$P63*OFERTA!$E63)</f>
        <v>28754225.499999996</v>
      </c>
      <c r="V63" s="309">
        <f>IF(OFERTA!$U63="","",OFERTA!$U63+OFERTA!$T63+OFERTA!$S63+OFERTA!$R63)</f>
        <v>339626450.87878793</v>
      </c>
      <c r="W63" s="319">
        <f>IF(OFERTA!$R63="","",OFERTA!$R63/OFERTA!$R$216)</f>
        <v>4.5080627555161221E-3</v>
      </c>
      <c r="X63" s="319">
        <f>IF(OFERTA!$S63="","",OFERTA!$S63/OFERTA!$S$216)</f>
        <v>7.7919638837751805E-3</v>
      </c>
      <c r="Y63" s="319">
        <f>IF(OFERTA!$T63="","",OFERTA!$T63/OFERTA!$T$216)</f>
        <v>3.1392414933340697E-2</v>
      </c>
      <c r="Z63" s="319">
        <f>IF(OFERTA!$U63="","",OFERTA!$U63/OFERTA!$U$216)</f>
        <v>7.4319007306565803E-3</v>
      </c>
      <c r="AA63" s="140"/>
      <c r="AB63" s="309">
        <f>IF(AI63="","",AI63*OFERTA!$Q63)</f>
        <v>1672007.1427878789</v>
      </c>
      <c r="AC63" s="309">
        <f>IF(AI63="","",OFERTA!$N63*AI63)</f>
        <v>24300</v>
      </c>
      <c r="AD63" s="309">
        <f>IF(AI63="","",OFERTA!$M63*AI63)</f>
        <v>45454.545454545449</v>
      </c>
      <c r="AE63" s="309">
        <f>IF(AI63="","",OFERTA!$P63*AI63)</f>
        <v>141559.264</v>
      </c>
      <c r="AF63" s="309">
        <f>IF(AI63="","",OFERTA!$O63*AI63)</f>
        <v>1460693.3333333335</v>
      </c>
      <c r="AG63" s="308">
        <f t="shared" si="6"/>
        <v>203.12500000000003</v>
      </c>
      <c r="AH63" s="312">
        <v>7.27</v>
      </c>
      <c r="AI63" s="308">
        <f>IF('58'!$G$20=0,"",'58'!$G$20)</f>
        <v>160</v>
      </c>
      <c r="AJ63" s="312">
        <f t="shared" si="7"/>
        <v>1163.1999999999998</v>
      </c>
      <c r="AK63" s="312">
        <f t="shared" si="5"/>
        <v>0.93133883539660722</v>
      </c>
      <c r="AL63" s="312">
        <f>IF(AJ63="","",OFERTA!$E63/AJ63)</f>
        <v>27.940165061898217</v>
      </c>
      <c r="AR63" s="164"/>
    </row>
    <row r="64" spans="1:44" s="163" customFormat="1" ht="161.44999999999999" customHeight="1" x14ac:dyDescent="0.3">
      <c r="A64" s="145" t="s">
        <v>438</v>
      </c>
      <c r="B64" s="318">
        <v>59</v>
      </c>
      <c r="C64" s="307" t="s">
        <v>565</v>
      </c>
      <c r="D64" s="308" t="s">
        <v>374</v>
      </c>
      <c r="E64" s="308">
        <v>120</v>
      </c>
      <c r="F64" s="309">
        <f>IF('59'!$G$65=0,"",'59'!$G$65)</f>
        <v>95337.894047846901</v>
      </c>
      <c r="G64" s="309">
        <f>IF(OFERTA!$C64="","",IF(OFERTA!$F64="","",OFERTA!$F64*OFERTA!$E64))</f>
        <v>11440547.285741627</v>
      </c>
      <c r="H64" s="317">
        <f>+IF(OFERTA!$F64="","",OFERTA!$G64/OFERTA!$G$216)</f>
        <v>5.9498814260815973E-4</v>
      </c>
      <c r="I64" s="310">
        <v>4353755.886362236</v>
      </c>
      <c r="J64" s="310">
        <v>308346.13667588541</v>
      </c>
      <c r="K64" s="310"/>
      <c r="L64" s="310">
        <f t="shared" si="4"/>
        <v>0</v>
      </c>
      <c r="M64" s="311">
        <f>+'59'!$N$28+'59'!$N$47</f>
        <v>3987.2408293460935</v>
      </c>
      <c r="N64" s="311">
        <f>+'59'!$M$28+'59'!$M$47</f>
        <v>2131.5789473684213</v>
      </c>
      <c r="O64" s="311">
        <f>IF('59'!$G$39=0,0,'59'!$G$39)</f>
        <v>63075.000000000007</v>
      </c>
      <c r="P64" s="311">
        <f>IF('59'!$G$55=0,0,'59'!$G$55)</f>
        <v>10254.425263157897</v>
      </c>
      <c r="Q64" s="311">
        <f>+OFERTA!$M64+OFERTA!$N64+OFERTA!$O64+OFERTA!$P64</f>
        <v>79448.245039872418</v>
      </c>
      <c r="R64" s="309">
        <f>IF(OFERTA!$M64="","",OFERTA!$M64*OFERTA!$E64)</f>
        <v>478468.89952153125</v>
      </c>
      <c r="S64" s="309">
        <f>IF(OFERTA!$N64="","",OFERTA!$N64*OFERTA!$E64)</f>
        <v>255789.47368421056</v>
      </c>
      <c r="T64" s="309">
        <f>IF(OFERTA!$O64="","",OFERTA!$O64*OFERTA!$E64)</f>
        <v>7569000.0000000009</v>
      </c>
      <c r="U64" s="309">
        <f>IF(OFERTA!$P64="","",OFERTA!$P64*OFERTA!$E64)</f>
        <v>1230531.0315789476</v>
      </c>
      <c r="V64" s="309">
        <f>IF(OFERTA!$U64="","",OFERTA!$U64+OFERTA!$T64+OFERTA!$S64+OFERTA!$R64)</f>
        <v>9533789.4047846906</v>
      </c>
      <c r="W64" s="319">
        <f>IF(OFERTA!$R64="","",OFERTA!$R64/OFERTA!$R$216)</f>
        <v>2.3361620757330522E-4</v>
      </c>
      <c r="X64" s="319">
        <f>IF(OFERTA!$S64="","",OFERTA!$S64/OFERTA!$S$216)</f>
        <v>4.0379407980697295E-4</v>
      </c>
      <c r="Y64" s="319">
        <f>IF(OFERTA!$T64="","",OFERTA!$T64/OFERTA!$T$216)</f>
        <v>8.008308702198236E-4</v>
      </c>
      <c r="Z64" s="319">
        <f>IF(OFERTA!$U64="","",OFERTA!$U64/OFERTA!$U$216)</f>
        <v>3.180466284055252E-4</v>
      </c>
      <c r="AA64" s="140"/>
      <c r="AB64" s="309">
        <f>IF(AI64="","",AI64*OFERTA!$Q64)</f>
        <v>905709.9934545455</v>
      </c>
      <c r="AC64" s="309">
        <f>IF(AI64="","",OFERTA!$N64*AI64)</f>
        <v>24300</v>
      </c>
      <c r="AD64" s="309">
        <f>IF(AI64="","",OFERTA!$M64*AI64)</f>
        <v>45454.545454545463</v>
      </c>
      <c r="AE64" s="309">
        <f>IF(AI64="","",OFERTA!$P64*AI64)</f>
        <v>116900.448</v>
      </c>
      <c r="AF64" s="309">
        <f>IF(AI64="","",OFERTA!$O64*AI64)</f>
        <v>719055</v>
      </c>
      <c r="AG64" s="308">
        <f t="shared" si="6"/>
        <v>10.526315789473685</v>
      </c>
      <c r="AH64" s="312">
        <v>7.27</v>
      </c>
      <c r="AI64" s="308">
        <f>IF('59'!$G$20=0,"",'59'!$G$20)</f>
        <v>11.399999999999999</v>
      </c>
      <c r="AJ64" s="312">
        <f t="shared" si="7"/>
        <v>82.877999999999986</v>
      </c>
      <c r="AK64" s="312">
        <f t="shared" si="5"/>
        <v>4.8263712927435511E-2</v>
      </c>
      <c r="AL64" s="312">
        <f>IF(AJ64="","",OFERTA!$E64/AJ64)</f>
        <v>1.4479113878230654</v>
      </c>
      <c r="AR64" s="164"/>
    </row>
    <row r="65" spans="1:44" s="163" customFormat="1" ht="161.44999999999999" customHeight="1" x14ac:dyDescent="0.3">
      <c r="A65" s="145" t="s">
        <v>438</v>
      </c>
      <c r="B65" s="318">
        <v>60</v>
      </c>
      <c r="C65" s="307" t="s">
        <v>387</v>
      </c>
      <c r="D65" s="308" t="s">
        <v>389</v>
      </c>
      <c r="E65" s="308">
        <v>126</v>
      </c>
      <c r="F65" s="309">
        <f>IF('60'!$G$65=0,"",'60'!$G$65)</f>
        <v>1691458.5082597402</v>
      </c>
      <c r="G65" s="309">
        <f>IF(OFERTA!$C65="","",IF(OFERTA!$F65="","",OFERTA!$F65*OFERTA!$E65))</f>
        <v>213123772.04072726</v>
      </c>
      <c r="H65" s="317">
        <f>+IF(OFERTA!$F65="","",OFERTA!$G65/OFERTA!$G$216)</f>
        <v>1.108392055948196E-2</v>
      </c>
      <c r="I65" s="310">
        <v>66713.586093015008</v>
      </c>
      <c r="J65" s="310">
        <v>2020982.6950402772</v>
      </c>
      <c r="K65" s="310"/>
      <c r="L65" s="310">
        <f t="shared" si="4"/>
        <v>0</v>
      </c>
      <c r="M65" s="311">
        <f>+'60'!$N$28+'60'!$N$47</f>
        <v>56818.181818181816</v>
      </c>
      <c r="N65" s="311">
        <f>+'60'!$M$28+'60'!$M$47</f>
        <v>15428.571428571429</v>
      </c>
      <c r="O65" s="311">
        <f>IF('60'!$G$39=0,0,'60'!$G$39)</f>
        <v>1187025</v>
      </c>
      <c r="P65" s="311">
        <f>IF('60'!$G$55=0,0,'60'!$G$55)</f>
        <v>150277.00363636363</v>
      </c>
      <c r="Q65" s="311">
        <f>+OFERTA!$M65+OFERTA!$N65+OFERTA!$O65+OFERTA!$P65</f>
        <v>1409548.7568831169</v>
      </c>
      <c r="R65" s="309">
        <f>IF(OFERTA!$M65="","",OFERTA!$M65*OFERTA!$E65)</f>
        <v>7159090.9090909092</v>
      </c>
      <c r="S65" s="309">
        <f>IF(OFERTA!$N65="","",OFERTA!$N65*OFERTA!$E65)</f>
        <v>1944000</v>
      </c>
      <c r="T65" s="309">
        <f>IF(OFERTA!$O65="","",OFERTA!$O65*OFERTA!$E65)</f>
        <v>149565150</v>
      </c>
      <c r="U65" s="309">
        <f>IF(OFERTA!$P65="","",OFERTA!$P65*OFERTA!$E65)</f>
        <v>18934902.458181817</v>
      </c>
      <c r="V65" s="309">
        <f>IF(OFERTA!$U65="","",OFERTA!$U65+OFERTA!$T65+OFERTA!$S65+OFERTA!$R65)</f>
        <v>177603143.36727273</v>
      </c>
      <c r="W65" s="319">
        <f>IF(OFERTA!$R65="","",OFERTA!$R65/OFERTA!$R$216)</f>
        <v>3.4954825058155781E-3</v>
      </c>
      <c r="X65" s="319">
        <f>IF(OFERTA!$S65="","",OFERTA!$S65/OFERTA!$S$216)</f>
        <v>3.068835006532994E-3</v>
      </c>
      <c r="Y65" s="319">
        <f>IF(OFERTA!$T65="","",OFERTA!$T65/OFERTA!$T$216)</f>
        <v>1.5824598920472777E-2</v>
      </c>
      <c r="Z65" s="319">
        <f>IF(OFERTA!$U65="","",OFERTA!$U65/OFERTA!$U$216)</f>
        <v>4.8939699458736092E-3</v>
      </c>
      <c r="AA65" s="140"/>
      <c r="AB65" s="309">
        <f>IF(AI65="","",AI65*OFERTA!$Q65)</f>
        <v>1973368.2596363635</v>
      </c>
      <c r="AC65" s="309">
        <f>IF(AI65="","",OFERTA!$N65*AI65)</f>
        <v>21600</v>
      </c>
      <c r="AD65" s="309">
        <f>IF(AI65="","",OFERTA!$M65*AI65)</f>
        <v>79545.454545454544</v>
      </c>
      <c r="AE65" s="309">
        <f>IF(AI65="","",OFERTA!$P65*AI65)</f>
        <v>210387.80509090907</v>
      </c>
      <c r="AF65" s="309">
        <f>IF(AI65="","",OFERTA!$O65*AI65)</f>
        <v>1661835</v>
      </c>
      <c r="AG65" s="308">
        <f t="shared" si="6"/>
        <v>90</v>
      </c>
      <c r="AH65" s="312">
        <v>7.27</v>
      </c>
      <c r="AI65" s="308">
        <f>IF('60'!$G$20=0,"",'60'!$G$20)</f>
        <v>1.4</v>
      </c>
      <c r="AJ65" s="312">
        <f t="shared" si="7"/>
        <v>10.177999999999999</v>
      </c>
      <c r="AK65" s="312">
        <f t="shared" si="5"/>
        <v>0.41265474552957365</v>
      </c>
      <c r="AL65" s="312">
        <f>IF(AJ65="","",OFERTA!$E65/AJ65)</f>
        <v>12.379642365887209</v>
      </c>
      <c r="AR65" s="164"/>
    </row>
    <row r="66" spans="1:44" s="163" customFormat="1" ht="161.44999999999999" customHeight="1" x14ac:dyDescent="0.3">
      <c r="A66" s="145" t="s">
        <v>438</v>
      </c>
      <c r="B66" s="318">
        <v>61</v>
      </c>
      <c r="C66" s="307" t="s">
        <v>388</v>
      </c>
      <c r="D66" s="308" t="s">
        <v>373</v>
      </c>
      <c r="E66" s="308">
        <v>100</v>
      </c>
      <c r="F66" s="309">
        <f>IF('61'!$G$65=0,"",'61'!$G$65)</f>
        <v>1139328.4703292383</v>
      </c>
      <c r="G66" s="309">
        <f>IF(OFERTA!$C66="","",IF(OFERTA!$F66="","",OFERTA!$F66*OFERTA!$E66))</f>
        <v>113932847.03292383</v>
      </c>
      <c r="H66" s="317">
        <f>+IF(OFERTA!$F66="","",OFERTA!$G66/OFERTA!$G$216)</f>
        <v>5.9253015913551697E-3</v>
      </c>
      <c r="I66" s="310">
        <v>108270.50813085018</v>
      </c>
      <c r="J66" s="310">
        <v>1181757.4825809826</v>
      </c>
      <c r="K66" s="310"/>
      <c r="L66" s="310">
        <f t="shared" si="4"/>
        <v>0</v>
      </c>
      <c r="M66" s="311">
        <f>+'61'!$N$28+'61'!$N$47</f>
        <v>28409.090909090908</v>
      </c>
      <c r="N66" s="311">
        <f>+'61'!$M$28+'61'!$M$47</f>
        <v>11675.675675675675</v>
      </c>
      <c r="O66" s="311">
        <f>IF('61'!$G$39=0,0,'61'!$G$39)</f>
        <v>890000</v>
      </c>
      <c r="P66" s="311">
        <f>IF('61'!$G$55=0,0,'61'!$G$55)</f>
        <v>19355.625356265355</v>
      </c>
      <c r="Q66" s="311">
        <f>+OFERTA!$M66+OFERTA!$N66+OFERTA!$O66+OFERTA!$P66</f>
        <v>949440.39194103191</v>
      </c>
      <c r="R66" s="309">
        <f>IF(OFERTA!$M66="","",OFERTA!$M66*OFERTA!$E66)</f>
        <v>2840909.0909090908</v>
      </c>
      <c r="S66" s="309">
        <f>IF(OFERTA!$N66="","",OFERTA!$N66*OFERTA!$E66)</f>
        <v>1167567.5675675676</v>
      </c>
      <c r="T66" s="309">
        <f>IF(OFERTA!$O66="","",OFERTA!$O66*OFERTA!$E66)</f>
        <v>89000000</v>
      </c>
      <c r="U66" s="309">
        <f>IF(OFERTA!$P66="","",OFERTA!$P66*OFERTA!$E66)</f>
        <v>1935562.5356265355</v>
      </c>
      <c r="V66" s="309">
        <f>IF(OFERTA!$U66="","",OFERTA!$U66+OFERTA!$T66+OFERTA!$S66+OFERTA!$R66)</f>
        <v>94944039.194103196</v>
      </c>
      <c r="W66" s="319">
        <f>IF(OFERTA!$R66="","",OFERTA!$R66/OFERTA!$R$216)</f>
        <v>1.3870962324664992E-3</v>
      </c>
      <c r="X66" s="319">
        <f>IF(OFERTA!$S66="","",OFERTA!$S66/OFERTA!$S$216)</f>
        <v>1.8431441480678643E-3</v>
      </c>
      <c r="Y66" s="319">
        <f>IF(OFERTA!$T66="","",OFERTA!$T66/OFERTA!$T$216)</f>
        <v>9.4165606354292899E-3</v>
      </c>
      <c r="Z66" s="319">
        <f>IF(OFERTA!$U66="","",OFERTA!$U66/OFERTA!$U$216)</f>
        <v>5.0027112094374986E-4</v>
      </c>
      <c r="AA66" s="140"/>
      <c r="AB66" s="309">
        <f>IF(AI66="","",AI66*OFERTA!$Q66)</f>
        <v>3512929.4501818181</v>
      </c>
      <c r="AC66" s="309">
        <f>IF(AI66="","",OFERTA!$N66*AI66)</f>
        <v>43200</v>
      </c>
      <c r="AD66" s="309">
        <f>IF(AI66="","",OFERTA!$M66*AI66)</f>
        <v>105113.63636363637</v>
      </c>
      <c r="AE66" s="309">
        <f>IF(AI66="","",OFERTA!$P66*AI66)</f>
        <v>71615.813818181821</v>
      </c>
      <c r="AF66" s="309">
        <f>IF(AI66="","",OFERTA!$O66*AI66)</f>
        <v>3293000</v>
      </c>
      <c r="AG66" s="308">
        <f t="shared" si="6"/>
        <v>27.027027027027025</v>
      </c>
      <c r="AH66" s="312">
        <v>7.27</v>
      </c>
      <c r="AI66" s="308">
        <f>IF('61'!$G$20=0,"",'61'!$G$20)</f>
        <v>3.7</v>
      </c>
      <c r="AJ66" s="312">
        <f t="shared" si="7"/>
        <v>26.899000000000001</v>
      </c>
      <c r="AK66" s="312">
        <f t="shared" si="5"/>
        <v>0.12392034400287494</v>
      </c>
      <c r="AL66" s="312">
        <f>IF(AJ66="","",OFERTA!$E66/AJ66)</f>
        <v>3.7176103200862483</v>
      </c>
      <c r="AR66" s="164"/>
    </row>
    <row r="67" spans="1:44" s="163" customFormat="1" ht="161.44999999999999" customHeight="1" x14ac:dyDescent="0.3">
      <c r="A67" s="145" t="s">
        <v>438</v>
      </c>
      <c r="B67" s="318">
        <v>62</v>
      </c>
      <c r="C67" s="307" t="s">
        <v>570</v>
      </c>
      <c r="D67" s="308" t="s">
        <v>373</v>
      </c>
      <c r="E67" s="308">
        <v>51</v>
      </c>
      <c r="F67" s="309">
        <f>IF('62'!$G$65=0,"",'62'!$G$65)</f>
        <v>1882549.3541236361</v>
      </c>
      <c r="G67" s="309">
        <f>IF(OFERTA!$C67="","",IF(OFERTA!$F67="","",OFERTA!$F67*OFERTA!$E67))</f>
        <v>96010017.060305446</v>
      </c>
      <c r="H67" s="317">
        <f>+IF(OFERTA!$F67="","",OFERTA!$G67/OFERTA!$G$216)</f>
        <v>4.9931895997391337E-3</v>
      </c>
      <c r="I67" s="310">
        <v>160647.0024726431</v>
      </c>
      <c r="J67" s="310">
        <v>4229701.8575422363</v>
      </c>
      <c r="K67" s="310"/>
      <c r="L67" s="310">
        <f t="shared" si="4"/>
        <v>0</v>
      </c>
      <c r="M67" s="311">
        <f>+'62'!$N$28+'62'!$N$47</f>
        <v>0</v>
      </c>
      <c r="N67" s="311">
        <f>+'62'!$M$28+'62'!$M$47</f>
        <v>0</v>
      </c>
      <c r="O67" s="311">
        <f>IF('62'!$G$39=0,0,'62'!$G$39)</f>
        <v>0</v>
      </c>
      <c r="P67" s="311">
        <f>IF('62'!$G$55=0,0,'62'!$G$55)</f>
        <v>1568791.1284363635</v>
      </c>
      <c r="Q67" s="311">
        <f>+OFERTA!$M67+OFERTA!$N67+OFERTA!$O67+OFERTA!$P67</f>
        <v>1568791.1284363635</v>
      </c>
      <c r="R67" s="309">
        <f>IF(OFERTA!$M67="","",OFERTA!$M67*OFERTA!$E67)</f>
        <v>0</v>
      </c>
      <c r="S67" s="309">
        <f>IF(OFERTA!$N67="","",OFERTA!$N67*OFERTA!$E67)</f>
        <v>0</v>
      </c>
      <c r="T67" s="309">
        <f>IF(OFERTA!$O67="","",OFERTA!$O67*OFERTA!$E67)</f>
        <v>0</v>
      </c>
      <c r="U67" s="309">
        <f>IF(OFERTA!$P67="","",OFERTA!$P67*OFERTA!$E67)</f>
        <v>80008347.550254539</v>
      </c>
      <c r="V67" s="309">
        <f>IF(OFERTA!$U67="","",OFERTA!$U67+OFERTA!$T67+OFERTA!$S67+OFERTA!$R67)</f>
        <v>80008347.550254539</v>
      </c>
      <c r="W67" s="319">
        <f>IF(OFERTA!$R67="","",OFERTA!$R67/OFERTA!$R$216)</f>
        <v>0</v>
      </c>
      <c r="X67" s="319">
        <f>IF(OFERTA!$S67="","",OFERTA!$S67/OFERTA!$S$216)</f>
        <v>0</v>
      </c>
      <c r="Y67" s="319">
        <f>IF(OFERTA!$T67="","",OFERTA!$T67/OFERTA!$T$216)</f>
        <v>0</v>
      </c>
      <c r="Z67" s="319">
        <f>IF(OFERTA!$U67="","",OFERTA!$U67/OFERTA!$U$216)</f>
        <v>2.0679190146066093E-2</v>
      </c>
      <c r="AA67" s="140"/>
      <c r="AB67" s="309">
        <f>IF(AI67="","",AI67*OFERTA!$Q67)</f>
        <v>95657.995636363645</v>
      </c>
      <c r="AC67" s="309">
        <f>IF(AI67="","",OFERTA!$N67*AI67)</f>
        <v>0</v>
      </c>
      <c r="AD67" s="309">
        <f>IF(AI67="","",OFERTA!$M67*AI67)</f>
        <v>0</v>
      </c>
      <c r="AE67" s="309">
        <f>IF(AI67="","",OFERTA!$P67*AI67)</f>
        <v>95657.995636363645</v>
      </c>
      <c r="AF67" s="309">
        <f>IF(AI67="","",OFERTA!$O67*AI67)</f>
        <v>0</v>
      </c>
      <c r="AG67" s="308">
        <f t="shared" si="6"/>
        <v>836.4</v>
      </c>
      <c r="AH67" s="312">
        <v>7.27</v>
      </c>
      <c r="AI67" s="308">
        <f>IF('62'!$G$20=0,"",'62'!$G$20)</f>
        <v>6.0975609756097567E-2</v>
      </c>
      <c r="AJ67" s="312">
        <f t="shared" si="7"/>
        <v>0.44329268292682927</v>
      </c>
      <c r="AK67" s="312">
        <f t="shared" si="5"/>
        <v>3.8349381017881705</v>
      </c>
      <c r="AL67" s="312">
        <f>IF(AJ67="","",OFERTA!$E67/AJ67)</f>
        <v>115.04814305364512</v>
      </c>
      <c r="AR67" s="164"/>
    </row>
    <row r="68" spans="1:44" s="163" customFormat="1" ht="161.44999999999999" customHeight="1" x14ac:dyDescent="0.3">
      <c r="A68" s="145" t="s">
        <v>438</v>
      </c>
      <c r="B68" s="318">
        <v>63</v>
      </c>
      <c r="C68" s="339" t="s">
        <v>571</v>
      </c>
      <c r="D68" s="308" t="s">
        <v>373</v>
      </c>
      <c r="E68" s="308">
        <v>51</v>
      </c>
      <c r="F68" s="309">
        <f>IF('63'!$G$65=0,"",'63'!$G$65)</f>
        <v>1738992.744261818</v>
      </c>
      <c r="G68" s="309">
        <f>IF(OFERTA!$C68="","",IF(OFERTA!$F68="","",OFERTA!$F68*OFERTA!$E68))</f>
        <v>88688629.957352713</v>
      </c>
      <c r="H68" s="317">
        <f>+IF(OFERTA!$F68="","",OFERTA!$G68/OFERTA!$G$216)</f>
        <v>4.6124264767082755E-3</v>
      </c>
      <c r="I68" s="310">
        <v>200779.30426170031</v>
      </c>
      <c r="J68" s="310">
        <v>4353755.886362236</v>
      </c>
      <c r="K68" s="310"/>
      <c r="L68" s="310">
        <f t="shared" si="4"/>
        <v>0</v>
      </c>
      <c r="M68" s="311">
        <f>+'63'!$N$28+'63'!$N$47</f>
        <v>0</v>
      </c>
      <c r="N68" s="311">
        <f>+'63'!$M$28+'63'!$M$47</f>
        <v>0</v>
      </c>
      <c r="O68" s="311">
        <f>IF('63'!$G$39=0,0,'63'!$G$39)</f>
        <v>0</v>
      </c>
      <c r="P68" s="311">
        <f>IF('63'!$G$55=0,0,'63'!$G$55)</f>
        <v>1449160.6202181817</v>
      </c>
      <c r="Q68" s="311">
        <f>+OFERTA!$M68+OFERTA!$N68+OFERTA!$O68+OFERTA!$P68</f>
        <v>1449160.6202181817</v>
      </c>
      <c r="R68" s="309">
        <f>IF(OFERTA!$M68="","",OFERTA!$M68*OFERTA!$E68)</f>
        <v>0</v>
      </c>
      <c r="S68" s="309">
        <f>IF(OFERTA!$N68="","",OFERTA!$N68*OFERTA!$E68)</f>
        <v>0</v>
      </c>
      <c r="T68" s="309">
        <f>IF(OFERTA!$O68="","",OFERTA!$O68*OFERTA!$E68)</f>
        <v>0</v>
      </c>
      <c r="U68" s="309">
        <f>IF(OFERTA!$P68="","",OFERTA!$P68*OFERTA!$E68)</f>
        <v>73907191.631127268</v>
      </c>
      <c r="V68" s="309">
        <f>IF(OFERTA!$U68="","",OFERTA!$U68+OFERTA!$T68+OFERTA!$S68+OFERTA!$R68)</f>
        <v>73907191.631127268</v>
      </c>
      <c r="W68" s="319">
        <f>IF(OFERTA!$R68="","",OFERTA!$R68/OFERTA!$R$216)</f>
        <v>0</v>
      </c>
      <c r="X68" s="319">
        <f>IF(OFERTA!$S68="","",OFERTA!$S68/OFERTA!$S$216)</f>
        <v>0</v>
      </c>
      <c r="Y68" s="319">
        <f>IF(OFERTA!$T68="","",OFERTA!$T68/OFERTA!$T$216)</f>
        <v>0</v>
      </c>
      <c r="Z68" s="319">
        <f>IF(OFERTA!$U68="","",OFERTA!$U68/OFERTA!$U$216)</f>
        <v>1.9102267647033329E-2</v>
      </c>
      <c r="AA68" s="140"/>
      <c r="AB68" s="309">
        <f>IF(AI68="","",AI68*OFERTA!$Q68)</f>
        <v>89454.359272727277</v>
      </c>
      <c r="AC68" s="309">
        <f>IF(AI68="","",OFERTA!$N68*AI68)</f>
        <v>0</v>
      </c>
      <c r="AD68" s="309">
        <f>IF(AI68="","",OFERTA!$M68*AI68)</f>
        <v>0</v>
      </c>
      <c r="AE68" s="309">
        <f>IF(AI68="","",OFERTA!$P68*AI68)</f>
        <v>89454.359272727277</v>
      </c>
      <c r="AF68" s="309">
        <f>IF(AI68="","",OFERTA!$O68*AI68)</f>
        <v>0</v>
      </c>
      <c r="AG68" s="308">
        <f t="shared" si="6"/>
        <v>826.2</v>
      </c>
      <c r="AH68" s="312">
        <v>7.27</v>
      </c>
      <c r="AI68" s="308">
        <f>IF('63'!$G$20=0,"",'63'!$G$20)</f>
        <v>6.1728395061728399E-2</v>
      </c>
      <c r="AJ68" s="312">
        <f t="shared" si="7"/>
        <v>0.4487654320987654</v>
      </c>
      <c r="AK68" s="312">
        <f t="shared" si="5"/>
        <v>3.788170563961486</v>
      </c>
      <c r="AL68" s="312">
        <f>IF(AJ68="","",OFERTA!$E68/AJ68)</f>
        <v>113.64511691884458</v>
      </c>
      <c r="AR68" s="164"/>
    </row>
    <row r="69" spans="1:44" s="399" customFormat="1" ht="161.44999999999999" customHeight="1" x14ac:dyDescent="0.3">
      <c r="A69" s="388" t="s">
        <v>438</v>
      </c>
      <c r="B69" s="389">
        <v>64</v>
      </c>
      <c r="C69" s="390" t="s">
        <v>554</v>
      </c>
      <c r="D69" s="391" t="s">
        <v>373</v>
      </c>
      <c r="E69" s="391">
        <v>16</v>
      </c>
      <c r="F69" s="392">
        <f>IF('64'!$G$65=0,"",'64'!$G$65)</f>
        <v>278111.77284522005</v>
      </c>
      <c r="G69" s="392">
        <f>IF(OFERTA!$C69="","",IF(OFERTA!$F69="","",OFERTA!$F69*OFERTA!$E69))</f>
        <v>4449788.3655235209</v>
      </c>
      <c r="H69" s="393">
        <f>+IF(OFERTA!$F69="","",OFERTA!$G69/OFERTA!$G$216)</f>
        <v>2.3141998791455641E-4</v>
      </c>
      <c r="I69" s="394">
        <f>F69/4100</f>
        <v>67.832139718346355</v>
      </c>
      <c r="J69" s="394">
        <v>440762.27877049724</v>
      </c>
      <c r="K69" s="394"/>
      <c r="L69" s="394">
        <f t="shared" si="4"/>
        <v>0</v>
      </c>
      <c r="M69" s="395">
        <f>+'64'!$N$28+'64'!$N$47</f>
        <v>37878.78787878788</v>
      </c>
      <c r="N69" s="395">
        <f>+'64'!$M$28+'64'!$M$47</f>
        <v>22153.846153846156</v>
      </c>
      <c r="O69" s="395">
        <f>IF('64'!$G$39=0,0,'64'!$G$39)</f>
        <v>26087.833827893173</v>
      </c>
      <c r="P69" s="395">
        <f>IF('64'!$G$55=0,0,'64'!$G$55)</f>
        <v>145639.34284382284</v>
      </c>
      <c r="Q69" s="395">
        <f>+OFERTA!$M69+OFERTA!$N69+OFERTA!$O69+OFERTA!$P69</f>
        <v>231759.81070435006</v>
      </c>
      <c r="R69" s="392">
        <f>IF(OFERTA!$M69="","",OFERTA!$M69*OFERTA!$E69)</f>
        <v>606060.60606060608</v>
      </c>
      <c r="S69" s="392">
        <f>IF(OFERTA!$N69="","",OFERTA!$N69*OFERTA!$E69)</f>
        <v>354461.5384615385</v>
      </c>
      <c r="T69" s="392">
        <f>IF(OFERTA!$O69="","",OFERTA!$O69*OFERTA!$E69)</f>
        <v>417405.34124629077</v>
      </c>
      <c r="U69" s="392">
        <f>IF(OFERTA!$P69="","",OFERTA!$P69*OFERTA!$E69)</f>
        <v>2330229.4855011655</v>
      </c>
      <c r="V69" s="392">
        <f>IF(OFERTA!$U69="","",OFERTA!$U69+OFERTA!$T69+OFERTA!$S69+OFERTA!$R69)</f>
        <v>3708156.9712696006</v>
      </c>
      <c r="W69" s="396">
        <f>IF(OFERTA!$R69="","",OFERTA!$R69/OFERTA!$R$216)</f>
        <v>2.9591386292618653E-4</v>
      </c>
      <c r="X69" s="396">
        <f>IF(OFERTA!$S69="","",OFERTA!$S69/OFERTA!$S$216)</f>
        <v>5.5955965931085933E-4</v>
      </c>
      <c r="Y69" s="396">
        <f>IF(OFERTA!$T69="","",OFERTA!$T69/OFERTA!$T$216)</f>
        <v>4.4163176465143269E-5</v>
      </c>
      <c r="Z69" s="396">
        <f>IF(OFERTA!$U69="","",OFERTA!$U69/OFERTA!$U$216)</f>
        <v>6.0227788837134992E-4</v>
      </c>
      <c r="AA69" s="397"/>
      <c r="AB69" s="392">
        <f>IF(AI69="","",AI69*OFERTA!$Q69)</f>
        <v>225965.81543674131</v>
      </c>
      <c r="AC69" s="392">
        <f>IF(AI69="","",OFERTA!$N69*AI69)</f>
        <v>21600</v>
      </c>
      <c r="AD69" s="392">
        <f>IF(AI69="","",OFERTA!$M69*AI69)</f>
        <v>36931.818181818184</v>
      </c>
      <c r="AE69" s="392">
        <f>IF(AI69="","",OFERTA!$P69*AI69)</f>
        <v>141998.35927272728</v>
      </c>
      <c r="AF69" s="392">
        <f>IF(AI69="","",OFERTA!$O69*AI69)</f>
        <v>25435.637982195844</v>
      </c>
      <c r="AG69" s="391">
        <f t="shared" si="6"/>
        <v>16.410256410256409</v>
      </c>
      <c r="AH69" s="398">
        <v>7.27</v>
      </c>
      <c r="AI69" s="391">
        <f>IF('64'!$G$20=0,"",'64'!$G$20)</f>
        <v>0.97499999999999998</v>
      </c>
      <c r="AJ69" s="398">
        <f t="shared" si="7"/>
        <v>7.0882499999999995</v>
      </c>
      <c r="AK69" s="398">
        <f t="shared" si="5"/>
        <v>7.5241890922771254E-2</v>
      </c>
      <c r="AL69" s="398">
        <f>IF(AJ69="","",OFERTA!$E69/AJ69)</f>
        <v>2.2572567276831377</v>
      </c>
      <c r="AR69" s="400"/>
    </row>
    <row r="70" spans="1:44" s="163" customFormat="1" ht="161.44999999999999" customHeight="1" x14ac:dyDescent="0.3">
      <c r="A70" s="145" t="s">
        <v>438</v>
      </c>
      <c r="B70" s="318">
        <v>65</v>
      </c>
      <c r="C70" s="339" t="s">
        <v>447</v>
      </c>
      <c r="D70" s="308" t="s">
        <v>373</v>
      </c>
      <c r="E70" s="308">
        <v>1</v>
      </c>
      <c r="F70" s="309">
        <f>IF('65'!$G$65=0,"",'65'!$G$65)</f>
        <v>1760461.7904872724</v>
      </c>
      <c r="G70" s="309">
        <f>IF(OFERTA!$C70="","",IF(OFERTA!$F70="","",OFERTA!$F70*OFERTA!$E70))</f>
        <v>1760461.7904872724</v>
      </c>
      <c r="H70" s="317">
        <f>+IF(OFERTA!$F70="","",OFERTA!$G70/OFERTA!$G$216)</f>
        <v>9.155627477368158E-5</v>
      </c>
      <c r="I70" s="310">
        <f>F70/4100</f>
        <v>429.38092450909085</v>
      </c>
      <c r="J70" s="310">
        <v>4353755.886362236</v>
      </c>
      <c r="K70" s="310"/>
      <c r="L70" s="310">
        <f t="shared" si="4"/>
        <v>0</v>
      </c>
      <c r="M70" s="311">
        <f>+'65'!$N$28+'65'!$N$47</f>
        <v>0</v>
      </c>
      <c r="N70" s="311">
        <f>+'65'!$M$28+'65'!$M$47</f>
        <v>0</v>
      </c>
      <c r="O70" s="311">
        <f>IF('65'!$G$39=0,0,'65'!$G$39)</f>
        <v>0</v>
      </c>
      <c r="P70" s="311">
        <f>IF('65'!$G$55=0,0,'65'!$G$55)</f>
        <v>1467051.4920727271</v>
      </c>
      <c r="Q70" s="311">
        <f>+OFERTA!$M70+OFERTA!$N70+OFERTA!$O70+OFERTA!$P70</f>
        <v>1467051.4920727271</v>
      </c>
      <c r="R70" s="309">
        <f>IF(OFERTA!$M70="","",OFERTA!$M70*OFERTA!$E70)</f>
        <v>0</v>
      </c>
      <c r="S70" s="309">
        <f>IF(OFERTA!$N70="","",OFERTA!$N70*OFERTA!$E70)</f>
        <v>0</v>
      </c>
      <c r="T70" s="309">
        <f>IF(OFERTA!$O70="","",OFERTA!$O70*OFERTA!$E70)</f>
        <v>0</v>
      </c>
      <c r="U70" s="309">
        <f>IF(OFERTA!$P70="","",OFERTA!$P70*OFERTA!$E70)</f>
        <v>1467051.4920727271</v>
      </c>
      <c r="V70" s="309">
        <f>IF(OFERTA!$U70="","",OFERTA!$U70+OFERTA!$T70+OFERTA!$S70+OFERTA!$R70)</f>
        <v>1467051.4920727271</v>
      </c>
      <c r="W70" s="319">
        <f>IF(OFERTA!$R70="","",OFERTA!$R70/OFERTA!$R$216)</f>
        <v>0</v>
      </c>
      <c r="X70" s="319">
        <f>IF(OFERTA!$S70="","",OFERTA!$S70/OFERTA!$S$216)</f>
        <v>0</v>
      </c>
      <c r="Y70" s="319">
        <f>IF(OFERTA!$T70="","",OFERTA!$T70/OFERTA!$T$216)</f>
        <v>0</v>
      </c>
      <c r="Z70" s="319">
        <f>IF(OFERTA!$U70="","",OFERTA!$U70/OFERTA!$U$216)</f>
        <v>3.791783943492454E-4</v>
      </c>
      <c r="AA70" s="140"/>
      <c r="AB70" s="309">
        <f>IF(AI70="","",AI70*OFERTA!$Q70)</f>
        <v>89454.359272727263</v>
      </c>
      <c r="AC70" s="309">
        <f>IF(AI70="","",OFERTA!$N70*AI70)</f>
        <v>0</v>
      </c>
      <c r="AD70" s="309">
        <f>IF(AI70="","",OFERTA!$M70*AI70)</f>
        <v>0</v>
      </c>
      <c r="AE70" s="309">
        <f>IF(AI70="","",OFERTA!$P70*AI70)</f>
        <v>89454.359272727263</v>
      </c>
      <c r="AF70" s="309">
        <f>IF(AI70="","",OFERTA!$O70*AI70)</f>
        <v>0</v>
      </c>
      <c r="AG70" s="308">
        <f t="shared" ref="AG70:AG85" si="8">IF(AL70="","",AL70*AH70)</f>
        <v>16.399999999999999</v>
      </c>
      <c r="AH70" s="312">
        <v>7.27</v>
      </c>
      <c r="AI70" s="308">
        <f>IF('65'!$G$20=0,"",'65'!$G$20)</f>
        <v>6.0975609756097567E-2</v>
      </c>
      <c r="AJ70" s="312">
        <f t="shared" ref="AJ70:AJ85" si="9">IF(AI70="","",AI70*AH70)</f>
        <v>0.44329268292682927</v>
      </c>
      <c r="AK70" s="312">
        <f t="shared" si="5"/>
        <v>7.5194864740944528E-2</v>
      </c>
      <c r="AL70" s="312">
        <f>IF(AJ70="","",OFERTA!$E70/AJ70)</f>
        <v>2.2558459422283357</v>
      </c>
      <c r="AR70" s="164"/>
    </row>
    <row r="71" spans="1:44" s="163" customFormat="1" ht="161.44999999999999" customHeight="1" x14ac:dyDescent="0.3">
      <c r="A71" s="145" t="s">
        <v>438</v>
      </c>
      <c r="B71" s="318">
        <v>66</v>
      </c>
      <c r="C71" s="339" t="s">
        <v>553</v>
      </c>
      <c r="D71" s="308" t="s">
        <v>473</v>
      </c>
      <c r="E71" s="308">
        <v>2290</v>
      </c>
      <c r="F71" s="309">
        <f>IF('66'!$G$65=0,"",'66'!$G$65)</f>
        <v>72452.838489510483</v>
      </c>
      <c r="G71" s="309">
        <f>IF(OFERTA!$C71="","",IF(OFERTA!$F71="","",OFERTA!$F71*OFERTA!$E71))</f>
        <v>165917000.14097899</v>
      </c>
      <c r="H71" s="317">
        <f>+IF(OFERTA!$F71="","",OFERTA!$G71/OFERTA!$G$216)</f>
        <v>8.6288396241351213E-3</v>
      </c>
      <c r="I71" s="310"/>
      <c r="J71" s="310">
        <v>66713.586093015008</v>
      </c>
      <c r="K71" s="310"/>
      <c r="L71" s="310">
        <f t="shared" ref="L71:L85" si="10">IF(E71="","",K71*E71)</f>
        <v>0</v>
      </c>
      <c r="M71" s="311">
        <f>+'66'!$N$28+'66'!$N$47</f>
        <v>9469.69696969697</v>
      </c>
      <c r="N71" s="311">
        <f>+'66'!$M$28+'66'!$M$47</f>
        <v>5538.461538461539</v>
      </c>
      <c r="O71" s="311">
        <f>IF('66'!$G$39=0,0,'66'!$G$39)</f>
        <v>3400</v>
      </c>
      <c r="P71" s="311">
        <f>IF('66'!$G$55=0,0,'66'!$G$55)</f>
        <v>41969.206899766898</v>
      </c>
      <c r="Q71" s="311">
        <f>+OFERTA!$M71+OFERTA!$N71+OFERTA!$O71+OFERTA!$P71</f>
        <v>60377.365407925405</v>
      </c>
      <c r="R71" s="309">
        <f>IF(OFERTA!$M71="","",OFERTA!$M71*OFERTA!$E71)</f>
        <v>21685606.060606062</v>
      </c>
      <c r="S71" s="309">
        <f>IF(OFERTA!$N71="","",OFERTA!$N71*OFERTA!$E71)</f>
        <v>12683076.923076924</v>
      </c>
      <c r="T71" s="309">
        <f>IF(OFERTA!$O71="","",OFERTA!$O71*OFERTA!$E71)</f>
        <v>7786000</v>
      </c>
      <c r="U71" s="309">
        <f>IF(OFERTA!$P71="","",OFERTA!$P71*OFERTA!$E71)</f>
        <v>96109483.800466195</v>
      </c>
      <c r="V71" s="309">
        <f>IF(OFERTA!$U71="","",OFERTA!$U71+OFERTA!$T71+OFERTA!$S71+OFERTA!$R71)</f>
        <v>138264166.78414917</v>
      </c>
      <c r="W71" s="319">
        <f>IF(OFERTA!$R71="","",OFERTA!$R71/OFERTA!$R$216)</f>
        <v>1.0588167907827612E-2</v>
      </c>
      <c r="X71" s="319">
        <f>IF(OFERTA!$S71="","",OFERTA!$S71/OFERTA!$S$216)</f>
        <v>2.0021744059716687E-2</v>
      </c>
      <c r="Y71" s="319">
        <f>IF(OFERTA!$T71="","",OFERTA!$T71/OFERTA!$T$216)</f>
        <v>8.2379034952193757E-4</v>
      </c>
      <c r="Z71" s="319">
        <f>IF(OFERTA!$U71="","",OFERTA!$U71/OFERTA!$U$216)</f>
        <v>2.484073663815816E-2</v>
      </c>
      <c r="AA71" s="140"/>
      <c r="AB71" s="309">
        <f>IF(AI71="","",AI71*OFERTA!$Q71)</f>
        <v>235471.72509090908</v>
      </c>
      <c r="AC71" s="309">
        <f>IF(AI71="","",OFERTA!$N71*AI71)</f>
        <v>21600</v>
      </c>
      <c r="AD71" s="309">
        <f>IF(AI71="","",OFERTA!$M71*AI71)</f>
        <v>36931.818181818184</v>
      </c>
      <c r="AE71" s="309">
        <f>IF(AI71="","",OFERTA!$P71*AI71)</f>
        <v>163679.9069090909</v>
      </c>
      <c r="AF71" s="309">
        <f>IF(AI71="","",OFERTA!$O71*AI71)</f>
        <v>13260</v>
      </c>
      <c r="AG71" s="308">
        <f t="shared" si="8"/>
        <v>587.17948717948718</v>
      </c>
      <c r="AH71" s="312">
        <v>7.27</v>
      </c>
      <c r="AI71" s="308">
        <f>IF('66'!$G$20=0,"",'66'!$G$20)</f>
        <v>3.9</v>
      </c>
      <c r="AJ71" s="312">
        <f t="shared" si="9"/>
        <v>28.352999999999998</v>
      </c>
      <c r="AK71" s="312">
        <f t="shared" ref="AK71:AK85" si="11">IF(AL71="","",AL71/30)</f>
        <v>2.692248909580409</v>
      </c>
      <c r="AL71" s="312">
        <f>IF(AJ71="","",OFERTA!$E71/AJ71)</f>
        <v>80.767467287412273</v>
      </c>
      <c r="AR71" s="164"/>
    </row>
    <row r="72" spans="1:44" s="163" customFormat="1" ht="161.44999999999999" customHeight="1" x14ac:dyDescent="0.3">
      <c r="A72" s="145" t="s">
        <v>438</v>
      </c>
      <c r="B72" s="318">
        <v>67</v>
      </c>
      <c r="C72" s="339" t="s">
        <v>522</v>
      </c>
      <c r="D72" s="308" t="s">
        <v>374</v>
      </c>
      <c r="E72" s="308">
        <v>3820</v>
      </c>
      <c r="F72" s="309">
        <f>IF('67'!$G$65=0,"",'67'!$G$65)</f>
        <v>83426.761702046657</v>
      </c>
      <c r="G72" s="309">
        <f>IF(OFERTA!$C72="","",IF(OFERTA!$F72="","",OFERTA!$F72*OFERTA!$E72))</f>
        <v>318690229.70181823</v>
      </c>
      <c r="H72" s="317">
        <f>+IF(OFERTA!$F72="","",OFERTA!$G72/OFERTA!$G$216)</f>
        <v>1.6574111631352851E-2</v>
      </c>
      <c r="I72" s="310"/>
      <c r="J72" s="310">
        <v>108270.50813085018</v>
      </c>
      <c r="K72" s="310"/>
      <c r="L72" s="310">
        <f t="shared" si="10"/>
        <v>0</v>
      </c>
      <c r="M72" s="311">
        <f>+'67'!$N$28+'67'!$N$47</f>
        <v>18889.814374107569</v>
      </c>
      <c r="N72" s="311">
        <f>+'67'!$M$28+'67'!$M$47</f>
        <v>6219.8952879581147</v>
      </c>
      <c r="O72" s="311">
        <f>IF('67'!$G$39=0,0,'67'!$G$39)</f>
        <v>30926.000000000004</v>
      </c>
      <c r="P72" s="311">
        <f>IF('67'!$G$55=0,0,'67'!$G$55)</f>
        <v>13486.591756306521</v>
      </c>
      <c r="Q72" s="311">
        <f>+OFERTA!$M72+OFERTA!$N72+OFERTA!$O72+OFERTA!$P72</f>
        <v>69522.301418372212</v>
      </c>
      <c r="R72" s="309">
        <f>IF(OFERTA!$M72="","",OFERTA!$M72*OFERTA!$E72)</f>
        <v>72159090.909090921</v>
      </c>
      <c r="S72" s="309">
        <f>IF(OFERTA!$N72="","",OFERTA!$N72*OFERTA!$E72)</f>
        <v>23760000</v>
      </c>
      <c r="T72" s="309">
        <f>IF(OFERTA!$O72="","",OFERTA!$O72*OFERTA!$E72)</f>
        <v>118137320.00000001</v>
      </c>
      <c r="U72" s="309">
        <f>IF(OFERTA!$P72="","",OFERTA!$P72*OFERTA!$E72)</f>
        <v>51518780.509090908</v>
      </c>
      <c r="V72" s="309">
        <f>IF(OFERTA!$U72="","",OFERTA!$U72+OFERTA!$T72+OFERTA!$S72+OFERTA!$R72)</f>
        <v>265575191.41818184</v>
      </c>
      <c r="W72" s="319">
        <f>IF(OFERTA!$R72="","",OFERTA!$R72/OFERTA!$R$216)</f>
        <v>3.5232244304649087E-2</v>
      </c>
      <c r="X72" s="319">
        <f>IF(OFERTA!$S72="","",OFERTA!$S72/OFERTA!$S$216)</f>
        <v>3.750798341318104E-2</v>
      </c>
      <c r="Y72" s="319">
        <f>IF(OFERTA!$T72="","",OFERTA!$T72/OFERTA!$T$216)</f>
        <v>1.2499407158282173E-2</v>
      </c>
      <c r="Z72" s="319">
        <f>IF(OFERTA!$U72="","",OFERTA!$U72/OFERTA!$U$216)</f>
        <v>1.3315693810220998E-2</v>
      </c>
      <c r="AA72" s="140"/>
      <c r="AB72" s="309">
        <f>IF(AI72="","",AI72*OFERTA!$Q72)</f>
        <v>2655751.9141818187</v>
      </c>
      <c r="AC72" s="309">
        <f>IF(AI72="","",OFERTA!$N72*AI72)</f>
        <v>237600</v>
      </c>
      <c r="AD72" s="309">
        <f>IF(AI72="","",OFERTA!$M72*AI72)</f>
        <v>721590.90909090918</v>
      </c>
      <c r="AE72" s="309">
        <f>IF(AI72="","",OFERTA!$P72*AI72)</f>
        <v>515187.80509090913</v>
      </c>
      <c r="AF72" s="309">
        <f>IF(AI72="","",OFERTA!$O72*AI72)</f>
        <v>1181373.2000000002</v>
      </c>
      <c r="AG72" s="308">
        <f t="shared" si="8"/>
        <v>100</v>
      </c>
      <c r="AH72" s="312">
        <v>7.27</v>
      </c>
      <c r="AI72" s="308">
        <f>IF('67'!$G$20=0,"",'67'!$G$20)</f>
        <v>38.200000000000003</v>
      </c>
      <c r="AJ72" s="312">
        <f t="shared" si="9"/>
        <v>277.714</v>
      </c>
      <c r="AK72" s="312">
        <f t="shared" si="11"/>
        <v>0.4585052728106373</v>
      </c>
      <c r="AL72" s="312">
        <f>IF(AJ72="","",OFERTA!$E72/AJ72)</f>
        <v>13.75515818431912</v>
      </c>
      <c r="AR72" s="164"/>
    </row>
    <row r="73" spans="1:44" s="163" customFormat="1" ht="161.44999999999999" customHeight="1" x14ac:dyDescent="0.3">
      <c r="A73" s="145" t="s">
        <v>438</v>
      </c>
      <c r="B73" s="318">
        <v>68</v>
      </c>
      <c r="C73" s="339" t="s">
        <v>523</v>
      </c>
      <c r="D73" s="308" t="s">
        <v>374</v>
      </c>
      <c r="E73" s="308">
        <v>1200</v>
      </c>
      <c r="F73" s="309">
        <f>IF('68'!$G$65=0,"",'68'!$G$65)</f>
        <v>124373.06285252524</v>
      </c>
      <c r="G73" s="309">
        <f>IF(OFERTA!$C73="","",IF(OFERTA!$F73="","",OFERTA!$F73*OFERTA!$E73))</f>
        <v>149247675.42303029</v>
      </c>
      <c r="H73" s="317">
        <f>+IF(OFERTA!$F73="","",OFERTA!$G73/OFERTA!$G$216)</f>
        <v>7.761918636463013E-3</v>
      </c>
      <c r="I73" s="310"/>
      <c r="J73" s="310">
        <v>160647.0024726431</v>
      </c>
      <c r="K73" s="310"/>
      <c r="L73" s="310">
        <f t="shared" si="10"/>
        <v>0</v>
      </c>
      <c r="M73" s="311">
        <f>+'68'!$N$28+'68'!$N$47</f>
        <v>26725.589225589229</v>
      </c>
      <c r="N73" s="311">
        <f>+'68'!$M$28+'68'!$M$47</f>
        <v>8800</v>
      </c>
      <c r="O73" s="311">
        <f>IF('68'!$G$39=0,0,'68'!$G$39)</f>
        <v>49037.599999999999</v>
      </c>
      <c r="P73" s="311">
        <f>IF('68'!$G$55=0,0,'68'!$G$55)</f>
        <v>19081.029818181822</v>
      </c>
      <c r="Q73" s="311">
        <f>+OFERTA!$M73+OFERTA!$N73+OFERTA!$O73+OFERTA!$P73</f>
        <v>103644.21904377104</v>
      </c>
      <c r="R73" s="309">
        <f>IF(OFERTA!$M73="","",OFERTA!$M73*OFERTA!$E73)</f>
        <v>32070707.070707075</v>
      </c>
      <c r="S73" s="309">
        <f>IF(OFERTA!$N73="","",OFERTA!$N73*OFERTA!$E73)</f>
        <v>10560000</v>
      </c>
      <c r="T73" s="309">
        <f>IF(OFERTA!$O73="","",OFERTA!$O73*OFERTA!$E73)</f>
        <v>58845120</v>
      </c>
      <c r="U73" s="309">
        <f>IF(OFERTA!$P73="","",OFERTA!$P73*OFERTA!$E73)</f>
        <v>22897235.781818185</v>
      </c>
      <c r="V73" s="309">
        <f>IF(OFERTA!$U73="","",OFERTA!$U73+OFERTA!$T73+OFERTA!$S73+OFERTA!$R73)</f>
        <v>124373062.85252526</v>
      </c>
      <c r="W73" s="319">
        <f>IF(OFERTA!$R73="","",OFERTA!$R73/OFERTA!$R$216)</f>
        <v>1.5658775246510704E-2</v>
      </c>
      <c r="X73" s="319">
        <f>IF(OFERTA!$S73="","",OFERTA!$S73/OFERTA!$S$216)</f>
        <v>1.6670214850302685E-2</v>
      </c>
      <c r="Y73" s="319">
        <f>IF(OFERTA!$T73="","",OFERTA!$T73/OFERTA!$T$216)</f>
        <v>6.2260521413383457E-3</v>
      </c>
      <c r="Z73" s="319">
        <f>IF(OFERTA!$U73="","",OFERTA!$U73/OFERTA!$U$216)</f>
        <v>5.918086137876E-3</v>
      </c>
      <c r="AA73" s="140"/>
      <c r="AB73" s="309">
        <f>IF(AI73="","",AI73*OFERTA!$Q73)</f>
        <v>2798393.9141818183</v>
      </c>
      <c r="AC73" s="309">
        <f>IF(AI73="","",OFERTA!$N73*AI73)</f>
        <v>237600</v>
      </c>
      <c r="AD73" s="309">
        <f>IF(AI73="","",OFERTA!$M73*AI73)</f>
        <v>721590.90909090918</v>
      </c>
      <c r="AE73" s="309">
        <f>IF(AI73="","",OFERTA!$P73*AI73)</f>
        <v>515187.80509090918</v>
      </c>
      <c r="AF73" s="309">
        <f>IF(AI73="","",OFERTA!$O73*AI73)</f>
        <v>1324015.2</v>
      </c>
      <c r="AG73" s="308">
        <f t="shared" si="8"/>
        <v>44.444444444444443</v>
      </c>
      <c r="AH73" s="312">
        <v>7.27</v>
      </c>
      <c r="AI73" s="308">
        <f>IF('68'!$G$20=0,"",'68'!$G$20)</f>
        <v>27</v>
      </c>
      <c r="AJ73" s="312">
        <f t="shared" si="9"/>
        <v>196.29</v>
      </c>
      <c r="AK73" s="312">
        <f t="shared" si="11"/>
        <v>0.20378012124917214</v>
      </c>
      <c r="AL73" s="312">
        <f>IF(AJ73="","",OFERTA!$E73/AJ73)</f>
        <v>6.1134036374751641</v>
      </c>
      <c r="AR73" s="164"/>
    </row>
    <row r="74" spans="1:44" s="163" customFormat="1" ht="161.44999999999999" customHeight="1" thickBot="1" x14ac:dyDescent="0.35">
      <c r="A74" s="145" t="s">
        <v>438</v>
      </c>
      <c r="B74" s="318">
        <v>69</v>
      </c>
      <c r="C74" s="339" t="s">
        <v>524</v>
      </c>
      <c r="D74" s="308" t="s">
        <v>374</v>
      </c>
      <c r="E74" s="308">
        <v>915</v>
      </c>
      <c r="F74" s="309">
        <f>IF('69'!$G$65=0,"",'69'!$G$65)</f>
        <v>150043.80335145269</v>
      </c>
      <c r="G74" s="309">
        <f>IF(OFERTA!$C74="","",IF(OFERTA!$F74="","",OFERTA!$F74*OFERTA!$E74))</f>
        <v>137290080.06657922</v>
      </c>
      <c r="H74" s="317">
        <f>+IF(OFERTA!$F74="","",OFERTA!$G74/OFERTA!$G$216)</f>
        <v>7.1400403929228863E-3</v>
      </c>
      <c r="I74" s="310"/>
      <c r="J74" s="310">
        <v>200779.30426170031</v>
      </c>
      <c r="K74" s="310"/>
      <c r="L74" s="310">
        <f t="shared" si="10"/>
        <v>0</v>
      </c>
      <c r="M74" s="311">
        <f>+'69'!$N$28+'69'!$N$47</f>
        <v>37195.407685098413</v>
      </c>
      <c r="N74" s="311">
        <f>+'69'!$M$28+'69'!$M$47</f>
        <v>12247.42268041237</v>
      </c>
      <c r="O74" s="311">
        <f>IF('69'!$G$39=0,0,'69'!$G$39)</f>
        <v>49037.599999999999</v>
      </c>
      <c r="P74" s="311">
        <f>IF('69'!$G$55=0,0,'69'!$G$55)</f>
        <v>26556.072427366449</v>
      </c>
      <c r="Q74" s="311">
        <f>+OFERTA!$M74+OFERTA!$N74+OFERTA!$O74+OFERTA!$P74</f>
        <v>125036.50279287723</v>
      </c>
      <c r="R74" s="309">
        <f>IF(OFERTA!$M74="","",OFERTA!$M74*OFERTA!$E74)</f>
        <v>34033798.031865045</v>
      </c>
      <c r="S74" s="309">
        <f>IF(OFERTA!$N74="","",OFERTA!$N74*OFERTA!$E74)</f>
        <v>11206391.752577318</v>
      </c>
      <c r="T74" s="309">
        <f>IF(OFERTA!$O74="","",OFERTA!$O74*OFERTA!$E74)</f>
        <v>44869404</v>
      </c>
      <c r="U74" s="309">
        <f>IF(OFERTA!$P74="","",OFERTA!$P74*OFERTA!$E74)</f>
        <v>24298806.271040302</v>
      </c>
      <c r="V74" s="309">
        <f>IF(OFERTA!$U74="","",OFERTA!$U74+OFERTA!$T74+OFERTA!$S74+OFERTA!$R74)</f>
        <v>114408400.05548267</v>
      </c>
      <c r="W74" s="319">
        <f>IF(OFERTA!$R74="","",OFERTA!$R74/OFERTA!$R$216)</f>
        <v>1.661726986533707E-2</v>
      </c>
      <c r="X74" s="319">
        <f>IF(OFERTA!$S74="","",OFERTA!$S74/OFERTA!$S$216)</f>
        <v>1.7690621042814766E-2</v>
      </c>
      <c r="Y74" s="319">
        <f>IF(OFERTA!$T74="","",OFERTA!$T74/OFERTA!$T$216)</f>
        <v>4.7473647577704892E-3</v>
      </c>
      <c r="Z74" s="319">
        <f>IF(OFERTA!$U74="","",OFERTA!$U74/OFERTA!$U$216)</f>
        <v>6.280340121831038E-3</v>
      </c>
      <c r="AA74" s="140"/>
      <c r="AB74" s="309">
        <f>IF(AI74="","",AI74*OFERTA!$Q74)</f>
        <v>2425708.154181818</v>
      </c>
      <c r="AC74" s="309">
        <f>IF(AI74="","",OFERTA!$N74*AI74)</f>
        <v>237599.99999999997</v>
      </c>
      <c r="AD74" s="309">
        <f>IF(AI74="","",OFERTA!$M74*AI74)</f>
        <v>721590.90909090918</v>
      </c>
      <c r="AE74" s="309">
        <f>IF(AI74="","",OFERTA!$P74*AI74)</f>
        <v>515187.80509090907</v>
      </c>
      <c r="AF74" s="309">
        <f>IF(AI74="","",OFERTA!$O74*AI74)</f>
        <v>951329.44</v>
      </c>
      <c r="AG74" s="308">
        <f t="shared" si="8"/>
        <v>47.164948453608254</v>
      </c>
      <c r="AH74" s="312">
        <v>7.27</v>
      </c>
      <c r="AI74" s="308">
        <f>IF('69'!$G$20=0,"",'69'!$G$20)</f>
        <v>19.399999999999999</v>
      </c>
      <c r="AJ74" s="312">
        <f t="shared" si="9"/>
        <v>141.03799999999998</v>
      </c>
      <c r="AK74" s="312">
        <f t="shared" si="11"/>
        <v>0.21625377557821299</v>
      </c>
      <c r="AL74" s="312">
        <f>IF(AJ74="","",OFERTA!$E74/AJ74)</f>
        <v>6.48761326734639</v>
      </c>
      <c r="AR74" s="164"/>
    </row>
    <row r="75" spans="1:44" ht="17.25" hidden="1" thickBot="1" x14ac:dyDescent="0.35">
      <c r="A75" s="220"/>
      <c r="B75" s="227">
        <v>70</v>
      </c>
      <c r="C75" s="232"/>
      <c r="D75" s="21"/>
      <c r="E75" s="21"/>
      <c r="F75" s="23" t="str">
        <f>IF('70'!$G$65=0,"",'70'!$G$65)</f>
        <v/>
      </c>
      <c r="G75" s="23" t="str">
        <f>IF(OFERTA!$C75="","",IF(OFERTA!$F75="","",OFERTA!$F75*OFERTA!$E75))</f>
        <v/>
      </c>
      <c r="H75" s="229" t="str">
        <f>+IF(OFERTA!$F75="","",OFERTA!$G75/OFERTA!$G$216)</f>
        <v/>
      </c>
      <c r="I75" s="230"/>
      <c r="J75" s="230" t="s">
        <v>585</v>
      </c>
      <c r="K75" s="230"/>
      <c r="L75" s="230" t="str">
        <f t="shared" si="10"/>
        <v/>
      </c>
      <c r="M75" s="231">
        <f>+'70'!$N$28+'70'!$N$47</f>
        <v>0</v>
      </c>
      <c r="N75" s="231">
        <f>+'70'!$M$28+'70'!$M$47</f>
        <v>0</v>
      </c>
      <c r="O75" s="231">
        <f>IF('70'!$G$39=0,0,'70'!$G$39)</f>
        <v>0</v>
      </c>
      <c r="P75" s="231">
        <f>IF('70'!$G$55=0,0,'70'!$G$55)</f>
        <v>0</v>
      </c>
      <c r="Q75" s="231">
        <f>+OFERTA!$M75+OFERTA!$N75+OFERTA!$O75+OFERTA!$P75</f>
        <v>0</v>
      </c>
      <c r="R75" s="23">
        <f>IF(OFERTA!$M75="","",OFERTA!$M75*OFERTA!$E75)</f>
        <v>0</v>
      </c>
      <c r="S75" s="23">
        <f>IF(OFERTA!$N75="","",OFERTA!$N75*OFERTA!$E75)</f>
        <v>0</v>
      </c>
      <c r="T75" s="23">
        <f>IF(OFERTA!$O75="","",OFERTA!$O75*OFERTA!$E75)</f>
        <v>0</v>
      </c>
      <c r="U75" s="23">
        <f>IF(OFERTA!$P75="","",OFERTA!$P75*OFERTA!$E75)</f>
        <v>0</v>
      </c>
      <c r="V75" s="23">
        <f>IF(OFERTA!$U75="","",OFERTA!$U75+OFERTA!$T75+OFERTA!$S75+OFERTA!$R75)</f>
        <v>0</v>
      </c>
      <c r="W75" s="22">
        <f>IF(OFERTA!$R75="","",OFERTA!$R75/OFERTA!$R$216)</f>
        <v>0</v>
      </c>
      <c r="X75" s="22">
        <f>IF(OFERTA!$S75="","",OFERTA!$S75/OFERTA!$S$216)</f>
        <v>0</v>
      </c>
      <c r="Y75" s="22">
        <f>IF(OFERTA!$T75="","",OFERTA!$T75/OFERTA!$T$216)</f>
        <v>0</v>
      </c>
      <c r="Z75" s="22">
        <f>IF(OFERTA!$U75="","",OFERTA!$U75/OFERTA!$U$216)</f>
        <v>0</v>
      </c>
      <c r="AA75" s="3"/>
      <c r="AB75" s="23" t="str">
        <f>IF(AI75="","",AI75*OFERTA!$Q75)</f>
        <v/>
      </c>
      <c r="AC75" s="23" t="str">
        <f>IF(AI75="","",OFERTA!$N75*AI75)</f>
        <v/>
      </c>
      <c r="AD75" s="23" t="str">
        <f>IF(AI75="","",OFERTA!$M75*AI75)</f>
        <v/>
      </c>
      <c r="AE75" s="23" t="str">
        <f>IF(AI75="","",OFERTA!$P75*AI75)</f>
        <v/>
      </c>
      <c r="AF75" s="23" t="str">
        <f>IF(AI75="","",OFERTA!$O75*AI75)</f>
        <v/>
      </c>
      <c r="AG75" s="21" t="str">
        <f t="shared" si="8"/>
        <v/>
      </c>
      <c r="AH75" s="216">
        <v>7.27</v>
      </c>
      <c r="AI75" s="21" t="str">
        <f>IF('70'!$G$20=0,"",'70'!$G$20)</f>
        <v/>
      </c>
      <c r="AJ75" s="216" t="str">
        <f t="shared" si="9"/>
        <v/>
      </c>
      <c r="AK75" s="216" t="str">
        <f t="shared" si="11"/>
        <v/>
      </c>
      <c r="AL75" s="216" t="str">
        <f>IF(AJ75="","",OFERTA!$E75/AJ75)</f>
        <v/>
      </c>
      <c r="AR75" s="1"/>
    </row>
    <row r="76" spans="1:44" ht="17.25" hidden="1" thickBot="1" x14ac:dyDescent="0.35">
      <c r="A76" s="220"/>
      <c r="B76" s="227">
        <v>71</v>
      </c>
      <c r="C76" s="232"/>
      <c r="D76" s="21"/>
      <c r="E76" s="21"/>
      <c r="F76" s="23" t="str">
        <f>IF('71'!$G$65=0,"",'71'!$G$65)</f>
        <v/>
      </c>
      <c r="G76" s="23" t="str">
        <f>IF(OFERTA!$C76="","",IF(OFERTA!$F76="","",OFERTA!$F76*OFERTA!$E76))</f>
        <v/>
      </c>
      <c r="H76" s="229" t="str">
        <f>+IF(OFERTA!$F76="","",OFERTA!$G76/OFERTA!$G$216)</f>
        <v/>
      </c>
      <c r="I76" s="230"/>
      <c r="J76" s="230" t="s">
        <v>585</v>
      </c>
      <c r="K76" s="230"/>
      <c r="L76" s="230" t="str">
        <f t="shared" si="10"/>
        <v/>
      </c>
      <c r="M76" s="231">
        <f>+'71'!$N$28+'71'!$N$47</f>
        <v>0</v>
      </c>
      <c r="N76" s="231">
        <f>+'71'!$M$28+'71'!$M$47</f>
        <v>0</v>
      </c>
      <c r="O76" s="231">
        <f>IF('71'!$G$39=0,0,'71'!$G$39)</f>
        <v>0</v>
      </c>
      <c r="P76" s="231">
        <f>IF('71'!$G$55=0,0,'71'!$G$55)</f>
        <v>0</v>
      </c>
      <c r="Q76" s="231">
        <f>+OFERTA!$M76+OFERTA!$N76+OFERTA!$O76+OFERTA!$P76</f>
        <v>0</v>
      </c>
      <c r="R76" s="23">
        <f>IF(OFERTA!$M76="","",OFERTA!$M76*OFERTA!$E76)</f>
        <v>0</v>
      </c>
      <c r="S76" s="23">
        <f>IF(OFERTA!$N76="","",OFERTA!$N76*OFERTA!$E76)</f>
        <v>0</v>
      </c>
      <c r="T76" s="23">
        <f>IF(OFERTA!$O76="","",OFERTA!$O76*OFERTA!$E76)</f>
        <v>0</v>
      </c>
      <c r="U76" s="23">
        <f>IF(OFERTA!$P76="","",OFERTA!$P76*OFERTA!$E76)</f>
        <v>0</v>
      </c>
      <c r="V76" s="23">
        <f>IF(OFERTA!$U76="","",OFERTA!$U76+OFERTA!$T76+OFERTA!$S76+OFERTA!$R76)</f>
        <v>0</v>
      </c>
      <c r="W76" s="22">
        <f>IF(OFERTA!$R76="","",OFERTA!$R76/OFERTA!$R$216)</f>
        <v>0</v>
      </c>
      <c r="X76" s="22">
        <f>IF(OFERTA!$S76="","",OFERTA!$S76/OFERTA!$S$216)</f>
        <v>0</v>
      </c>
      <c r="Y76" s="22">
        <f>IF(OFERTA!$T76="","",OFERTA!$T76/OFERTA!$T$216)</f>
        <v>0</v>
      </c>
      <c r="Z76" s="22">
        <f>IF(OFERTA!$U76="","",OFERTA!$U76/OFERTA!$U$216)</f>
        <v>0</v>
      </c>
      <c r="AA76" s="3"/>
      <c r="AB76" s="23" t="str">
        <f>IF(AI76="","",AI76*OFERTA!$Q76)</f>
        <v/>
      </c>
      <c r="AC76" s="23" t="str">
        <f>IF(AI76="","",OFERTA!$N76*AI76)</f>
        <v/>
      </c>
      <c r="AD76" s="23" t="str">
        <f>IF(AI76="","",OFERTA!$M76*AI76)</f>
        <v/>
      </c>
      <c r="AE76" s="23" t="str">
        <f>IF(AI76="","",OFERTA!$P76*AI76)</f>
        <v/>
      </c>
      <c r="AF76" s="23" t="str">
        <f>IF(AI76="","",OFERTA!$O76*AI76)</f>
        <v/>
      </c>
      <c r="AG76" s="21" t="str">
        <f t="shared" si="8"/>
        <v/>
      </c>
      <c r="AH76" s="216">
        <v>7.27</v>
      </c>
      <c r="AI76" s="21" t="str">
        <f>IF('71'!$G$20=0,"",'71'!$G$20)</f>
        <v/>
      </c>
      <c r="AJ76" s="216" t="str">
        <f t="shared" si="9"/>
        <v/>
      </c>
      <c r="AK76" s="216" t="str">
        <f t="shared" si="11"/>
        <v/>
      </c>
      <c r="AL76" s="216" t="str">
        <f>IF(AJ76="","",OFERTA!$E76/AJ76)</f>
        <v/>
      </c>
      <c r="AR76" s="1"/>
    </row>
    <row r="77" spans="1:44" ht="17.25" hidden="1" thickBot="1" x14ac:dyDescent="0.35">
      <c r="A77" s="220"/>
      <c r="B77" s="227">
        <v>72</v>
      </c>
      <c r="C77" s="232"/>
      <c r="D77" s="21"/>
      <c r="E77" s="21"/>
      <c r="F77" s="23" t="str">
        <f>IF('72'!$G$65=0,"",'72'!$G$65)</f>
        <v/>
      </c>
      <c r="G77" s="23" t="str">
        <f>IF(OFERTA!$C77="","",IF(OFERTA!$F77="","",OFERTA!$F77*OFERTA!$E77))</f>
        <v/>
      </c>
      <c r="H77" s="229" t="str">
        <f>+IF(OFERTA!$F77="","",OFERTA!$G77/OFERTA!$G$216)</f>
        <v/>
      </c>
      <c r="I77" s="230"/>
      <c r="J77" s="230" t="s">
        <v>585</v>
      </c>
      <c r="K77" s="230"/>
      <c r="L77" s="230" t="str">
        <f t="shared" si="10"/>
        <v/>
      </c>
      <c r="M77" s="231">
        <f>+'72'!$N$28+'72'!$N$47</f>
        <v>0</v>
      </c>
      <c r="N77" s="231">
        <f>+'72'!$M$28+'72'!$M$47</f>
        <v>0</v>
      </c>
      <c r="O77" s="231">
        <f>IF('72'!$G$39=0,0,'72'!$G$39)</f>
        <v>0</v>
      </c>
      <c r="P77" s="231">
        <f>IF('72'!$G$55=0,0,'72'!$G$55)</f>
        <v>0</v>
      </c>
      <c r="Q77" s="231">
        <f>+OFERTA!$M77+OFERTA!$N77+OFERTA!$O77+OFERTA!$P77</f>
        <v>0</v>
      </c>
      <c r="R77" s="23">
        <f>IF(OFERTA!$M77="","",OFERTA!$M77*OFERTA!$E77)</f>
        <v>0</v>
      </c>
      <c r="S77" s="23">
        <f>IF(OFERTA!$N77="","",OFERTA!$N77*OFERTA!$E77)</f>
        <v>0</v>
      </c>
      <c r="T77" s="23">
        <f>IF(OFERTA!$O77="","",OFERTA!$O77*OFERTA!$E77)</f>
        <v>0</v>
      </c>
      <c r="U77" s="23">
        <f>IF(OFERTA!$P77="","",OFERTA!$P77*OFERTA!$E77)</f>
        <v>0</v>
      </c>
      <c r="V77" s="23">
        <f>IF(OFERTA!$U77="","",OFERTA!$U77+OFERTA!$T77+OFERTA!$S77+OFERTA!$R77)</f>
        <v>0</v>
      </c>
      <c r="W77" s="22">
        <f>IF(OFERTA!$R77="","",OFERTA!$R77/OFERTA!$R$216)</f>
        <v>0</v>
      </c>
      <c r="X77" s="22">
        <f>IF(OFERTA!$S77="","",OFERTA!$S77/OFERTA!$S$216)</f>
        <v>0</v>
      </c>
      <c r="Y77" s="22">
        <f>IF(OFERTA!$T77="","",OFERTA!$T77/OFERTA!$T$216)</f>
        <v>0</v>
      </c>
      <c r="Z77" s="22">
        <f>IF(OFERTA!$U77="","",OFERTA!$U77/OFERTA!$U$216)</f>
        <v>0</v>
      </c>
      <c r="AA77" s="3"/>
      <c r="AB77" s="23" t="str">
        <f>IF(AI77="","",AI77*OFERTA!$Q77)</f>
        <v/>
      </c>
      <c r="AC77" s="23" t="str">
        <f>IF(AI77="","",OFERTA!$N77*AI77)</f>
        <v/>
      </c>
      <c r="AD77" s="23" t="str">
        <f>IF(AI77="","",OFERTA!$M77*AI77)</f>
        <v/>
      </c>
      <c r="AE77" s="23" t="str">
        <f>IF(AI77="","",OFERTA!$P77*AI77)</f>
        <v/>
      </c>
      <c r="AF77" s="23" t="str">
        <f>IF(AI77="","",OFERTA!$O77*AI77)</f>
        <v/>
      </c>
      <c r="AG77" s="21" t="str">
        <f t="shared" si="8"/>
        <v/>
      </c>
      <c r="AH77" s="216">
        <v>7.27</v>
      </c>
      <c r="AI77" s="21" t="str">
        <f>IF('72'!$G$20=0,"",'72'!$G$20)</f>
        <v/>
      </c>
      <c r="AJ77" s="216" t="str">
        <f t="shared" si="9"/>
        <v/>
      </c>
      <c r="AK77" s="216" t="str">
        <f t="shared" si="11"/>
        <v/>
      </c>
      <c r="AL77" s="216" t="str">
        <f>IF(AJ77="","",OFERTA!$E77/AJ77)</f>
        <v/>
      </c>
      <c r="AR77" s="1"/>
    </row>
    <row r="78" spans="1:44" ht="17.25" hidden="1" thickBot="1" x14ac:dyDescent="0.35">
      <c r="A78" s="220"/>
      <c r="B78" s="227">
        <v>73</v>
      </c>
      <c r="C78" s="232"/>
      <c r="D78" s="21"/>
      <c r="E78" s="21"/>
      <c r="F78" s="23" t="str">
        <f>IF('73'!$G$65=0,"",'73'!$G$65)</f>
        <v/>
      </c>
      <c r="G78" s="23" t="str">
        <f>IF(OFERTA!$C78="","",IF(OFERTA!$F78="","",OFERTA!$F78*OFERTA!$E78))</f>
        <v/>
      </c>
      <c r="H78" s="229" t="str">
        <f>+IF(OFERTA!$F78="","",OFERTA!$G78/OFERTA!$G$216)</f>
        <v/>
      </c>
      <c r="I78" s="230"/>
      <c r="J78" s="230" t="s">
        <v>585</v>
      </c>
      <c r="K78" s="230"/>
      <c r="L78" s="230" t="str">
        <f t="shared" si="10"/>
        <v/>
      </c>
      <c r="M78" s="231">
        <f>+'73'!$N$28+'73'!$N$47</f>
        <v>0</v>
      </c>
      <c r="N78" s="231">
        <f>+'73'!$M$28+'73'!$M$47</f>
        <v>0</v>
      </c>
      <c r="O78" s="231">
        <f>IF('73'!$G$39=0,0,'73'!$G$39)</f>
        <v>0</v>
      </c>
      <c r="P78" s="231">
        <f>IF('73'!$G$55=0,0,'73'!$G$55)</f>
        <v>0</v>
      </c>
      <c r="Q78" s="231">
        <f>+OFERTA!$M78+OFERTA!$N78+OFERTA!$O78+OFERTA!$P78</f>
        <v>0</v>
      </c>
      <c r="R78" s="23">
        <f>IF(OFERTA!$M78="","",OFERTA!$M78*OFERTA!$E78)</f>
        <v>0</v>
      </c>
      <c r="S78" s="23">
        <f>IF(OFERTA!$N78="","",OFERTA!$N78*OFERTA!$E78)</f>
        <v>0</v>
      </c>
      <c r="T78" s="23">
        <f>IF(OFERTA!$O78="","",OFERTA!$O78*OFERTA!$E78)</f>
        <v>0</v>
      </c>
      <c r="U78" s="23">
        <f>IF(OFERTA!$P78="","",OFERTA!$P78*OFERTA!$E78)</f>
        <v>0</v>
      </c>
      <c r="V78" s="23">
        <f>IF(OFERTA!$U78="","",OFERTA!$U78+OFERTA!$T78+OFERTA!$S78+OFERTA!$R78)</f>
        <v>0</v>
      </c>
      <c r="W78" s="22">
        <f>IF(OFERTA!$R78="","",OFERTA!$R78/OFERTA!$R$216)</f>
        <v>0</v>
      </c>
      <c r="X78" s="22">
        <f>IF(OFERTA!$S78="","",OFERTA!$S78/OFERTA!$S$216)</f>
        <v>0</v>
      </c>
      <c r="Y78" s="22">
        <f>IF(OFERTA!$T78="","",OFERTA!$T78/OFERTA!$T$216)</f>
        <v>0</v>
      </c>
      <c r="Z78" s="22">
        <f>IF(OFERTA!$U78="","",OFERTA!$U78/OFERTA!$U$216)</f>
        <v>0</v>
      </c>
      <c r="AA78" s="3"/>
      <c r="AB78" s="23" t="str">
        <f>IF(AI78="","",AI78*OFERTA!$Q78)</f>
        <v/>
      </c>
      <c r="AC78" s="23" t="str">
        <f>IF(AI78="","",OFERTA!$N78*AI78)</f>
        <v/>
      </c>
      <c r="AD78" s="23" t="str">
        <f>IF(AI78="","",OFERTA!$M78*AI78)</f>
        <v/>
      </c>
      <c r="AE78" s="23" t="str">
        <f>IF(AI78="","",OFERTA!$P78*AI78)</f>
        <v/>
      </c>
      <c r="AF78" s="23" t="str">
        <f>IF(AI78="","",OFERTA!$O78*AI78)</f>
        <v/>
      </c>
      <c r="AG78" s="21" t="str">
        <f t="shared" si="8"/>
        <v/>
      </c>
      <c r="AH78" s="216">
        <v>7.27</v>
      </c>
      <c r="AI78" s="21" t="str">
        <f>IF('73'!$G$20=0,"",'73'!$G$20)</f>
        <v/>
      </c>
      <c r="AJ78" s="216" t="str">
        <f t="shared" si="9"/>
        <v/>
      </c>
      <c r="AK78" s="216" t="str">
        <f t="shared" si="11"/>
        <v/>
      </c>
      <c r="AL78" s="216" t="str">
        <f>IF(AJ78="","",OFERTA!$E78/AJ78)</f>
        <v/>
      </c>
      <c r="AR78" s="1"/>
    </row>
    <row r="79" spans="1:44" ht="17.25" hidden="1" thickBot="1" x14ac:dyDescent="0.35">
      <c r="A79" s="220"/>
      <c r="B79" s="227">
        <v>74</v>
      </c>
      <c r="C79" s="232"/>
      <c r="D79" s="21"/>
      <c r="E79" s="21"/>
      <c r="F79" s="23" t="str">
        <f>IF('74'!$G$65=0,"",'74'!$G$65)</f>
        <v/>
      </c>
      <c r="G79" s="23" t="str">
        <f>IF(OFERTA!$C79="","",IF(OFERTA!$F79="","",OFERTA!$F79*OFERTA!$E79))</f>
        <v/>
      </c>
      <c r="H79" s="229" t="str">
        <f>+IF(OFERTA!$F79="","",OFERTA!$G79/OFERTA!$G$216)</f>
        <v/>
      </c>
      <c r="I79" s="230"/>
      <c r="J79" s="230" t="s">
        <v>585</v>
      </c>
      <c r="K79" s="230"/>
      <c r="L79" s="230" t="str">
        <f t="shared" si="10"/>
        <v/>
      </c>
      <c r="M79" s="231">
        <f>+'74'!$N$28+'74'!$N$47</f>
        <v>0</v>
      </c>
      <c r="N79" s="231">
        <f>+'74'!$M$28+'74'!$M$47</f>
        <v>0</v>
      </c>
      <c r="O79" s="231">
        <f>IF('74'!$G$39=0,0,'74'!$G$39)</f>
        <v>0</v>
      </c>
      <c r="P79" s="231">
        <f>IF('74'!$G$55=0,0,'74'!$G$55)</f>
        <v>0</v>
      </c>
      <c r="Q79" s="231">
        <f>+OFERTA!$M79+OFERTA!$N79+OFERTA!$O79+OFERTA!$P79</f>
        <v>0</v>
      </c>
      <c r="R79" s="23">
        <f>IF(OFERTA!$M79="","",OFERTA!$M79*OFERTA!$E79)</f>
        <v>0</v>
      </c>
      <c r="S79" s="23">
        <f>IF(OFERTA!$N79="","",OFERTA!$N79*OFERTA!$E79)</f>
        <v>0</v>
      </c>
      <c r="T79" s="23">
        <f>IF(OFERTA!$O79="","",OFERTA!$O79*OFERTA!$E79)</f>
        <v>0</v>
      </c>
      <c r="U79" s="23">
        <f>IF(OFERTA!$P79="","",OFERTA!$P79*OFERTA!$E79)</f>
        <v>0</v>
      </c>
      <c r="V79" s="23">
        <f>IF(OFERTA!$U79="","",OFERTA!$U79+OFERTA!$T79+OFERTA!$S79+OFERTA!$R79)</f>
        <v>0</v>
      </c>
      <c r="W79" s="22">
        <f>IF(OFERTA!$R79="","",OFERTA!$R79/OFERTA!$R$216)</f>
        <v>0</v>
      </c>
      <c r="X79" s="22">
        <f>IF(OFERTA!$S79="","",OFERTA!$S79/OFERTA!$S$216)</f>
        <v>0</v>
      </c>
      <c r="Y79" s="22">
        <f>IF(OFERTA!$T79="","",OFERTA!$T79/OFERTA!$T$216)</f>
        <v>0</v>
      </c>
      <c r="Z79" s="22">
        <f>IF(OFERTA!$U79="","",OFERTA!$U79/OFERTA!$U$216)</f>
        <v>0</v>
      </c>
      <c r="AA79" s="3"/>
      <c r="AB79" s="23" t="str">
        <f>IF(AI79="","",AI79*OFERTA!$Q79)</f>
        <v/>
      </c>
      <c r="AC79" s="23" t="str">
        <f>IF(AI79="","",OFERTA!$N79*AI79)</f>
        <v/>
      </c>
      <c r="AD79" s="23" t="str">
        <f>IF(AI79="","",OFERTA!$M79*AI79)</f>
        <v/>
      </c>
      <c r="AE79" s="23" t="str">
        <f>IF(AI79="","",OFERTA!$P79*AI79)</f>
        <v/>
      </c>
      <c r="AF79" s="23" t="str">
        <f>IF(AI79="","",OFERTA!$O79*AI79)</f>
        <v/>
      </c>
      <c r="AG79" s="21" t="str">
        <f t="shared" si="8"/>
        <v/>
      </c>
      <c r="AH79" s="216">
        <v>7.27</v>
      </c>
      <c r="AI79" s="21" t="str">
        <f>IF('74'!$G$20=0,"",'74'!$G$20)</f>
        <v/>
      </c>
      <c r="AJ79" s="216" t="str">
        <f t="shared" si="9"/>
        <v/>
      </c>
      <c r="AK79" s="216" t="str">
        <f t="shared" si="11"/>
        <v/>
      </c>
      <c r="AL79" s="216" t="str">
        <f>IF(AJ79="","",OFERTA!$E79/AJ79)</f>
        <v/>
      </c>
      <c r="AR79" s="1"/>
    </row>
    <row r="80" spans="1:44" ht="17.25" hidden="1" thickBot="1" x14ac:dyDescent="0.35">
      <c r="A80" s="220"/>
      <c r="B80" s="227">
        <v>75</v>
      </c>
      <c r="C80" s="232"/>
      <c r="D80" s="21"/>
      <c r="E80" s="21"/>
      <c r="F80" s="23" t="str">
        <f>IF('75'!$G$65=0,"",'75'!$G$65)</f>
        <v/>
      </c>
      <c r="G80" s="23" t="str">
        <f>IF(OFERTA!$C80="","",IF(OFERTA!$F80="","",OFERTA!$F80*OFERTA!$E80))</f>
        <v/>
      </c>
      <c r="H80" s="229" t="str">
        <f>+IF(OFERTA!$F80="","",OFERTA!$G80/OFERTA!$G$216)</f>
        <v/>
      </c>
      <c r="I80" s="230"/>
      <c r="J80" s="230" t="s">
        <v>585</v>
      </c>
      <c r="K80" s="230"/>
      <c r="L80" s="230" t="str">
        <f t="shared" si="10"/>
        <v/>
      </c>
      <c r="M80" s="231">
        <f>+'75'!$N$28+'75'!$N$47</f>
        <v>0</v>
      </c>
      <c r="N80" s="231">
        <f>+'75'!$M$28+'75'!$M$47</f>
        <v>0</v>
      </c>
      <c r="O80" s="231">
        <f>IF('75'!$G$39=0,0,'75'!$G$39)</f>
        <v>0</v>
      </c>
      <c r="P80" s="231">
        <f>IF('75'!$G$55=0,0,'75'!$G$55)</f>
        <v>0</v>
      </c>
      <c r="Q80" s="231">
        <f>+OFERTA!$M80+OFERTA!$N80+OFERTA!$O80+OFERTA!$P80</f>
        <v>0</v>
      </c>
      <c r="R80" s="23">
        <f>IF(OFERTA!$M80="","",OFERTA!$M80*OFERTA!$E80)</f>
        <v>0</v>
      </c>
      <c r="S80" s="23">
        <f>IF(OFERTA!$N80="","",OFERTA!$N80*OFERTA!$E80)</f>
        <v>0</v>
      </c>
      <c r="T80" s="23">
        <f>IF(OFERTA!$O80="","",OFERTA!$O80*OFERTA!$E80)</f>
        <v>0</v>
      </c>
      <c r="U80" s="23">
        <f>IF(OFERTA!$P80="","",OFERTA!$P80*OFERTA!$E80)</f>
        <v>0</v>
      </c>
      <c r="V80" s="23">
        <f>IF(OFERTA!$U80="","",OFERTA!$U80+OFERTA!$T80+OFERTA!$S80+OFERTA!$R80)</f>
        <v>0</v>
      </c>
      <c r="W80" s="22">
        <f>IF(OFERTA!$R80="","",OFERTA!$R80/OFERTA!$R$216)</f>
        <v>0</v>
      </c>
      <c r="X80" s="22">
        <f>IF(OFERTA!$S80="","",OFERTA!$S80/OFERTA!$S$216)</f>
        <v>0</v>
      </c>
      <c r="Y80" s="22">
        <f>IF(OFERTA!$T80="","",OFERTA!$T80/OFERTA!$T$216)</f>
        <v>0</v>
      </c>
      <c r="Z80" s="22">
        <f>IF(OFERTA!$U80="","",OFERTA!$U80/OFERTA!$U$216)</f>
        <v>0</v>
      </c>
      <c r="AA80" s="3"/>
      <c r="AB80" s="23" t="str">
        <f>IF(AI80="","",AI80*OFERTA!$Q80)</f>
        <v/>
      </c>
      <c r="AC80" s="23" t="str">
        <f>IF(AI80="","",OFERTA!$N80*AI80)</f>
        <v/>
      </c>
      <c r="AD80" s="23" t="str">
        <f>IF(AI80="","",OFERTA!$M80*AI80)</f>
        <v/>
      </c>
      <c r="AE80" s="23" t="str">
        <f>IF(AI80="","",OFERTA!$P80*AI80)</f>
        <v/>
      </c>
      <c r="AF80" s="23" t="str">
        <f>IF(AI80="","",OFERTA!$O80*AI80)</f>
        <v/>
      </c>
      <c r="AG80" s="21" t="str">
        <f t="shared" si="8"/>
        <v/>
      </c>
      <c r="AH80" s="216">
        <v>7.27</v>
      </c>
      <c r="AI80" s="21" t="str">
        <f>IF('75'!$G$20=0,"",'75'!$G$20)</f>
        <v/>
      </c>
      <c r="AJ80" s="216" t="str">
        <f t="shared" si="9"/>
        <v/>
      </c>
      <c r="AK80" s="216" t="str">
        <f t="shared" si="11"/>
        <v/>
      </c>
      <c r="AL80" s="216" t="str">
        <f>IF(AJ80="","",OFERTA!$E80/AJ80)</f>
        <v/>
      </c>
      <c r="AR80" s="1"/>
    </row>
    <row r="81" spans="1:44" ht="17.25" hidden="1" thickBot="1" x14ac:dyDescent="0.35">
      <c r="A81" s="220"/>
      <c r="B81" s="227">
        <v>76</v>
      </c>
      <c r="C81" s="232"/>
      <c r="D81" s="21"/>
      <c r="E81" s="21"/>
      <c r="F81" s="23" t="str">
        <f>IF('76'!$G$65=0,"",'76'!$G$65)</f>
        <v/>
      </c>
      <c r="G81" s="23" t="str">
        <f>IF(OFERTA!$C81="","",IF(OFERTA!$F81="","",OFERTA!$F81*OFERTA!$E81))</f>
        <v/>
      </c>
      <c r="H81" s="229" t="str">
        <f>+IF(OFERTA!$F81="","",OFERTA!$G81/OFERTA!$G$216)</f>
        <v/>
      </c>
      <c r="I81" s="230"/>
      <c r="J81" s="230" t="s">
        <v>585</v>
      </c>
      <c r="K81" s="230"/>
      <c r="L81" s="230" t="str">
        <f t="shared" si="10"/>
        <v/>
      </c>
      <c r="M81" s="231">
        <f>+'76'!$N$28+'76'!$N$47</f>
        <v>0</v>
      </c>
      <c r="N81" s="231">
        <f>+'76'!$M$28+'76'!$M$47</f>
        <v>0</v>
      </c>
      <c r="O81" s="231">
        <f>IF('76'!$G$39=0,0,'76'!$G$39)</f>
        <v>0</v>
      </c>
      <c r="P81" s="231">
        <f>IF('76'!$G$55=0,0,'76'!$G$55)</f>
        <v>0</v>
      </c>
      <c r="Q81" s="231">
        <f>+OFERTA!$M81+OFERTA!$N81+OFERTA!$O81+OFERTA!$P81</f>
        <v>0</v>
      </c>
      <c r="R81" s="23">
        <f>IF(OFERTA!$M81="","",OFERTA!$M81*OFERTA!$E81)</f>
        <v>0</v>
      </c>
      <c r="S81" s="23">
        <f>IF(OFERTA!$N81="","",OFERTA!$N81*OFERTA!$E81)</f>
        <v>0</v>
      </c>
      <c r="T81" s="23">
        <f>IF(OFERTA!$O81="","",OFERTA!$O81*OFERTA!$E81)</f>
        <v>0</v>
      </c>
      <c r="U81" s="23">
        <f>IF(OFERTA!$P81="","",OFERTA!$P81*OFERTA!$E81)</f>
        <v>0</v>
      </c>
      <c r="V81" s="23">
        <f>IF(OFERTA!$U81="","",OFERTA!$U81+OFERTA!$T81+OFERTA!$S81+OFERTA!$R81)</f>
        <v>0</v>
      </c>
      <c r="W81" s="22">
        <f>IF(OFERTA!$R81="","",OFERTA!$R81/OFERTA!$R$216)</f>
        <v>0</v>
      </c>
      <c r="X81" s="22">
        <f>IF(OFERTA!$S81="","",OFERTA!$S81/OFERTA!$S$216)</f>
        <v>0</v>
      </c>
      <c r="Y81" s="22">
        <f>IF(OFERTA!$T81="","",OFERTA!$T81/OFERTA!$T$216)</f>
        <v>0</v>
      </c>
      <c r="Z81" s="22">
        <f>IF(OFERTA!$U81="","",OFERTA!$U81/OFERTA!$U$216)</f>
        <v>0</v>
      </c>
      <c r="AA81" s="3"/>
      <c r="AB81" s="23" t="str">
        <f>IF(AI81="","",AI81*OFERTA!$Q81)</f>
        <v/>
      </c>
      <c r="AC81" s="23" t="str">
        <f>IF(AI81="","",OFERTA!$N81*AI81)</f>
        <v/>
      </c>
      <c r="AD81" s="23" t="str">
        <f>IF(AI81="","",OFERTA!$M81*AI81)</f>
        <v/>
      </c>
      <c r="AE81" s="23" t="str">
        <f>IF(AI81="","",OFERTA!$P81*AI81)</f>
        <v/>
      </c>
      <c r="AF81" s="23" t="str">
        <f>IF(AI81="","",OFERTA!$O81*AI81)</f>
        <v/>
      </c>
      <c r="AG81" s="21" t="str">
        <f t="shared" si="8"/>
        <v/>
      </c>
      <c r="AH81" s="216">
        <v>7.27</v>
      </c>
      <c r="AI81" s="21" t="str">
        <f>IF('76'!$G$20=0,"",'76'!$G$20)</f>
        <v/>
      </c>
      <c r="AJ81" s="216" t="str">
        <f t="shared" si="9"/>
        <v/>
      </c>
      <c r="AK81" s="216" t="str">
        <f t="shared" si="11"/>
        <v/>
      </c>
      <c r="AL81" s="216" t="str">
        <f>IF(AJ81="","",OFERTA!$E81/AJ81)</f>
        <v/>
      </c>
      <c r="AR81" s="1"/>
    </row>
    <row r="82" spans="1:44" ht="17.25" hidden="1" thickBot="1" x14ac:dyDescent="0.35">
      <c r="A82" s="220"/>
      <c r="B82" s="227">
        <v>77</v>
      </c>
      <c r="C82" s="232"/>
      <c r="D82" s="21"/>
      <c r="E82" s="21"/>
      <c r="F82" s="23" t="str">
        <f>IF('77'!$G$65=0,"",'78'!$G$65)</f>
        <v/>
      </c>
      <c r="G82" s="23" t="str">
        <f>IF(OFERTA!$C82="","",IF(OFERTA!$F82="","",OFERTA!$F82*OFERTA!$E82))</f>
        <v/>
      </c>
      <c r="H82" s="229" t="str">
        <f>+IF(OFERTA!$F82="","",OFERTA!$G82/OFERTA!$G$216)</f>
        <v/>
      </c>
      <c r="I82" s="230"/>
      <c r="J82" s="230" t="s">
        <v>585</v>
      </c>
      <c r="K82" s="230"/>
      <c r="L82" s="230" t="str">
        <f t="shared" si="10"/>
        <v/>
      </c>
      <c r="M82" s="231">
        <f>+'77'!$N$28+'77'!$N$47</f>
        <v>0</v>
      </c>
      <c r="N82" s="231">
        <f>+'77'!$M$28+'77'!$M$47</f>
        <v>0</v>
      </c>
      <c r="O82" s="231">
        <f>IF('77'!$G$39=0,0,'78'!$G$39)</f>
        <v>0</v>
      </c>
      <c r="P82" s="231">
        <f>IF('77'!$G$55=0,0,'78'!$G$55)</f>
        <v>0</v>
      </c>
      <c r="Q82" s="231">
        <f>+OFERTA!$M82+OFERTA!$N82+OFERTA!$O82+OFERTA!$P82</f>
        <v>0</v>
      </c>
      <c r="R82" s="23">
        <f>IF(OFERTA!$M82="","",OFERTA!$M82*OFERTA!$E82)</f>
        <v>0</v>
      </c>
      <c r="S82" s="23">
        <f>IF(OFERTA!$N82="","",OFERTA!$N82*OFERTA!$E82)</f>
        <v>0</v>
      </c>
      <c r="T82" s="23">
        <f>IF(OFERTA!$O82="","",OFERTA!$O82*OFERTA!$E82)</f>
        <v>0</v>
      </c>
      <c r="U82" s="23">
        <f>IF(OFERTA!$P82="","",OFERTA!$P82*OFERTA!$E82)</f>
        <v>0</v>
      </c>
      <c r="V82" s="23">
        <f>IF(OFERTA!$U82="","",OFERTA!$U82+OFERTA!$T82+OFERTA!$S82+OFERTA!$R82)</f>
        <v>0</v>
      </c>
      <c r="W82" s="22">
        <f>IF(OFERTA!$R82="","",OFERTA!$R82/OFERTA!$R$216)</f>
        <v>0</v>
      </c>
      <c r="X82" s="22">
        <f>IF(OFERTA!$S82="","",OFERTA!$S82/OFERTA!$S$216)</f>
        <v>0</v>
      </c>
      <c r="Y82" s="22">
        <f>IF(OFERTA!$T82="","",OFERTA!$T82/OFERTA!$T$216)</f>
        <v>0</v>
      </c>
      <c r="Z82" s="22">
        <f>IF(OFERTA!$U82="","",OFERTA!$U82/OFERTA!$U$216)</f>
        <v>0</v>
      </c>
      <c r="AA82" s="3"/>
      <c r="AB82" s="23" t="str">
        <f>IF(AI82="","",AI82*OFERTA!$Q82)</f>
        <v/>
      </c>
      <c r="AC82" s="23" t="str">
        <f>IF(AI82="","",OFERTA!$N82*AI82)</f>
        <v/>
      </c>
      <c r="AD82" s="23" t="str">
        <f>IF(AI82="","",OFERTA!$M82*AI82)</f>
        <v/>
      </c>
      <c r="AE82" s="23" t="str">
        <f>IF(AI82="","",OFERTA!$P82*AI82)</f>
        <v/>
      </c>
      <c r="AF82" s="23" t="str">
        <f>IF(AI82="","",OFERTA!$O82*AI82)</f>
        <v/>
      </c>
      <c r="AG82" s="21" t="str">
        <f t="shared" si="8"/>
        <v/>
      </c>
      <c r="AH82" s="216">
        <v>7.27</v>
      </c>
      <c r="AI82" s="21" t="str">
        <f>IF('77'!$G$20=0,"",'78'!$G$20)</f>
        <v/>
      </c>
      <c r="AJ82" s="216" t="str">
        <f t="shared" si="9"/>
        <v/>
      </c>
      <c r="AK82" s="216" t="str">
        <f t="shared" si="11"/>
        <v/>
      </c>
      <c r="AL82" s="216" t="str">
        <f>IF(AJ82="","",OFERTA!$E82/AJ82)</f>
        <v/>
      </c>
      <c r="AR82" s="1"/>
    </row>
    <row r="83" spans="1:44" ht="17.25" hidden="1" thickBot="1" x14ac:dyDescent="0.35">
      <c r="A83" s="220"/>
      <c r="B83" s="227">
        <v>78</v>
      </c>
      <c r="C83" s="232"/>
      <c r="D83" s="21"/>
      <c r="E83" s="21"/>
      <c r="F83" s="23" t="str">
        <f>IF('79'!$G$65=0,"",'79'!$G$65)</f>
        <v/>
      </c>
      <c r="G83" s="23" t="str">
        <f>IF(OFERTA!$C83="","",IF(OFERTA!$F83="","",OFERTA!$F83*OFERTA!$E83))</f>
        <v/>
      </c>
      <c r="H83" s="229" t="str">
        <f>+IF(OFERTA!$F83="","",OFERTA!$G83/OFERTA!$G$216)</f>
        <v/>
      </c>
      <c r="I83" s="230"/>
      <c r="J83" s="230" t="s">
        <v>585</v>
      </c>
      <c r="K83" s="230"/>
      <c r="L83" s="230" t="str">
        <f t="shared" si="10"/>
        <v/>
      </c>
      <c r="M83" s="231">
        <f>+'78'!$N$28+'78'!$N$47</f>
        <v>0</v>
      </c>
      <c r="N83" s="231">
        <f>+'78'!$M$28+'78'!$M$47</f>
        <v>0</v>
      </c>
      <c r="O83" s="231">
        <f>IF('79'!$G$39=0,0,'79'!$G$39)</f>
        <v>0</v>
      </c>
      <c r="P83" s="231">
        <f>IF('79'!$G$55=0,0,'79'!$G$55)</f>
        <v>0</v>
      </c>
      <c r="Q83" s="231">
        <f>+OFERTA!$M83+OFERTA!$N83+OFERTA!$O83+OFERTA!$P83</f>
        <v>0</v>
      </c>
      <c r="R83" s="23">
        <f>IF(OFERTA!$M83="","",OFERTA!$M83*OFERTA!$E83)</f>
        <v>0</v>
      </c>
      <c r="S83" s="23">
        <f>IF(OFERTA!$N83="","",OFERTA!$N83*OFERTA!$E83)</f>
        <v>0</v>
      </c>
      <c r="T83" s="23">
        <f>IF(OFERTA!$O83="","",OFERTA!$O83*OFERTA!$E83)</f>
        <v>0</v>
      </c>
      <c r="U83" s="23">
        <f>IF(OFERTA!$P83="","",OFERTA!$P83*OFERTA!$E83)</f>
        <v>0</v>
      </c>
      <c r="V83" s="23">
        <f>IF(OFERTA!$U83="","",OFERTA!$U83+OFERTA!$T83+OFERTA!$S83+OFERTA!$R83)</f>
        <v>0</v>
      </c>
      <c r="W83" s="22">
        <f>IF(OFERTA!$R83="","",OFERTA!$R83/OFERTA!$R$216)</f>
        <v>0</v>
      </c>
      <c r="X83" s="22">
        <f>IF(OFERTA!$S83="","",OFERTA!$S83/OFERTA!$S$216)</f>
        <v>0</v>
      </c>
      <c r="Y83" s="22">
        <f>IF(OFERTA!$T83="","",OFERTA!$T83/OFERTA!$T$216)</f>
        <v>0</v>
      </c>
      <c r="Z83" s="22">
        <f>IF(OFERTA!$U83="","",OFERTA!$U83/OFERTA!$U$216)</f>
        <v>0</v>
      </c>
      <c r="AA83" s="3"/>
      <c r="AB83" s="23" t="str">
        <f>IF(AI83="","",AI83*OFERTA!$Q83)</f>
        <v/>
      </c>
      <c r="AC83" s="23" t="str">
        <f>IF(AI83="","",OFERTA!$N83*AI83)</f>
        <v/>
      </c>
      <c r="AD83" s="23" t="str">
        <f>IF(AI83="","",OFERTA!$M83*AI83)</f>
        <v/>
      </c>
      <c r="AE83" s="23" t="str">
        <f>IF(AI83="","",OFERTA!$P83*AI83)</f>
        <v/>
      </c>
      <c r="AF83" s="23" t="str">
        <f>IF(AI83="","",OFERTA!$O83*AI83)</f>
        <v/>
      </c>
      <c r="AG83" s="21" t="str">
        <f t="shared" si="8"/>
        <v/>
      </c>
      <c r="AH83" s="216">
        <v>7.27</v>
      </c>
      <c r="AI83" s="21" t="str">
        <f>IF('79'!$G$20=0,"",'79'!$G$20)</f>
        <v/>
      </c>
      <c r="AJ83" s="216" t="str">
        <f t="shared" si="9"/>
        <v/>
      </c>
      <c r="AK83" s="216" t="str">
        <f t="shared" si="11"/>
        <v/>
      </c>
      <c r="AL83" s="216" t="str">
        <f>IF(AJ83="","",OFERTA!$E83/AJ83)</f>
        <v/>
      </c>
      <c r="AR83" s="1"/>
    </row>
    <row r="84" spans="1:44" ht="17.25" hidden="1" thickBot="1" x14ac:dyDescent="0.35">
      <c r="A84" s="220"/>
      <c r="B84" s="227">
        <v>79</v>
      </c>
      <c r="C84" s="232"/>
      <c r="D84" s="21"/>
      <c r="E84" s="21"/>
      <c r="F84" s="23" t="str">
        <f>IF('80'!$G$65=0,"",'80'!$G$65)</f>
        <v/>
      </c>
      <c r="G84" s="23" t="str">
        <f>IF(OFERTA!$C84="","",IF(OFERTA!$F84="","",OFERTA!$F84*OFERTA!$E84))</f>
        <v/>
      </c>
      <c r="H84" s="229" t="str">
        <f>+IF(OFERTA!$F84="","",OFERTA!$G84/OFERTA!$G$216)</f>
        <v/>
      </c>
      <c r="I84" s="230"/>
      <c r="J84" s="230" t="s">
        <v>585</v>
      </c>
      <c r="K84" s="230"/>
      <c r="L84" s="230" t="str">
        <f t="shared" si="10"/>
        <v/>
      </c>
      <c r="M84" s="231">
        <f>+'79'!$N$28+'79'!$N$47</f>
        <v>0</v>
      </c>
      <c r="N84" s="231">
        <f>+'79'!$M$28+'79'!$M$47</f>
        <v>0</v>
      </c>
      <c r="O84" s="231">
        <f>IF('80'!$G$39=0,0,'80'!$G$39)</f>
        <v>0</v>
      </c>
      <c r="P84" s="231">
        <f>IF('80'!$G$55=0,0,'80'!$G$55)</f>
        <v>0</v>
      </c>
      <c r="Q84" s="231">
        <f>+OFERTA!$M84+OFERTA!$N84+OFERTA!$O84+OFERTA!$P84</f>
        <v>0</v>
      </c>
      <c r="R84" s="23">
        <f>IF(OFERTA!$M84="","",OFERTA!$M84*OFERTA!$E84)</f>
        <v>0</v>
      </c>
      <c r="S84" s="23">
        <f>IF(OFERTA!$N84="","",OFERTA!$N84*OFERTA!$E84)</f>
        <v>0</v>
      </c>
      <c r="T84" s="23">
        <f>IF(OFERTA!$O84="","",OFERTA!$O84*OFERTA!$E84)</f>
        <v>0</v>
      </c>
      <c r="U84" s="23">
        <f>IF(OFERTA!$P84="","",OFERTA!$P84*OFERTA!$E84)</f>
        <v>0</v>
      </c>
      <c r="V84" s="23">
        <f>IF(OFERTA!$U84="","",OFERTA!$U84+OFERTA!$T84+OFERTA!$S84+OFERTA!$R84)</f>
        <v>0</v>
      </c>
      <c r="W84" s="22">
        <f>IF(OFERTA!$R84="","",OFERTA!$R84/OFERTA!$R$216)</f>
        <v>0</v>
      </c>
      <c r="X84" s="22">
        <f>IF(OFERTA!$S84="","",OFERTA!$S84/OFERTA!$S$216)</f>
        <v>0</v>
      </c>
      <c r="Y84" s="22">
        <f>IF(OFERTA!$T84="","",OFERTA!$T84/OFERTA!$T$216)</f>
        <v>0</v>
      </c>
      <c r="Z84" s="22">
        <f>IF(OFERTA!$U84="","",OFERTA!$U84/OFERTA!$U$216)</f>
        <v>0</v>
      </c>
      <c r="AA84" s="3"/>
      <c r="AB84" s="23" t="str">
        <f>IF(AI84="","",AI84*OFERTA!$Q84)</f>
        <v/>
      </c>
      <c r="AC84" s="23" t="str">
        <f>IF(AI84="","",OFERTA!$N84*AI84)</f>
        <v/>
      </c>
      <c r="AD84" s="23" t="str">
        <f>IF(AI84="","",OFERTA!$M84*AI84)</f>
        <v/>
      </c>
      <c r="AE84" s="23" t="str">
        <f>IF(AI84="","",OFERTA!$P84*AI84)</f>
        <v/>
      </c>
      <c r="AF84" s="23" t="str">
        <f>IF(AI84="","",OFERTA!$O84*AI84)</f>
        <v/>
      </c>
      <c r="AG84" s="21" t="str">
        <f t="shared" si="8"/>
        <v/>
      </c>
      <c r="AH84" s="216">
        <v>7.27</v>
      </c>
      <c r="AI84" s="21" t="str">
        <f>IF('80'!$G$20=0,"",'80'!$G$20)</f>
        <v/>
      </c>
      <c r="AJ84" s="216" t="str">
        <f t="shared" si="9"/>
        <v/>
      </c>
      <c r="AK84" s="216" t="str">
        <f t="shared" si="11"/>
        <v/>
      </c>
      <c r="AL84" s="216" t="str">
        <f>IF(AJ84="","",OFERTA!$E84/AJ84)</f>
        <v/>
      </c>
      <c r="AR84" s="1"/>
    </row>
    <row r="85" spans="1:44" ht="17.25" hidden="1" thickBot="1" x14ac:dyDescent="0.35">
      <c r="A85" s="220"/>
      <c r="B85" s="227">
        <v>80</v>
      </c>
      <c r="C85" s="232"/>
      <c r="D85" s="21"/>
      <c r="E85" s="21"/>
      <c r="F85" s="23"/>
      <c r="G85" s="23" t="str">
        <f>IF(OFERTA!$C85="","",IF(OFERTA!$F85="","",OFERTA!$F85*OFERTA!$E85))</f>
        <v/>
      </c>
      <c r="H85" s="229" t="str">
        <f>+IF(OFERTA!$F85="","",OFERTA!$G85/OFERTA!$G$216)</f>
        <v/>
      </c>
      <c r="I85" s="230"/>
      <c r="J85" s="230"/>
      <c r="K85" s="230"/>
      <c r="L85" s="230" t="str">
        <f t="shared" si="10"/>
        <v/>
      </c>
      <c r="M85" s="231">
        <f>+'80'!$N$28+'80'!$N$47</f>
        <v>0</v>
      </c>
      <c r="N85" s="231">
        <f>+'80'!$M$28+'80'!$M$47</f>
        <v>0</v>
      </c>
      <c r="O85" s="231">
        <f>IF('80'!$G$39=0,0,'80'!$G$39)</f>
        <v>0</v>
      </c>
      <c r="P85" s="231">
        <f>IF('80'!$G$55=0,0,'80'!$G$55)</f>
        <v>0</v>
      </c>
      <c r="Q85" s="231">
        <f>+OFERTA!$M85+OFERTA!$N85+OFERTA!$O85+OFERTA!$P85</f>
        <v>0</v>
      </c>
      <c r="R85" s="23">
        <f>IF(OFERTA!$M85="","",OFERTA!$M85*OFERTA!$E85)</f>
        <v>0</v>
      </c>
      <c r="S85" s="23">
        <f>IF(OFERTA!$N85="","",OFERTA!$N85*OFERTA!$E85)</f>
        <v>0</v>
      </c>
      <c r="T85" s="23">
        <f>IF(OFERTA!$O85="","",OFERTA!$O85*OFERTA!$E85)</f>
        <v>0</v>
      </c>
      <c r="U85" s="23">
        <f>IF(OFERTA!$P85="","",OFERTA!$P85*OFERTA!$E85)</f>
        <v>0</v>
      </c>
      <c r="V85" s="23">
        <f>IF(OFERTA!$U85="","",OFERTA!$U85+OFERTA!$T85+OFERTA!$S85+OFERTA!$R85)</f>
        <v>0</v>
      </c>
      <c r="W85" s="22">
        <f>IF(OFERTA!$R85="","",OFERTA!$R85/OFERTA!$R$216)</f>
        <v>0</v>
      </c>
      <c r="X85" s="22">
        <f>IF(OFERTA!$S85="","",OFERTA!$S85/OFERTA!$S$216)</f>
        <v>0</v>
      </c>
      <c r="Y85" s="22">
        <f>IF(OFERTA!$T85="","",OFERTA!$T85/OFERTA!$T$216)</f>
        <v>0</v>
      </c>
      <c r="Z85" s="22">
        <f>IF(OFERTA!$U85="","",OFERTA!$U85/OFERTA!$U$216)</f>
        <v>0</v>
      </c>
      <c r="AA85" s="3"/>
      <c r="AB85" s="23" t="str">
        <f>IF(AI85="","",AI85*OFERTA!$Q85)</f>
        <v/>
      </c>
      <c r="AC85" s="23" t="str">
        <f>IF(AI85="","",OFERTA!$N85*AI85)</f>
        <v/>
      </c>
      <c r="AD85" s="23" t="str">
        <f>IF(AI85="","",OFERTA!$M85*AI85)</f>
        <v/>
      </c>
      <c r="AE85" s="23" t="str">
        <f>IF(AI85="","",OFERTA!$P85*AI85)</f>
        <v/>
      </c>
      <c r="AF85" s="23" t="str">
        <f>IF(AI85="","",OFERTA!$O85*AI85)</f>
        <v/>
      </c>
      <c r="AG85" s="21" t="str">
        <f t="shared" si="8"/>
        <v/>
      </c>
      <c r="AH85" s="216">
        <v>7.27</v>
      </c>
      <c r="AI85" s="216"/>
      <c r="AJ85" s="216" t="str">
        <f t="shared" si="9"/>
        <v/>
      </c>
      <c r="AK85" s="216" t="str">
        <f t="shared" si="11"/>
        <v/>
      </c>
      <c r="AL85" s="216" t="str">
        <f>IF(AJ85="","",OFERTA!$E85/AJ85)</f>
        <v/>
      </c>
      <c r="AR85" s="1"/>
    </row>
    <row r="86" spans="1:44" ht="17.25" hidden="1" thickBot="1" x14ac:dyDescent="0.35">
      <c r="A86" s="220"/>
      <c r="B86" s="227">
        <v>81</v>
      </c>
      <c r="C86" s="232"/>
      <c r="D86" s="21"/>
      <c r="E86" s="21"/>
      <c r="F86" s="23"/>
      <c r="G86" s="23" t="str">
        <f>IF(OFERTA!$C86="","",IF(OFERTA!$F86="","",OFERTA!$F86*OFERTA!$E86))</f>
        <v/>
      </c>
      <c r="H86" s="229" t="str">
        <f>+IF(OFERTA!$F86="","",OFERTA!$G86/OFERTA!$G$216)</f>
        <v/>
      </c>
      <c r="I86" s="230"/>
      <c r="J86" s="230"/>
      <c r="K86" s="230"/>
      <c r="L86" s="230" t="str">
        <f t="shared" ref="L86:L149" si="12">IF(E86="","",K86*E86)</f>
        <v/>
      </c>
      <c r="M86" s="231">
        <f>+'80'!$N$28+'80'!$N$47</f>
        <v>0</v>
      </c>
      <c r="N86" s="231">
        <f>+'80'!$M$28+'80'!$M$47</f>
        <v>0</v>
      </c>
      <c r="O86" s="231">
        <f>IF('80'!$G$39=0,0,'80'!$G$39)</f>
        <v>0</v>
      </c>
      <c r="P86" s="231">
        <f>IF('80'!$G$55=0,0,'80'!$G$55)</f>
        <v>0</v>
      </c>
      <c r="Q86" s="231">
        <f>+OFERTA!$M86+OFERTA!$N86+OFERTA!$O86+OFERTA!$P86</f>
        <v>0</v>
      </c>
      <c r="R86" s="23">
        <f>IF(OFERTA!$M86="","",OFERTA!$M86*OFERTA!$E86)</f>
        <v>0</v>
      </c>
      <c r="S86" s="23">
        <f>IF(OFERTA!$N86="","",OFERTA!$N86*OFERTA!$E86)</f>
        <v>0</v>
      </c>
      <c r="T86" s="23">
        <f>IF(OFERTA!$O86="","",OFERTA!$O86*OFERTA!$E86)</f>
        <v>0</v>
      </c>
      <c r="U86" s="23">
        <f>IF(OFERTA!$P86="","",OFERTA!$P86*OFERTA!$E86)</f>
        <v>0</v>
      </c>
      <c r="V86" s="23">
        <f>IF(OFERTA!$U86="","",OFERTA!$U86+OFERTA!$T86+OFERTA!$S86+OFERTA!$R86)</f>
        <v>0</v>
      </c>
      <c r="W86" s="22">
        <f>IF(OFERTA!$R86="","",OFERTA!$R86/OFERTA!$R$216)</f>
        <v>0</v>
      </c>
      <c r="X86" s="22">
        <f>IF(OFERTA!$S86="","",OFERTA!$S86/OFERTA!$S$216)</f>
        <v>0</v>
      </c>
      <c r="Y86" s="22">
        <f>IF(OFERTA!$T86="","",OFERTA!$T86/OFERTA!$T$216)</f>
        <v>0</v>
      </c>
      <c r="Z86" s="22">
        <f>IF(OFERTA!$U86="","",OFERTA!$U86/OFERTA!$U$216)</f>
        <v>0</v>
      </c>
      <c r="AA86" s="3"/>
      <c r="AB86" s="23" t="str">
        <f>IF(AI86="","",AI86*OFERTA!$Q86)</f>
        <v/>
      </c>
      <c r="AC86" s="23" t="str">
        <f>IF(AI86="","",OFERTA!$N86*AI86)</f>
        <v/>
      </c>
      <c r="AD86" s="23" t="str">
        <f>IF(AI86="","",OFERTA!$M86*AI86)</f>
        <v/>
      </c>
      <c r="AE86" s="23" t="str">
        <f>IF(AI86="","",OFERTA!$P86*AI86)</f>
        <v/>
      </c>
      <c r="AF86" s="23" t="str">
        <f>IF(AI86="","",OFERTA!$O86*AI86)</f>
        <v/>
      </c>
      <c r="AG86" s="21" t="str">
        <f t="shared" ref="AG86:AG149" si="13">IF(AL86="","",AL86*AH86)</f>
        <v/>
      </c>
      <c r="AH86" s="216">
        <v>7.27</v>
      </c>
      <c r="AI86" s="216"/>
      <c r="AJ86" s="216" t="str">
        <f t="shared" ref="AJ86:AJ149" si="14">IF(AI86="","",AI86*AH86)</f>
        <v/>
      </c>
      <c r="AK86" s="216" t="str">
        <f t="shared" ref="AK86:AK149" si="15">IF(AL86="","",AL86/30)</f>
        <v/>
      </c>
      <c r="AL86" s="216" t="str">
        <f>IF(AJ86="","",OFERTA!$E86/AJ86)</f>
        <v/>
      </c>
      <c r="AR86" s="1"/>
    </row>
    <row r="87" spans="1:44" ht="17.25" hidden="1" thickBot="1" x14ac:dyDescent="0.35">
      <c r="A87" s="220"/>
      <c r="B87" s="227">
        <v>82</v>
      </c>
      <c r="C87" s="232"/>
      <c r="D87" s="21"/>
      <c r="E87" s="21"/>
      <c r="F87" s="23"/>
      <c r="G87" s="23" t="str">
        <f>IF(OFERTA!$C87="","",IF(OFERTA!$F87="","",OFERTA!$F87*OFERTA!$E87))</f>
        <v/>
      </c>
      <c r="H87" s="229" t="str">
        <f>+IF(OFERTA!$F87="","",OFERTA!$G87/OFERTA!$G$216)</f>
        <v/>
      </c>
      <c r="I87" s="230"/>
      <c r="J87" s="230"/>
      <c r="K87" s="230"/>
      <c r="L87" s="230" t="str">
        <f t="shared" si="12"/>
        <v/>
      </c>
      <c r="M87" s="231">
        <f>+'80'!$N$28+'80'!$N$47</f>
        <v>0</v>
      </c>
      <c r="N87" s="231">
        <f>+'80'!$M$28+'80'!$M$47</f>
        <v>0</v>
      </c>
      <c r="O87" s="231">
        <f>IF('80'!$G$39=0,0,'80'!$G$39)</f>
        <v>0</v>
      </c>
      <c r="P87" s="231">
        <f>IF('80'!$G$55=0,0,'80'!$G$55)</f>
        <v>0</v>
      </c>
      <c r="Q87" s="231">
        <f>+OFERTA!$M87+OFERTA!$N87+OFERTA!$O87+OFERTA!$P87</f>
        <v>0</v>
      </c>
      <c r="R87" s="23">
        <f>IF(OFERTA!$M87="","",OFERTA!$M87*OFERTA!$E87)</f>
        <v>0</v>
      </c>
      <c r="S87" s="23">
        <f>IF(OFERTA!$N87="","",OFERTA!$N87*OFERTA!$E87)</f>
        <v>0</v>
      </c>
      <c r="T87" s="23">
        <f>IF(OFERTA!$O87="","",OFERTA!$O87*OFERTA!$E87)</f>
        <v>0</v>
      </c>
      <c r="U87" s="23">
        <f>IF(OFERTA!$P87="","",OFERTA!$P87*OFERTA!$E87)</f>
        <v>0</v>
      </c>
      <c r="V87" s="23">
        <f>IF(OFERTA!$U87="","",OFERTA!$U87+OFERTA!$T87+OFERTA!$S87+OFERTA!$R87)</f>
        <v>0</v>
      </c>
      <c r="W87" s="22">
        <f>IF(OFERTA!$R87="","",OFERTA!$R87/OFERTA!$R$216)</f>
        <v>0</v>
      </c>
      <c r="X87" s="22">
        <f>IF(OFERTA!$S87="","",OFERTA!$S87/OFERTA!$S$216)</f>
        <v>0</v>
      </c>
      <c r="Y87" s="22">
        <f>IF(OFERTA!$T87="","",OFERTA!$T87/OFERTA!$T$216)</f>
        <v>0</v>
      </c>
      <c r="Z87" s="22">
        <f>IF(OFERTA!$U87="","",OFERTA!$U87/OFERTA!$U$216)</f>
        <v>0</v>
      </c>
      <c r="AA87" s="3"/>
      <c r="AB87" s="23" t="str">
        <f>IF(AI87="","",AI87*OFERTA!$Q87)</f>
        <v/>
      </c>
      <c r="AC87" s="23" t="str">
        <f>IF(AI87="","",OFERTA!$N87*AI87)</f>
        <v/>
      </c>
      <c r="AD87" s="23" t="str">
        <f>IF(AI87="","",OFERTA!$M87*AI87)</f>
        <v/>
      </c>
      <c r="AE87" s="23" t="str">
        <f>IF(AI87="","",OFERTA!$P87*AI87)</f>
        <v/>
      </c>
      <c r="AF87" s="23" t="str">
        <f>IF(AI87="","",OFERTA!$O87*AI87)</f>
        <v/>
      </c>
      <c r="AG87" s="21" t="str">
        <f t="shared" si="13"/>
        <v/>
      </c>
      <c r="AH87" s="216">
        <v>7.27</v>
      </c>
      <c r="AI87" s="216"/>
      <c r="AJ87" s="216" t="str">
        <f t="shared" si="14"/>
        <v/>
      </c>
      <c r="AK87" s="216" t="str">
        <f t="shared" si="15"/>
        <v/>
      </c>
      <c r="AL87" s="216" t="str">
        <f>IF(AJ87="","",OFERTA!$E87/AJ87)</f>
        <v/>
      </c>
      <c r="AR87" s="1"/>
    </row>
    <row r="88" spans="1:44" ht="17.25" hidden="1" thickBot="1" x14ac:dyDescent="0.35">
      <c r="A88" s="220"/>
      <c r="B88" s="227">
        <v>83</v>
      </c>
      <c r="C88" s="232"/>
      <c r="D88" s="21"/>
      <c r="E88" s="21"/>
      <c r="F88" s="23"/>
      <c r="G88" s="23" t="str">
        <f>IF(OFERTA!$C88="","",IF(OFERTA!$F88="","",OFERTA!$F88*OFERTA!$E88))</f>
        <v/>
      </c>
      <c r="H88" s="229" t="str">
        <f>+IF(OFERTA!$F88="","",OFERTA!$G88/OFERTA!$G$216)</f>
        <v/>
      </c>
      <c r="I88" s="230"/>
      <c r="J88" s="230"/>
      <c r="K88" s="230"/>
      <c r="L88" s="230" t="str">
        <f t="shared" si="12"/>
        <v/>
      </c>
      <c r="M88" s="231">
        <f>+'80'!$N$28+'80'!$N$47</f>
        <v>0</v>
      </c>
      <c r="N88" s="231">
        <f>+'80'!$M$28+'80'!$M$47</f>
        <v>0</v>
      </c>
      <c r="O88" s="231">
        <f>IF('80'!$G$39=0,0,'80'!$G$39)</f>
        <v>0</v>
      </c>
      <c r="P88" s="231">
        <f>IF('80'!$G$55=0,0,'80'!$G$55)</f>
        <v>0</v>
      </c>
      <c r="Q88" s="231">
        <f>+OFERTA!$M88+OFERTA!$N88+OFERTA!$O88+OFERTA!$P88</f>
        <v>0</v>
      </c>
      <c r="R88" s="23">
        <f>IF(OFERTA!$M88="","",OFERTA!$M88*OFERTA!$E88)</f>
        <v>0</v>
      </c>
      <c r="S88" s="23">
        <f>IF(OFERTA!$N88="","",OFERTA!$N88*OFERTA!$E88)</f>
        <v>0</v>
      </c>
      <c r="T88" s="23">
        <f>IF(OFERTA!$O88="","",OFERTA!$O88*OFERTA!$E88)</f>
        <v>0</v>
      </c>
      <c r="U88" s="23">
        <f>IF(OFERTA!$P88="","",OFERTA!$P88*OFERTA!$E88)</f>
        <v>0</v>
      </c>
      <c r="V88" s="23">
        <f>IF(OFERTA!$U88="","",OFERTA!$U88+OFERTA!$T88+OFERTA!$S88+OFERTA!$R88)</f>
        <v>0</v>
      </c>
      <c r="W88" s="22">
        <f>IF(OFERTA!$R88="","",OFERTA!$R88/OFERTA!$R$216)</f>
        <v>0</v>
      </c>
      <c r="X88" s="22">
        <f>IF(OFERTA!$S88="","",OFERTA!$S88/OFERTA!$S$216)</f>
        <v>0</v>
      </c>
      <c r="Y88" s="22">
        <f>IF(OFERTA!$T88="","",OFERTA!$T88/OFERTA!$T$216)</f>
        <v>0</v>
      </c>
      <c r="Z88" s="22">
        <f>IF(OFERTA!$U88="","",OFERTA!$U88/OFERTA!$U$216)</f>
        <v>0</v>
      </c>
      <c r="AA88" s="3"/>
      <c r="AB88" s="23" t="str">
        <f>IF(AI88="","",AI88*OFERTA!$Q88)</f>
        <v/>
      </c>
      <c r="AC88" s="23" t="str">
        <f>IF(AI88="","",OFERTA!$N88*AI88)</f>
        <v/>
      </c>
      <c r="AD88" s="23" t="str">
        <f>IF(AI88="","",OFERTA!$M88*AI88)</f>
        <v/>
      </c>
      <c r="AE88" s="23" t="str">
        <f>IF(AI88="","",OFERTA!$P88*AI88)</f>
        <v/>
      </c>
      <c r="AF88" s="23" t="str">
        <f>IF(AI88="","",OFERTA!$O88*AI88)</f>
        <v/>
      </c>
      <c r="AG88" s="21" t="str">
        <f t="shared" si="13"/>
        <v/>
      </c>
      <c r="AH88" s="216">
        <v>7.27</v>
      </c>
      <c r="AI88" s="216"/>
      <c r="AJ88" s="216" t="str">
        <f t="shared" si="14"/>
        <v/>
      </c>
      <c r="AK88" s="216" t="str">
        <f t="shared" si="15"/>
        <v/>
      </c>
      <c r="AL88" s="216" t="str">
        <f>IF(AJ88="","",OFERTA!$E88/AJ88)</f>
        <v/>
      </c>
      <c r="AR88" s="1"/>
    </row>
    <row r="89" spans="1:44" ht="17.25" hidden="1" thickBot="1" x14ac:dyDescent="0.35">
      <c r="A89" s="220"/>
      <c r="B89" s="227">
        <v>84</v>
      </c>
      <c r="C89" s="232"/>
      <c r="D89" s="21"/>
      <c r="E89" s="21"/>
      <c r="F89" s="23"/>
      <c r="G89" s="23" t="str">
        <f>IF(OFERTA!$C89="","",IF(OFERTA!$F89="","",OFERTA!$F89*OFERTA!$E89))</f>
        <v/>
      </c>
      <c r="H89" s="229" t="str">
        <f>+IF(OFERTA!$F89="","",OFERTA!$G89/OFERTA!$G$216)</f>
        <v/>
      </c>
      <c r="I89" s="230"/>
      <c r="J89" s="230"/>
      <c r="K89" s="230"/>
      <c r="L89" s="230" t="str">
        <f t="shared" si="12"/>
        <v/>
      </c>
      <c r="M89" s="231">
        <f>+'80'!$N$28+'80'!$N$47</f>
        <v>0</v>
      </c>
      <c r="N89" s="231">
        <f>+'80'!$M$28+'80'!$M$47</f>
        <v>0</v>
      </c>
      <c r="O89" s="231">
        <f>IF('80'!$G$39=0,0,'80'!$G$39)</f>
        <v>0</v>
      </c>
      <c r="P89" s="231">
        <f>IF('80'!$G$55=0,0,'80'!$G$55)</f>
        <v>0</v>
      </c>
      <c r="Q89" s="231">
        <f>+OFERTA!$M89+OFERTA!$N89+OFERTA!$O89+OFERTA!$P89</f>
        <v>0</v>
      </c>
      <c r="R89" s="23">
        <f>IF(OFERTA!$M89="","",OFERTA!$M89*OFERTA!$E89)</f>
        <v>0</v>
      </c>
      <c r="S89" s="23">
        <f>IF(OFERTA!$N89="","",OFERTA!$N89*OFERTA!$E89)</f>
        <v>0</v>
      </c>
      <c r="T89" s="23">
        <f>IF(OFERTA!$O89="","",OFERTA!$O89*OFERTA!$E89)</f>
        <v>0</v>
      </c>
      <c r="U89" s="23">
        <f>IF(OFERTA!$P89="","",OFERTA!$P89*OFERTA!$E89)</f>
        <v>0</v>
      </c>
      <c r="V89" s="23">
        <f>IF(OFERTA!$U89="","",OFERTA!$U89+OFERTA!$T89+OFERTA!$S89+OFERTA!$R89)</f>
        <v>0</v>
      </c>
      <c r="W89" s="22">
        <f>IF(OFERTA!$R89="","",OFERTA!$R89/OFERTA!$R$216)</f>
        <v>0</v>
      </c>
      <c r="X89" s="22">
        <f>IF(OFERTA!$S89="","",OFERTA!$S89/OFERTA!$S$216)</f>
        <v>0</v>
      </c>
      <c r="Y89" s="22">
        <f>IF(OFERTA!$T89="","",OFERTA!$T89/OFERTA!$T$216)</f>
        <v>0</v>
      </c>
      <c r="Z89" s="22">
        <f>IF(OFERTA!$U89="","",OFERTA!$U89/OFERTA!$U$216)</f>
        <v>0</v>
      </c>
      <c r="AA89" s="3"/>
      <c r="AB89" s="23" t="str">
        <f>IF(AI89="","",AI89*OFERTA!$Q89)</f>
        <v/>
      </c>
      <c r="AC89" s="23" t="str">
        <f>IF(AI89="","",OFERTA!$N89*AI89)</f>
        <v/>
      </c>
      <c r="AD89" s="23" t="str">
        <f>IF(AI89="","",OFERTA!$M89*AI89)</f>
        <v/>
      </c>
      <c r="AE89" s="23" t="str">
        <f>IF(AI89="","",OFERTA!$P89*AI89)</f>
        <v/>
      </c>
      <c r="AF89" s="23" t="str">
        <f>IF(AI89="","",OFERTA!$O89*AI89)</f>
        <v/>
      </c>
      <c r="AG89" s="21" t="str">
        <f t="shared" si="13"/>
        <v/>
      </c>
      <c r="AH89" s="216">
        <v>7.27</v>
      </c>
      <c r="AI89" s="216"/>
      <c r="AJ89" s="216" t="str">
        <f t="shared" si="14"/>
        <v/>
      </c>
      <c r="AK89" s="216" t="str">
        <f t="shared" si="15"/>
        <v/>
      </c>
      <c r="AL89" s="216" t="str">
        <f>IF(AJ89="","",OFERTA!$E89/AJ89)</f>
        <v/>
      </c>
      <c r="AR89" s="1"/>
    </row>
    <row r="90" spans="1:44" ht="17.25" hidden="1" thickBot="1" x14ac:dyDescent="0.35">
      <c r="A90" s="220"/>
      <c r="B90" s="227">
        <v>85</v>
      </c>
      <c r="C90" s="232"/>
      <c r="D90" s="21"/>
      <c r="E90" s="21"/>
      <c r="F90" s="23"/>
      <c r="G90" s="23" t="str">
        <f>IF(OFERTA!$C90="","",IF(OFERTA!$F90="","",OFERTA!$F90*OFERTA!$E90))</f>
        <v/>
      </c>
      <c r="H90" s="229" t="str">
        <f>+IF(OFERTA!$F90="","",OFERTA!$G90/OFERTA!$G$216)</f>
        <v/>
      </c>
      <c r="I90" s="230"/>
      <c r="J90" s="230"/>
      <c r="K90" s="230"/>
      <c r="L90" s="230" t="str">
        <f t="shared" si="12"/>
        <v/>
      </c>
      <c r="M90" s="231">
        <f>+'80'!$N$28+'80'!$N$47</f>
        <v>0</v>
      </c>
      <c r="N90" s="231">
        <f>+'80'!$M$28+'80'!$M$47</f>
        <v>0</v>
      </c>
      <c r="O90" s="231">
        <f>IF('80'!$G$39=0,0,'80'!$G$39)</f>
        <v>0</v>
      </c>
      <c r="P90" s="231">
        <f>IF('80'!$G$55=0,0,'80'!$G$55)</f>
        <v>0</v>
      </c>
      <c r="Q90" s="231">
        <f>+OFERTA!$M90+OFERTA!$N90+OFERTA!$O90+OFERTA!$P90</f>
        <v>0</v>
      </c>
      <c r="R90" s="23">
        <f>IF(OFERTA!$M90="","",OFERTA!$M90*OFERTA!$E90)</f>
        <v>0</v>
      </c>
      <c r="S90" s="23">
        <f>IF(OFERTA!$N90="","",OFERTA!$N90*OFERTA!$E90)</f>
        <v>0</v>
      </c>
      <c r="T90" s="23">
        <f>IF(OFERTA!$O90="","",OFERTA!$O90*OFERTA!$E90)</f>
        <v>0</v>
      </c>
      <c r="U90" s="23">
        <f>IF(OFERTA!$P90="","",OFERTA!$P90*OFERTA!$E90)</f>
        <v>0</v>
      </c>
      <c r="V90" s="23">
        <f>IF(OFERTA!$U90="","",OFERTA!$U90+OFERTA!$T90+OFERTA!$S90+OFERTA!$R90)</f>
        <v>0</v>
      </c>
      <c r="W90" s="22">
        <f>IF(OFERTA!$R90="","",OFERTA!$R90/OFERTA!$R$216)</f>
        <v>0</v>
      </c>
      <c r="X90" s="22">
        <f>IF(OFERTA!$S90="","",OFERTA!$S90/OFERTA!$S$216)</f>
        <v>0</v>
      </c>
      <c r="Y90" s="22">
        <f>IF(OFERTA!$T90="","",OFERTA!$T90/OFERTA!$T$216)</f>
        <v>0</v>
      </c>
      <c r="Z90" s="22">
        <f>IF(OFERTA!$U90="","",OFERTA!$U90/OFERTA!$U$216)</f>
        <v>0</v>
      </c>
      <c r="AA90" s="3"/>
      <c r="AB90" s="23" t="str">
        <f>IF(AI90="","",AI90*OFERTA!$Q90)</f>
        <v/>
      </c>
      <c r="AC90" s="23" t="str">
        <f>IF(AI90="","",OFERTA!$N90*AI90)</f>
        <v/>
      </c>
      <c r="AD90" s="23" t="str">
        <f>IF(AI90="","",OFERTA!$M90*AI90)</f>
        <v/>
      </c>
      <c r="AE90" s="23" t="str">
        <f>IF(AI90="","",OFERTA!$P90*AI90)</f>
        <v/>
      </c>
      <c r="AF90" s="23" t="str">
        <f>IF(AI90="","",OFERTA!$O90*AI90)</f>
        <v/>
      </c>
      <c r="AG90" s="21" t="str">
        <f t="shared" si="13"/>
        <v/>
      </c>
      <c r="AH90" s="216">
        <v>7.27</v>
      </c>
      <c r="AI90" s="216"/>
      <c r="AJ90" s="216" t="str">
        <f t="shared" si="14"/>
        <v/>
      </c>
      <c r="AK90" s="216" t="str">
        <f t="shared" si="15"/>
        <v/>
      </c>
      <c r="AL90" s="216" t="str">
        <f>IF(AJ90="","",OFERTA!$E90/AJ90)</f>
        <v/>
      </c>
      <c r="AR90" s="1"/>
    </row>
    <row r="91" spans="1:44" ht="17.25" hidden="1" thickBot="1" x14ac:dyDescent="0.35">
      <c r="A91" s="220"/>
      <c r="B91" s="227">
        <v>86</v>
      </c>
      <c r="C91" s="232"/>
      <c r="D91" s="21"/>
      <c r="E91" s="21"/>
      <c r="F91" s="23"/>
      <c r="G91" s="23" t="str">
        <f>IF(OFERTA!$C91="","",IF(OFERTA!$F91="","",OFERTA!$F91*OFERTA!$E91))</f>
        <v/>
      </c>
      <c r="H91" s="229" t="str">
        <f>+IF(OFERTA!$F91="","",OFERTA!$G91/OFERTA!$G$216)</f>
        <v/>
      </c>
      <c r="I91" s="230"/>
      <c r="J91" s="230"/>
      <c r="K91" s="230"/>
      <c r="L91" s="230" t="str">
        <f t="shared" si="12"/>
        <v/>
      </c>
      <c r="M91" s="231">
        <f>+'80'!$N$28+'80'!$N$47</f>
        <v>0</v>
      </c>
      <c r="N91" s="231">
        <f>+'80'!$M$28+'80'!$M$47</f>
        <v>0</v>
      </c>
      <c r="O91" s="231">
        <f>IF('80'!$G$39=0,0,'80'!$G$39)</f>
        <v>0</v>
      </c>
      <c r="P91" s="231">
        <f>IF('80'!$G$55=0,0,'80'!$G$55)</f>
        <v>0</v>
      </c>
      <c r="Q91" s="231">
        <f>+OFERTA!$M91+OFERTA!$N91+OFERTA!$O91+OFERTA!$P91</f>
        <v>0</v>
      </c>
      <c r="R91" s="23">
        <f>IF(OFERTA!$M91="","",OFERTA!$M91*OFERTA!$E91)</f>
        <v>0</v>
      </c>
      <c r="S91" s="23">
        <f>IF(OFERTA!$N91="","",OFERTA!$N91*OFERTA!$E91)</f>
        <v>0</v>
      </c>
      <c r="T91" s="23">
        <f>IF(OFERTA!$O91="","",OFERTA!$O91*OFERTA!$E91)</f>
        <v>0</v>
      </c>
      <c r="U91" s="23">
        <f>IF(OFERTA!$P91="","",OFERTA!$P91*OFERTA!$E91)</f>
        <v>0</v>
      </c>
      <c r="V91" s="23">
        <f>IF(OFERTA!$U91="","",OFERTA!$U91+OFERTA!$T91+OFERTA!$S91+OFERTA!$R91)</f>
        <v>0</v>
      </c>
      <c r="W91" s="22">
        <f>IF(OFERTA!$R91="","",OFERTA!$R91/OFERTA!$R$216)</f>
        <v>0</v>
      </c>
      <c r="X91" s="22">
        <f>IF(OFERTA!$S91="","",OFERTA!$S91/OFERTA!$S$216)</f>
        <v>0</v>
      </c>
      <c r="Y91" s="22">
        <f>IF(OFERTA!$T91="","",OFERTA!$T91/OFERTA!$T$216)</f>
        <v>0</v>
      </c>
      <c r="Z91" s="22">
        <f>IF(OFERTA!$U91="","",OFERTA!$U91/OFERTA!$U$216)</f>
        <v>0</v>
      </c>
      <c r="AA91" s="3"/>
      <c r="AB91" s="23" t="str">
        <f>IF(AI91="","",AI91*OFERTA!$Q91)</f>
        <v/>
      </c>
      <c r="AC91" s="23" t="str">
        <f>IF(AI91="","",OFERTA!$N91*AI91)</f>
        <v/>
      </c>
      <c r="AD91" s="23" t="str">
        <f>IF(AI91="","",OFERTA!$M91*AI91)</f>
        <v/>
      </c>
      <c r="AE91" s="23" t="str">
        <f>IF(AI91="","",OFERTA!$P91*AI91)</f>
        <v/>
      </c>
      <c r="AF91" s="23" t="str">
        <f>IF(AI91="","",OFERTA!$O91*AI91)</f>
        <v/>
      </c>
      <c r="AG91" s="21" t="str">
        <f t="shared" si="13"/>
        <v/>
      </c>
      <c r="AH91" s="216">
        <v>7.27</v>
      </c>
      <c r="AI91" s="216"/>
      <c r="AJ91" s="216" t="str">
        <f t="shared" si="14"/>
        <v/>
      </c>
      <c r="AK91" s="216" t="str">
        <f t="shared" si="15"/>
        <v/>
      </c>
      <c r="AL91" s="216" t="str">
        <f>IF(AJ91="","",OFERTA!$E91/AJ91)</f>
        <v/>
      </c>
      <c r="AR91" s="1"/>
    </row>
    <row r="92" spans="1:44" ht="17.25" hidden="1" thickBot="1" x14ac:dyDescent="0.35">
      <c r="A92" s="220"/>
      <c r="B92" s="227">
        <v>87</v>
      </c>
      <c r="C92" s="232"/>
      <c r="D92" s="21"/>
      <c r="E92" s="21"/>
      <c r="F92" s="23"/>
      <c r="G92" s="23" t="str">
        <f>IF(OFERTA!$C92="","",IF(OFERTA!$F92="","",OFERTA!$F92*OFERTA!$E92))</f>
        <v/>
      </c>
      <c r="H92" s="229" t="str">
        <f>+IF(OFERTA!$F92="","",OFERTA!$G92/OFERTA!$G$216)</f>
        <v/>
      </c>
      <c r="I92" s="230"/>
      <c r="J92" s="230"/>
      <c r="K92" s="230"/>
      <c r="L92" s="230" t="str">
        <f t="shared" si="12"/>
        <v/>
      </c>
      <c r="M92" s="231">
        <f>+'80'!$N$28+'80'!$N$47</f>
        <v>0</v>
      </c>
      <c r="N92" s="231">
        <f>+'80'!$M$28+'80'!$M$47</f>
        <v>0</v>
      </c>
      <c r="O92" s="231">
        <f>IF('80'!$G$39=0,0,'80'!$G$39)</f>
        <v>0</v>
      </c>
      <c r="P92" s="231">
        <f>IF('80'!$G$55=0,0,'80'!$G$55)</f>
        <v>0</v>
      </c>
      <c r="Q92" s="231">
        <f>+OFERTA!$M92+OFERTA!$N92+OFERTA!$O92+OFERTA!$P92</f>
        <v>0</v>
      </c>
      <c r="R92" s="23">
        <f>IF(OFERTA!$M92="","",OFERTA!$M92*OFERTA!$E92)</f>
        <v>0</v>
      </c>
      <c r="S92" s="23">
        <f>IF(OFERTA!$N92="","",OFERTA!$N92*OFERTA!$E92)</f>
        <v>0</v>
      </c>
      <c r="T92" s="23">
        <f>IF(OFERTA!$O92="","",OFERTA!$O92*OFERTA!$E92)</f>
        <v>0</v>
      </c>
      <c r="U92" s="23">
        <f>IF(OFERTA!$P92="","",OFERTA!$P92*OFERTA!$E92)</f>
        <v>0</v>
      </c>
      <c r="V92" s="23">
        <f>IF(OFERTA!$U92="","",OFERTA!$U92+OFERTA!$T92+OFERTA!$S92+OFERTA!$R92)</f>
        <v>0</v>
      </c>
      <c r="W92" s="22">
        <f>IF(OFERTA!$R92="","",OFERTA!$R92/OFERTA!$R$216)</f>
        <v>0</v>
      </c>
      <c r="X92" s="22">
        <f>IF(OFERTA!$S92="","",OFERTA!$S92/OFERTA!$S$216)</f>
        <v>0</v>
      </c>
      <c r="Y92" s="22">
        <f>IF(OFERTA!$T92="","",OFERTA!$T92/OFERTA!$T$216)</f>
        <v>0</v>
      </c>
      <c r="Z92" s="22">
        <f>IF(OFERTA!$U92="","",OFERTA!$U92/OFERTA!$U$216)</f>
        <v>0</v>
      </c>
      <c r="AA92" s="3"/>
      <c r="AB92" s="23" t="str">
        <f>IF(AI92="","",AI92*OFERTA!$Q92)</f>
        <v/>
      </c>
      <c r="AC92" s="23" t="str">
        <f>IF(AI92="","",OFERTA!$N92*AI92)</f>
        <v/>
      </c>
      <c r="AD92" s="23" t="str">
        <f>IF(AI92="","",OFERTA!$M92*AI92)</f>
        <v/>
      </c>
      <c r="AE92" s="23" t="str">
        <f>IF(AI92="","",OFERTA!$P92*AI92)</f>
        <v/>
      </c>
      <c r="AF92" s="23" t="str">
        <f>IF(AI92="","",OFERTA!$O92*AI92)</f>
        <v/>
      </c>
      <c r="AG92" s="21" t="str">
        <f t="shared" si="13"/>
        <v/>
      </c>
      <c r="AH92" s="216">
        <v>7.27</v>
      </c>
      <c r="AI92" s="216"/>
      <c r="AJ92" s="216" t="str">
        <f t="shared" si="14"/>
        <v/>
      </c>
      <c r="AK92" s="216" t="str">
        <f t="shared" si="15"/>
        <v/>
      </c>
      <c r="AL92" s="216" t="str">
        <f>IF(AJ92="","",OFERTA!$E92/AJ92)</f>
        <v/>
      </c>
      <c r="AR92" s="1"/>
    </row>
    <row r="93" spans="1:44" ht="17.25" hidden="1" thickBot="1" x14ac:dyDescent="0.35">
      <c r="A93" s="220"/>
      <c r="B93" s="227">
        <v>88</v>
      </c>
      <c r="C93" s="232"/>
      <c r="D93" s="21"/>
      <c r="E93" s="21"/>
      <c r="F93" s="23"/>
      <c r="G93" s="23" t="str">
        <f>IF(OFERTA!$C93="","",IF(OFERTA!$F93="","",OFERTA!$F93*OFERTA!$E93))</f>
        <v/>
      </c>
      <c r="H93" s="229" t="str">
        <f>+IF(OFERTA!$F93="","",OFERTA!$G93/OFERTA!$G$216)</f>
        <v/>
      </c>
      <c r="I93" s="230"/>
      <c r="J93" s="230"/>
      <c r="K93" s="230"/>
      <c r="L93" s="230" t="str">
        <f t="shared" si="12"/>
        <v/>
      </c>
      <c r="M93" s="231">
        <f>+'80'!$N$28+'80'!$N$47</f>
        <v>0</v>
      </c>
      <c r="N93" s="231">
        <f>+'80'!$M$28+'80'!$M$47</f>
        <v>0</v>
      </c>
      <c r="O93" s="231">
        <f>IF('80'!$G$39=0,0,'80'!$G$39)</f>
        <v>0</v>
      </c>
      <c r="P93" s="231">
        <f>IF('80'!$G$55=0,0,'80'!$G$55)</f>
        <v>0</v>
      </c>
      <c r="Q93" s="231">
        <f>+OFERTA!$M93+OFERTA!$N93+OFERTA!$O93+OFERTA!$P93</f>
        <v>0</v>
      </c>
      <c r="R93" s="23">
        <f>IF(OFERTA!$M93="","",OFERTA!$M93*OFERTA!$E93)</f>
        <v>0</v>
      </c>
      <c r="S93" s="23">
        <f>IF(OFERTA!$N93="","",OFERTA!$N93*OFERTA!$E93)</f>
        <v>0</v>
      </c>
      <c r="T93" s="23">
        <f>IF(OFERTA!$O93="","",OFERTA!$O93*OFERTA!$E93)</f>
        <v>0</v>
      </c>
      <c r="U93" s="23">
        <f>IF(OFERTA!$P93="","",OFERTA!$P93*OFERTA!$E93)</f>
        <v>0</v>
      </c>
      <c r="V93" s="23">
        <f>IF(OFERTA!$U93="","",OFERTA!$U93+OFERTA!$T93+OFERTA!$S93+OFERTA!$R93)</f>
        <v>0</v>
      </c>
      <c r="W93" s="22">
        <f>IF(OFERTA!$R93="","",OFERTA!$R93/OFERTA!$R$216)</f>
        <v>0</v>
      </c>
      <c r="X93" s="22">
        <f>IF(OFERTA!$S93="","",OFERTA!$S93/OFERTA!$S$216)</f>
        <v>0</v>
      </c>
      <c r="Y93" s="22">
        <f>IF(OFERTA!$T93="","",OFERTA!$T93/OFERTA!$T$216)</f>
        <v>0</v>
      </c>
      <c r="Z93" s="22">
        <f>IF(OFERTA!$U93="","",OFERTA!$U93/OFERTA!$U$216)</f>
        <v>0</v>
      </c>
      <c r="AA93" s="3"/>
      <c r="AB93" s="23" t="str">
        <f>IF(AI93="","",AI93*OFERTA!$Q93)</f>
        <v/>
      </c>
      <c r="AC93" s="23" t="str">
        <f>IF(AI93="","",OFERTA!$N93*AI93)</f>
        <v/>
      </c>
      <c r="AD93" s="23" t="str">
        <f>IF(AI93="","",OFERTA!$M93*AI93)</f>
        <v/>
      </c>
      <c r="AE93" s="23" t="str">
        <f>IF(AI93="","",OFERTA!$P93*AI93)</f>
        <v/>
      </c>
      <c r="AF93" s="23" t="str">
        <f>IF(AI93="","",OFERTA!$O93*AI93)</f>
        <v/>
      </c>
      <c r="AG93" s="21" t="str">
        <f t="shared" si="13"/>
        <v/>
      </c>
      <c r="AH93" s="216">
        <v>7.27</v>
      </c>
      <c r="AI93" s="216"/>
      <c r="AJ93" s="216" t="str">
        <f t="shared" si="14"/>
        <v/>
      </c>
      <c r="AK93" s="216" t="str">
        <f t="shared" si="15"/>
        <v/>
      </c>
      <c r="AL93" s="216" t="str">
        <f>IF(AJ93="","",OFERTA!$E93/AJ93)</f>
        <v/>
      </c>
      <c r="AR93" s="1"/>
    </row>
    <row r="94" spans="1:44" ht="17.25" hidden="1" thickBot="1" x14ac:dyDescent="0.35">
      <c r="A94" s="220"/>
      <c r="B94" s="227">
        <v>89</v>
      </c>
      <c r="C94" s="232"/>
      <c r="D94" s="21"/>
      <c r="E94" s="21"/>
      <c r="F94" s="23"/>
      <c r="G94" s="23" t="str">
        <f>IF(OFERTA!$C94="","",IF(OFERTA!$F94="","",OFERTA!$F94*OFERTA!$E94))</f>
        <v/>
      </c>
      <c r="H94" s="229" t="str">
        <f>+IF(OFERTA!$F94="","",OFERTA!$G94/OFERTA!$G$216)</f>
        <v/>
      </c>
      <c r="I94" s="230"/>
      <c r="J94" s="230"/>
      <c r="K94" s="230"/>
      <c r="L94" s="230" t="str">
        <f t="shared" si="12"/>
        <v/>
      </c>
      <c r="M94" s="231">
        <f>+'80'!$N$28+'80'!$N$47</f>
        <v>0</v>
      </c>
      <c r="N94" s="231">
        <f>+'80'!$M$28+'80'!$M$47</f>
        <v>0</v>
      </c>
      <c r="O94" s="231">
        <f>IF('80'!$G$39=0,0,'80'!$G$39)</f>
        <v>0</v>
      </c>
      <c r="P94" s="231">
        <f>IF('80'!$G$55=0,0,'80'!$G$55)</f>
        <v>0</v>
      </c>
      <c r="Q94" s="231">
        <f>+OFERTA!$M94+OFERTA!$N94+OFERTA!$O94+OFERTA!$P94</f>
        <v>0</v>
      </c>
      <c r="R94" s="23">
        <f>IF(OFERTA!$M94="","",OFERTA!$M94*OFERTA!$E94)</f>
        <v>0</v>
      </c>
      <c r="S94" s="23">
        <f>IF(OFERTA!$N94="","",OFERTA!$N94*OFERTA!$E94)</f>
        <v>0</v>
      </c>
      <c r="T94" s="23">
        <f>IF(OFERTA!$O94="","",OFERTA!$O94*OFERTA!$E94)</f>
        <v>0</v>
      </c>
      <c r="U94" s="23">
        <f>IF(OFERTA!$P94="","",OFERTA!$P94*OFERTA!$E94)</f>
        <v>0</v>
      </c>
      <c r="V94" s="23">
        <f>IF(OFERTA!$U94="","",OFERTA!$U94+OFERTA!$T94+OFERTA!$S94+OFERTA!$R94)</f>
        <v>0</v>
      </c>
      <c r="W94" s="22">
        <f>IF(OFERTA!$R94="","",OFERTA!$R94/OFERTA!$R$216)</f>
        <v>0</v>
      </c>
      <c r="X94" s="22">
        <f>IF(OFERTA!$S94="","",OFERTA!$S94/OFERTA!$S$216)</f>
        <v>0</v>
      </c>
      <c r="Y94" s="22">
        <f>IF(OFERTA!$T94="","",OFERTA!$T94/OFERTA!$T$216)</f>
        <v>0</v>
      </c>
      <c r="Z94" s="22">
        <f>IF(OFERTA!$U94="","",OFERTA!$U94/OFERTA!$U$216)</f>
        <v>0</v>
      </c>
      <c r="AA94" s="3"/>
      <c r="AB94" s="23" t="str">
        <f>IF(AI94="","",AI94*OFERTA!$Q94)</f>
        <v/>
      </c>
      <c r="AC94" s="23" t="str">
        <f>IF(AI94="","",OFERTA!$N94*AI94)</f>
        <v/>
      </c>
      <c r="AD94" s="23" t="str">
        <f>IF(AI94="","",OFERTA!$M94*AI94)</f>
        <v/>
      </c>
      <c r="AE94" s="23" t="str">
        <f>IF(AI94="","",OFERTA!$P94*AI94)</f>
        <v/>
      </c>
      <c r="AF94" s="23" t="str">
        <f>IF(AI94="","",OFERTA!$O94*AI94)</f>
        <v/>
      </c>
      <c r="AG94" s="21" t="str">
        <f t="shared" si="13"/>
        <v/>
      </c>
      <c r="AH94" s="216">
        <v>7.27</v>
      </c>
      <c r="AI94" s="216"/>
      <c r="AJ94" s="216" t="str">
        <f t="shared" si="14"/>
        <v/>
      </c>
      <c r="AK94" s="216" t="str">
        <f t="shared" si="15"/>
        <v/>
      </c>
      <c r="AL94" s="216" t="str">
        <f>IF(AJ94="","",OFERTA!$E94/AJ94)</f>
        <v/>
      </c>
      <c r="AR94" s="1"/>
    </row>
    <row r="95" spans="1:44" ht="17.25" hidden="1" thickBot="1" x14ac:dyDescent="0.35">
      <c r="A95" s="220"/>
      <c r="B95" s="227">
        <v>90</v>
      </c>
      <c r="C95" s="232"/>
      <c r="D95" s="21"/>
      <c r="E95" s="21"/>
      <c r="F95" s="23"/>
      <c r="G95" s="23" t="str">
        <f>IF(OFERTA!$C95="","",IF(OFERTA!$F95="","",OFERTA!$F95*OFERTA!$E95))</f>
        <v/>
      </c>
      <c r="H95" s="229" t="str">
        <f>+IF(OFERTA!$F95="","",OFERTA!$G95/OFERTA!$G$216)</f>
        <v/>
      </c>
      <c r="I95" s="230"/>
      <c r="J95" s="230"/>
      <c r="K95" s="230"/>
      <c r="L95" s="230" t="str">
        <f t="shared" si="12"/>
        <v/>
      </c>
      <c r="M95" s="231">
        <f>+'80'!$N$28+'80'!$N$47</f>
        <v>0</v>
      </c>
      <c r="N95" s="231">
        <f>+'80'!$M$28+'80'!$M$47</f>
        <v>0</v>
      </c>
      <c r="O95" s="231">
        <f>IF('80'!$G$39=0,0,'80'!$G$39)</f>
        <v>0</v>
      </c>
      <c r="P95" s="231">
        <f>IF('80'!$G$55=0,0,'80'!$G$55)</f>
        <v>0</v>
      </c>
      <c r="Q95" s="231">
        <f>+OFERTA!$M95+OFERTA!$N95+OFERTA!$O95+OFERTA!$P95</f>
        <v>0</v>
      </c>
      <c r="R95" s="23">
        <f>IF(OFERTA!$M95="","",OFERTA!$M95*OFERTA!$E95)</f>
        <v>0</v>
      </c>
      <c r="S95" s="23">
        <f>IF(OFERTA!$N95="","",OFERTA!$N95*OFERTA!$E95)</f>
        <v>0</v>
      </c>
      <c r="T95" s="23">
        <f>IF(OFERTA!$O95="","",OFERTA!$O95*OFERTA!$E95)</f>
        <v>0</v>
      </c>
      <c r="U95" s="23">
        <f>IF(OFERTA!$P95="","",OFERTA!$P95*OFERTA!$E95)</f>
        <v>0</v>
      </c>
      <c r="V95" s="23">
        <f>IF(OFERTA!$U95="","",OFERTA!$U95+OFERTA!$T95+OFERTA!$S95+OFERTA!$R95)</f>
        <v>0</v>
      </c>
      <c r="W95" s="22">
        <f>IF(OFERTA!$R95="","",OFERTA!$R95/OFERTA!$R$216)</f>
        <v>0</v>
      </c>
      <c r="X95" s="22">
        <f>IF(OFERTA!$S95="","",OFERTA!$S95/OFERTA!$S$216)</f>
        <v>0</v>
      </c>
      <c r="Y95" s="22">
        <f>IF(OFERTA!$T95="","",OFERTA!$T95/OFERTA!$T$216)</f>
        <v>0</v>
      </c>
      <c r="Z95" s="22">
        <f>IF(OFERTA!$U95="","",OFERTA!$U95/OFERTA!$U$216)</f>
        <v>0</v>
      </c>
      <c r="AA95" s="3"/>
      <c r="AB95" s="23" t="str">
        <f>IF(AI95="","",AI95*OFERTA!$Q95)</f>
        <v/>
      </c>
      <c r="AC95" s="23" t="str">
        <f>IF(AI95="","",OFERTA!$N95*AI95)</f>
        <v/>
      </c>
      <c r="AD95" s="23" t="str">
        <f>IF(AI95="","",OFERTA!$M95*AI95)</f>
        <v/>
      </c>
      <c r="AE95" s="23" t="str">
        <f>IF(AI95="","",OFERTA!$P95*AI95)</f>
        <v/>
      </c>
      <c r="AF95" s="23" t="str">
        <f>IF(AI95="","",OFERTA!$O95*AI95)</f>
        <v/>
      </c>
      <c r="AG95" s="21" t="str">
        <f t="shared" si="13"/>
        <v/>
      </c>
      <c r="AH95" s="216">
        <v>7.27</v>
      </c>
      <c r="AI95" s="216"/>
      <c r="AJ95" s="216" t="str">
        <f t="shared" si="14"/>
        <v/>
      </c>
      <c r="AK95" s="216" t="str">
        <f t="shared" si="15"/>
        <v/>
      </c>
      <c r="AL95" s="216" t="str">
        <f>IF(AJ95="","",OFERTA!$E95/AJ95)</f>
        <v/>
      </c>
      <c r="AR95" s="1"/>
    </row>
    <row r="96" spans="1:44" ht="17.25" hidden="1" thickBot="1" x14ac:dyDescent="0.35">
      <c r="A96" s="220"/>
      <c r="B96" s="227">
        <v>91</v>
      </c>
      <c r="C96" s="232"/>
      <c r="D96" s="21"/>
      <c r="E96" s="21"/>
      <c r="F96" s="23"/>
      <c r="G96" s="23" t="str">
        <f>IF(OFERTA!$C96="","",IF(OFERTA!$F96="","",OFERTA!$F96*OFERTA!$E96))</f>
        <v/>
      </c>
      <c r="H96" s="229" t="str">
        <f>+IF(OFERTA!$F96="","",OFERTA!$G96/OFERTA!$G$216)</f>
        <v/>
      </c>
      <c r="I96" s="230"/>
      <c r="J96" s="230"/>
      <c r="K96" s="230"/>
      <c r="L96" s="230" t="str">
        <f t="shared" si="12"/>
        <v/>
      </c>
      <c r="M96" s="231">
        <f>+'80'!$N$28+'80'!$N$47</f>
        <v>0</v>
      </c>
      <c r="N96" s="231">
        <f>+'80'!$M$28+'80'!$M$47</f>
        <v>0</v>
      </c>
      <c r="O96" s="231">
        <f>IF('80'!$G$39=0,0,'80'!$G$39)</f>
        <v>0</v>
      </c>
      <c r="P96" s="231">
        <f>IF('80'!$G$55=0,0,'80'!$G$55)</f>
        <v>0</v>
      </c>
      <c r="Q96" s="231">
        <f>+OFERTA!$M96+OFERTA!$N96+OFERTA!$O96+OFERTA!$P96</f>
        <v>0</v>
      </c>
      <c r="R96" s="23">
        <f>IF(OFERTA!$M96="","",OFERTA!$M96*OFERTA!$E96)</f>
        <v>0</v>
      </c>
      <c r="S96" s="23">
        <f>IF(OFERTA!$N96="","",OFERTA!$N96*OFERTA!$E96)</f>
        <v>0</v>
      </c>
      <c r="T96" s="23">
        <f>IF(OFERTA!$O96="","",OFERTA!$O96*OFERTA!$E96)</f>
        <v>0</v>
      </c>
      <c r="U96" s="23">
        <f>IF(OFERTA!$P96="","",OFERTA!$P96*OFERTA!$E96)</f>
        <v>0</v>
      </c>
      <c r="V96" s="23">
        <f>IF(OFERTA!$U96="","",OFERTA!$U96+OFERTA!$T96+OFERTA!$S96+OFERTA!$R96)</f>
        <v>0</v>
      </c>
      <c r="W96" s="22">
        <f>IF(OFERTA!$R96="","",OFERTA!$R96/OFERTA!$R$216)</f>
        <v>0</v>
      </c>
      <c r="X96" s="22">
        <f>IF(OFERTA!$S96="","",OFERTA!$S96/OFERTA!$S$216)</f>
        <v>0</v>
      </c>
      <c r="Y96" s="22">
        <f>IF(OFERTA!$T96="","",OFERTA!$T96/OFERTA!$T$216)</f>
        <v>0</v>
      </c>
      <c r="Z96" s="22">
        <f>IF(OFERTA!$U96="","",OFERTA!$U96/OFERTA!$U$216)</f>
        <v>0</v>
      </c>
      <c r="AA96" s="3"/>
      <c r="AB96" s="23" t="str">
        <f>IF(AI96="","",AI96*OFERTA!$Q96)</f>
        <v/>
      </c>
      <c r="AC96" s="23" t="str">
        <f>IF(AI96="","",OFERTA!$N96*AI96)</f>
        <v/>
      </c>
      <c r="AD96" s="23" t="str">
        <f>IF(AI96="","",OFERTA!$M96*AI96)</f>
        <v/>
      </c>
      <c r="AE96" s="23" t="str">
        <f>IF(AI96="","",OFERTA!$P96*AI96)</f>
        <v/>
      </c>
      <c r="AF96" s="23" t="str">
        <f>IF(AI96="","",OFERTA!$O96*AI96)</f>
        <v/>
      </c>
      <c r="AG96" s="21" t="str">
        <f t="shared" si="13"/>
        <v/>
      </c>
      <c r="AH96" s="216">
        <v>7.27</v>
      </c>
      <c r="AI96" s="216"/>
      <c r="AJ96" s="216" t="str">
        <f t="shared" si="14"/>
        <v/>
      </c>
      <c r="AK96" s="216" t="str">
        <f t="shared" si="15"/>
        <v/>
      </c>
      <c r="AL96" s="216" t="str">
        <f>IF(AJ96="","",OFERTA!$E96/AJ96)</f>
        <v/>
      </c>
      <c r="AR96" s="1"/>
    </row>
    <row r="97" spans="1:44" ht="17.25" hidden="1" thickBot="1" x14ac:dyDescent="0.35">
      <c r="A97" s="220"/>
      <c r="B97" s="227">
        <v>92</v>
      </c>
      <c r="C97" s="232"/>
      <c r="D97" s="21"/>
      <c r="E97" s="21"/>
      <c r="F97" s="23"/>
      <c r="G97" s="23" t="str">
        <f>IF(OFERTA!$C97="","",IF(OFERTA!$F97="","",OFERTA!$F97*OFERTA!$E97))</f>
        <v/>
      </c>
      <c r="H97" s="229" t="str">
        <f>+IF(OFERTA!$F97="","",OFERTA!$G97/OFERTA!$G$216)</f>
        <v/>
      </c>
      <c r="I97" s="230"/>
      <c r="J97" s="230"/>
      <c r="K97" s="230"/>
      <c r="L97" s="230" t="str">
        <f t="shared" si="12"/>
        <v/>
      </c>
      <c r="M97" s="231">
        <f>+'80'!$N$28+'80'!$N$47</f>
        <v>0</v>
      </c>
      <c r="N97" s="231">
        <f>+'80'!$M$28+'80'!$M$47</f>
        <v>0</v>
      </c>
      <c r="O97" s="231">
        <f>IF('80'!$G$39=0,0,'80'!$G$39)</f>
        <v>0</v>
      </c>
      <c r="P97" s="231">
        <f>IF('80'!$G$55=0,0,'80'!$G$55)</f>
        <v>0</v>
      </c>
      <c r="Q97" s="231">
        <f>+OFERTA!$M97+OFERTA!$N97+OFERTA!$O97+OFERTA!$P97</f>
        <v>0</v>
      </c>
      <c r="R97" s="23">
        <f>IF(OFERTA!$M97="","",OFERTA!$M97*OFERTA!$E97)</f>
        <v>0</v>
      </c>
      <c r="S97" s="23">
        <f>IF(OFERTA!$N97="","",OFERTA!$N97*OFERTA!$E97)</f>
        <v>0</v>
      </c>
      <c r="T97" s="23">
        <f>IF(OFERTA!$O97="","",OFERTA!$O97*OFERTA!$E97)</f>
        <v>0</v>
      </c>
      <c r="U97" s="23">
        <f>IF(OFERTA!$P97="","",OFERTA!$P97*OFERTA!$E97)</f>
        <v>0</v>
      </c>
      <c r="V97" s="23">
        <f>IF(OFERTA!$U97="","",OFERTA!$U97+OFERTA!$T97+OFERTA!$S97+OFERTA!$R97)</f>
        <v>0</v>
      </c>
      <c r="W97" s="22">
        <f>IF(OFERTA!$R97="","",OFERTA!$R97/OFERTA!$R$216)</f>
        <v>0</v>
      </c>
      <c r="X97" s="22">
        <f>IF(OFERTA!$S97="","",OFERTA!$S97/OFERTA!$S$216)</f>
        <v>0</v>
      </c>
      <c r="Y97" s="22">
        <f>IF(OFERTA!$T97="","",OFERTA!$T97/OFERTA!$T$216)</f>
        <v>0</v>
      </c>
      <c r="Z97" s="22">
        <f>IF(OFERTA!$U97="","",OFERTA!$U97/OFERTA!$U$216)</f>
        <v>0</v>
      </c>
      <c r="AA97" s="3"/>
      <c r="AB97" s="23" t="str">
        <f>IF(AI97="","",AI97*OFERTA!$Q97)</f>
        <v/>
      </c>
      <c r="AC97" s="23" t="str">
        <f>IF(AI97="","",OFERTA!$N97*AI97)</f>
        <v/>
      </c>
      <c r="AD97" s="23" t="str">
        <f>IF(AI97="","",OFERTA!$M97*AI97)</f>
        <v/>
      </c>
      <c r="AE97" s="23" t="str">
        <f>IF(AI97="","",OFERTA!$P97*AI97)</f>
        <v/>
      </c>
      <c r="AF97" s="23" t="str">
        <f>IF(AI97="","",OFERTA!$O97*AI97)</f>
        <v/>
      </c>
      <c r="AG97" s="21" t="str">
        <f t="shared" si="13"/>
        <v/>
      </c>
      <c r="AH97" s="216">
        <v>7.27</v>
      </c>
      <c r="AI97" s="216"/>
      <c r="AJ97" s="216" t="str">
        <f t="shared" si="14"/>
        <v/>
      </c>
      <c r="AK97" s="216" t="str">
        <f t="shared" si="15"/>
        <v/>
      </c>
      <c r="AL97" s="216" t="str">
        <f>IF(AJ97="","",OFERTA!$E97/AJ97)</f>
        <v/>
      </c>
      <c r="AR97" s="1"/>
    </row>
    <row r="98" spans="1:44" ht="17.25" hidden="1" thickBot="1" x14ac:dyDescent="0.35">
      <c r="A98" s="220"/>
      <c r="B98" s="227">
        <v>93</v>
      </c>
      <c r="C98" s="232"/>
      <c r="D98" s="21"/>
      <c r="E98" s="21"/>
      <c r="F98" s="23"/>
      <c r="G98" s="23" t="str">
        <f>IF(OFERTA!$C98="","",IF(OFERTA!$F98="","",OFERTA!$F98*OFERTA!$E98))</f>
        <v/>
      </c>
      <c r="H98" s="229" t="str">
        <f>+IF(OFERTA!$F98="","",OFERTA!$G98/OFERTA!$G$216)</f>
        <v/>
      </c>
      <c r="I98" s="230"/>
      <c r="J98" s="230"/>
      <c r="K98" s="230"/>
      <c r="L98" s="230" t="str">
        <f t="shared" si="12"/>
        <v/>
      </c>
      <c r="M98" s="231">
        <f>+'80'!$N$28+'80'!$N$47</f>
        <v>0</v>
      </c>
      <c r="N98" s="231">
        <f>+'80'!$M$28+'80'!$M$47</f>
        <v>0</v>
      </c>
      <c r="O98" s="231">
        <f>IF('80'!$G$39=0,0,'80'!$G$39)</f>
        <v>0</v>
      </c>
      <c r="P98" s="231">
        <f>IF('80'!$G$55=0,0,'80'!$G$55)</f>
        <v>0</v>
      </c>
      <c r="Q98" s="231">
        <f>+OFERTA!$M98+OFERTA!$N98+OFERTA!$O98+OFERTA!$P98</f>
        <v>0</v>
      </c>
      <c r="R98" s="23">
        <f>IF(OFERTA!$M98="","",OFERTA!$M98*OFERTA!$E98)</f>
        <v>0</v>
      </c>
      <c r="S98" s="23">
        <f>IF(OFERTA!$N98="","",OFERTA!$N98*OFERTA!$E98)</f>
        <v>0</v>
      </c>
      <c r="T98" s="23">
        <f>IF(OFERTA!$O98="","",OFERTA!$O98*OFERTA!$E98)</f>
        <v>0</v>
      </c>
      <c r="U98" s="23">
        <f>IF(OFERTA!$P98="","",OFERTA!$P98*OFERTA!$E98)</f>
        <v>0</v>
      </c>
      <c r="V98" s="23">
        <f>IF(OFERTA!$U98="","",OFERTA!$U98+OFERTA!$T98+OFERTA!$S98+OFERTA!$R98)</f>
        <v>0</v>
      </c>
      <c r="W98" s="22">
        <f>IF(OFERTA!$R98="","",OFERTA!$R98/OFERTA!$R$216)</f>
        <v>0</v>
      </c>
      <c r="X98" s="22">
        <f>IF(OFERTA!$S98="","",OFERTA!$S98/OFERTA!$S$216)</f>
        <v>0</v>
      </c>
      <c r="Y98" s="22">
        <f>IF(OFERTA!$T98="","",OFERTA!$T98/OFERTA!$T$216)</f>
        <v>0</v>
      </c>
      <c r="Z98" s="22">
        <f>IF(OFERTA!$U98="","",OFERTA!$U98/OFERTA!$U$216)</f>
        <v>0</v>
      </c>
      <c r="AA98" s="3"/>
      <c r="AB98" s="23" t="str">
        <f>IF(AI98="","",AI98*OFERTA!$Q98)</f>
        <v/>
      </c>
      <c r="AC98" s="23" t="str">
        <f>IF(AI98="","",OFERTA!$N98*AI98)</f>
        <v/>
      </c>
      <c r="AD98" s="23" t="str">
        <f>IF(AI98="","",OFERTA!$M98*AI98)</f>
        <v/>
      </c>
      <c r="AE98" s="23" t="str">
        <f>IF(AI98="","",OFERTA!$P98*AI98)</f>
        <v/>
      </c>
      <c r="AF98" s="23" t="str">
        <f>IF(AI98="","",OFERTA!$O98*AI98)</f>
        <v/>
      </c>
      <c r="AG98" s="21" t="str">
        <f t="shared" si="13"/>
        <v/>
      </c>
      <c r="AH98" s="216">
        <v>7.27</v>
      </c>
      <c r="AI98" s="216"/>
      <c r="AJ98" s="216" t="str">
        <f t="shared" si="14"/>
        <v/>
      </c>
      <c r="AK98" s="216" t="str">
        <f t="shared" si="15"/>
        <v/>
      </c>
      <c r="AL98" s="216" t="str">
        <f>IF(AJ98="","",OFERTA!$E98/AJ98)</f>
        <v/>
      </c>
      <c r="AR98" s="1"/>
    </row>
    <row r="99" spans="1:44" ht="17.25" hidden="1" thickBot="1" x14ac:dyDescent="0.35">
      <c r="A99" s="220"/>
      <c r="B99" s="227">
        <v>94</v>
      </c>
      <c r="C99" s="232"/>
      <c r="D99" s="21"/>
      <c r="E99" s="21"/>
      <c r="F99" s="23"/>
      <c r="G99" s="23" t="str">
        <f>IF(OFERTA!$C99="","",IF(OFERTA!$F99="","",OFERTA!$F99*OFERTA!$E99))</f>
        <v/>
      </c>
      <c r="H99" s="229" t="str">
        <f>+IF(OFERTA!$F99="","",OFERTA!$G99/OFERTA!$G$216)</f>
        <v/>
      </c>
      <c r="I99" s="230"/>
      <c r="J99" s="230"/>
      <c r="K99" s="230"/>
      <c r="L99" s="230" t="str">
        <f t="shared" si="12"/>
        <v/>
      </c>
      <c r="M99" s="231">
        <f>+'80'!$N$28+'80'!$N$47</f>
        <v>0</v>
      </c>
      <c r="N99" s="231">
        <f>+'80'!$M$28+'80'!$M$47</f>
        <v>0</v>
      </c>
      <c r="O99" s="231">
        <f>IF('80'!$G$39=0,0,'80'!$G$39)</f>
        <v>0</v>
      </c>
      <c r="P99" s="231">
        <f>IF('80'!$G$55=0,0,'80'!$G$55)</f>
        <v>0</v>
      </c>
      <c r="Q99" s="231">
        <f>+OFERTA!$M99+OFERTA!$N99+OFERTA!$O99+OFERTA!$P99</f>
        <v>0</v>
      </c>
      <c r="R99" s="23">
        <f>IF(OFERTA!$M99="","",OFERTA!$M99*OFERTA!$E99)</f>
        <v>0</v>
      </c>
      <c r="S99" s="23">
        <f>IF(OFERTA!$N99="","",OFERTA!$N99*OFERTA!$E99)</f>
        <v>0</v>
      </c>
      <c r="T99" s="23">
        <f>IF(OFERTA!$O99="","",OFERTA!$O99*OFERTA!$E99)</f>
        <v>0</v>
      </c>
      <c r="U99" s="23">
        <f>IF(OFERTA!$P99="","",OFERTA!$P99*OFERTA!$E99)</f>
        <v>0</v>
      </c>
      <c r="V99" s="23">
        <f>IF(OFERTA!$U99="","",OFERTA!$U99+OFERTA!$T99+OFERTA!$S99+OFERTA!$R99)</f>
        <v>0</v>
      </c>
      <c r="W99" s="22">
        <f>IF(OFERTA!$R99="","",OFERTA!$R99/OFERTA!$R$216)</f>
        <v>0</v>
      </c>
      <c r="X99" s="22">
        <f>IF(OFERTA!$S99="","",OFERTA!$S99/OFERTA!$S$216)</f>
        <v>0</v>
      </c>
      <c r="Y99" s="22">
        <f>IF(OFERTA!$T99="","",OFERTA!$T99/OFERTA!$T$216)</f>
        <v>0</v>
      </c>
      <c r="Z99" s="22">
        <f>IF(OFERTA!$U99="","",OFERTA!$U99/OFERTA!$U$216)</f>
        <v>0</v>
      </c>
      <c r="AA99" s="3"/>
      <c r="AB99" s="23" t="str">
        <f>IF(AI99="","",AI99*OFERTA!$Q99)</f>
        <v/>
      </c>
      <c r="AC99" s="23" t="str">
        <f>IF(AI99="","",OFERTA!$N99*AI99)</f>
        <v/>
      </c>
      <c r="AD99" s="23" t="str">
        <f>IF(AI99="","",OFERTA!$M99*AI99)</f>
        <v/>
      </c>
      <c r="AE99" s="23" t="str">
        <f>IF(AI99="","",OFERTA!$P99*AI99)</f>
        <v/>
      </c>
      <c r="AF99" s="23" t="str">
        <f>IF(AI99="","",OFERTA!$O99*AI99)</f>
        <v/>
      </c>
      <c r="AG99" s="21" t="str">
        <f t="shared" si="13"/>
        <v/>
      </c>
      <c r="AH99" s="216">
        <v>7.27</v>
      </c>
      <c r="AI99" s="216"/>
      <c r="AJ99" s="216" t="str">
        <f t="shared" si="14"/>
        <v/>
      </c>
      <c r="AK99" s="216" t="str">
        <f t="shared" si="15"/>
        <v/>
      </c>
      <c r="AL99" s="216" t="str">
        <f>IF(AJ99="","",OFERTA!$E99/AJ99)</f>
        <v/>
      </c>
      <c r="AR99" s="1"/>
    </row>
    <row r="100" spans="1:44" ht="17.25" hidden="1" thickBot="1" x14ac:dyDescent="0.35">
      <c r="A100" s="220"/>
      <c r="B100" s="227">
        <v>95</v>
      </c>
      <c r="C100" s="232"/>
      <c r="D100" s="21"/>
      <c r="E100" s="21"/>
      <c r="F100" s="23"/>
      <c r="G100" s="23" t="str">
        <f>IF(OFERTA!$C100="","",IF(OFERTA!$F100="","",OFERTA!$F100*OFERTA!$E100))</f>
        <v/>
      </c>
      <c r="H100" s="229" t="str">
        <f>+IF(OFERTA!$F100="","",OFERTA!$G100/OFERTA!$G$216)</f>
        <v/>
      </c>
      <c r="I100" s="230"/>
      <c r="J100" s="230"/>
      <c r="K100" s="230"/>
      <c r="L100" s="230" t="str">
        <f t="shared" si="12"/>
        <v/>
      </c>
      <c r="M100" s="231">
        <f>+'80'!$N$28+'80'!$N$47</f>
        <v>0</v>
      </c>
      <c r="N100" s="231">
        <f>+'80'!$M$28+'80'!$M$47</f>
        <v>0</v>
      </c>
      <c r="O100" s="231">
        <f>IF('80'!$G$39=0,0,'80'!$G$39)</f>
        <v>0</v>
      </c>
      <c r="P100" s="231">
        <f>IF('80'!$G$55=0,0,'80'!$G$55)</f>
        <v>0</v>
      </c>
      <c r="Q100" s="231">
        <f>+OFERTA!$M100+OFERTA!$N100+OFERTA!$O100+OFERTA!$P100</f>
        <v>0</v>
      </c>
      <c r="R100" s="23">
        <f>IF(OFERTA!$M100="","",OFERTA!$M100*OFERTA!$E100)</f>
        <v>0</v>
      </c>
      <c r="S100" s="23">
        <f>IF(OFERTA!$N100="","",OFERTA!$N100*OFERTA!$E100)</f>
        <v>0</v>
      </c>
      <c r="T100" s="23">
        <f>IF(OFERTA!$O100="","",OFERTA!$O100*OFERTA!$E100)</f>
        <v>0</v>
      </c>
      <c r="U100" s="23">
        <f>IF(OFERTA!$P100="","",OFERTA!$P100*OFERTA!$E100)</f>
        <v>0</v>
      </c>
      <c r="V100" s="23">
        <f>IF(OFERTA!$U100="","",OFERTA!$U100+OFERTA!$T100+OFERTA!$S100+OFERTA!$R100)</f>
        <v>0</v>
      </c>
      <c r="W100" s="22">
        <f>IF(OFERTA!$R100="","",OFERTA!$R100/OFERTA!$R$216)</f>
        <v>0</v>
      </c>
      <c r="X100" s="22">
        <f>IF(OFERTA!$S100="","",OFERTA!$S100/OFERTA!$S$216)</f>
        <v>0</v>
      </c>
      <c r="Y100" s="22">
        <f>IF(OFERTA!$T100="","",OFERTA!$T100/OFERTA!$T$216)</f>
        <v>0</v>
      </c>
      <c r="Z100" s="22">
        <f>IF(OFERTA!$U100="","",OFERTA!$U100/OFERTA!$U$216)</f>
        <v>0</v>
      </c>
      <c r="AA100" s="3"/>
      <c r="AB100" s="23" t="str">
        <f>IF(AI100="","",AI100*OFERTA!$Q100)</f>
        <v/>
      </c>
      <c r="AC100" s="23" t="str">
        <f>IF(AI100="","",OFERTA!$N100*AI100)</f>
        <v/>
      </c>
      <c r="AD100" s="23" t="str">
        <f>IF(AI100="","",OFERTA!$M100*AI100)</f>
        <v/>
      </c>
      <c r="AE100" s="23" t="str">
        <f>IF(AI100="","",OFERTA!$P100*AI100)</f>
        <v/>
      </c>
      <c r="AF100" s="23" t="str">
        <f>IF(AI100="","",OFERTA!$O100*AI100)</f>
        <v/>
      </c>
      <c r="AG100" s="21" t="str">
        <f t="shared" si="13"/>
        <v/>
      </c>
      <c r="AH100" s="216">
        <v>7.27</v>
      </c>
      <c r="AI100" s="216"/>
      <c r="AJ100" s="216" t="str">
        <f t="shared" si="14"/>
        <v/>
      </c>
      <c r="AK100" s="216" t="str">
        <f t="shared" si="15"/>
        <v/>
      </c>
      <c r="AL100" s="216" t="str">
        <f>IF(AJ100="","",OFERTA!$E100/AJ100)</f>
        <v/>
      </c>
      <c r="AR100" s="1"/>
    </row>
    <row r="101" spans="1:44" ht="17.25" hidden="1" thickBot="1" x14ac:dyDescent="0.35">
      <c r="A101" s="220"/>
      <c r="B101" s="227">
        <v>96</v>
      </c>
      <c r="C101" s="232"/>
      <c r="D101" s="21"/>
      <c r="E101" s="21"/>
      <c r="F101" s="23"/>
      <c r="G101" s="23" t="str">
        <f>IF(OFERTA!$C101="","",IF(OFERTA!$F101="","",OFERTA!$F101*OFERTA!$E101))</f>
        <v/>
      </c>
      <c r="H101" s="229" t="str">
        <f>+IF(OFERTA!$F101="","",OFERTA!$G101/OFERTA!$G$216)</f>
        <v/>
      </c>
      <c r="I101" s="230"/>
      <c r="J101" s="230"/>
      <c r="K101" s="230"/>
      <c r="L101" s="230" t="str">
        <f t="shared" si="12"/>
        <v/>
      </c>
      <c r="M101" s="231">
        <f>+'80'!$N$28+'80'!$N$47</f>
        <v>0</v>
      </c>
      <c r="N101" s="231">
        <f>+'80'!$M$28+'80'!$M$47</f>
        <v>0</v>
      </c>
      <c r="O101" s="231">
        <f>IF('80'!$G$39=0,0,'80'!$G$39)</f>
        <v>0</v>
      </c>
      <c r="P101" s="231">
        <f>IF('80'!$G$55=0,0,'80'!$G$55)</f>
        <v>0</v>
      </c>
      <c r="Q101" s="231">
        <f>+OFERTA!$M101+OFERTA!$N101+OFERTA!$O101+OFERTA!$P101</f>
        <v>0</v>
      </c>
      <c r="R101" s="23">
        <f>IF(OFERTA!$M101="","",OFERTA!$M101*OFERTA!$E101)</f>
        <v>0</v>
      </c>
      <c r="S101" s="23">
        <f>IF(OFERTA!$N101="","",OFERTA!$N101*OFERTA!$E101)</f>
        <v>0</v>
      </c>
      <c r="T101" s="23">
        <f>IF(OFERTA!$O101="","",OFERTA!$O101*OFERTA!$E101)</f>
        <v>0</v>
      </c>
      <c r="U101" s="23">
        <f>IF(OFERTA!$P101="","",OFERTA!$P101*OFERTA!$E101)</f>
        <v>0</v>
      </c>
      <c r="V101" s="23">
        <f>IF(OFERTA!$U101="","",OFERTA!$U101+OFERTA!$T101+OFERTA!$S101+OFERTA!$R101)</f>
        <v>0</v>
      </c>
      <c r="W101" s="22">
        <f>IF(OFERTA!$R101="","",OFERTA!$R101/OFERTA!$R$216)</f>
        <v>0</v>
      </c>
      <c r="X101" s="22">
        <f>IF(OFERTA!$S101="","",OFERTA!$S101/OFERTA!$S$216)</f>
        <v>0</v>
      </c>
      <c r="Y101" s="22">
        <f>IF(OFERTA!$T101="","",OFERTA!$T101/OFERTA!$T$216)</f>
        <v>0</v>
      </c>
      <c r="Z101" s="22">
        <f>IF(OFERTA!$U101="","",OFERTA!$U101/OFERTA!$U$216)</f>
        <v>0</v>
      </c>
      <c r="AA101" s="3"/>
      <c r="AB101" s="23" t="str">
        <f>IF(AI101="","",AI101*OFERTA!$Q101)</f>
        <v/>
      </c>
      <c r="AC101" s="23" t="str">
        <f>IF(AI101="","",OFERTA!$N101*AI101)</f>
        <v/>
      </c>
      <c r="AD101" s="23" t="str">
        <f>IF(AI101="","",OFERTA!$M101*AI101)</f>
        <v/>
      </c>
      <c r="AE101" s="23" t="str">
        <f>IF(AI101="","",OFERTA!$P101*AI101)</f>
        <v/>
      </c>
      <c r="AF101" s="23" t="str">
        <f>IF(AI101="","",OFERTA!$O101*AI101)</f>
        <v/>
      </c>
      <c r="AG101" s="21" t="str">
        <f t="shared" si="13"/>
        <v/>
      </c>
      <c r="AH101" s="216">
        <v>7.27</v>
      </c>
      <c r="AI101" s="216"/>
      <c r="AJ101" s="216" t="str">
        <f t="shared" si="14"/>
        <v/>
      </c>
      <c r="AK101" s="216" t="str">
        <f t="shared" si="15"/>
        <v/>
      </c>
      <c r="AL101" s="216" t="str">
        <f>IF(AJ101="","",OFERTA!$E101/AJ101)</f>
        <v/>
      </c>
      <c r="AR101" s="1"/>
    </row>
    <row r="102" spans="1:44" ht="17.25" hidden="1" thickBot="1" x14ac:dyDescent="0.35">
      <c r="A102" s="220"/>
      <c r="B102" s="227">
        <v>97</v>
      </c>
      <c r="C102" s="232"/>
      <c r="D102" s="21"/>
      <c r="E102" s="21"/>
      <c r="F102" s="23"/>
      <c r="G102" s="23" t="str">
        <f>IF(OFERTA!$C102="","",IF(OFERTA!$F102="","",OFERTA!$F102*OFERTA!$E102))</f>
        <v/>
      </c>
      <c r="H102" s="229" t="str">
        <f>+IF(OFERTA!$F102="","",OFERTA!$G102/OFERTA!$G$216)</f>
        <v/>
      </c>
      <c r="I102" s="230"/>
      <c r="J102" s="230"/>
      <c r="K102" s="230"/>
      <c r="L102" s="230" t="str">
        <f t="shared" si="12"/>
        <v/>
      </c>
      <c r="M102" s="231">
        <f>+'80'!$N$28+'80'!$N$47</f>
        <v>0</v>
      </c>
      <c r="N102" s="231">
        <f>+'80'!$M$28+'80'!$M$47</f>
        <v>0</v>
      </c>
      <c r="O102" s="231">
        <f>IF('80'!$G$39=0,0,'80'!$G$39)</f>
        <v>0</v>
      </c>
      <c r="P102" s="231">
        <f>IF('80'!$G$55=0,0,'80'!$G$55)</f>
        <v>0</v>
      </c>
      <c r="Q102" s="231">
        <f>+OFERTA!$M102+OFERTA!$N102+OFERTA!$O102+OFERTA!$P102</f>
        <v>0</v>
      </c>
      <c r="R102" s="23">
        <f>IF(OFERTA!$M102="","",OFERTA!$M102*OFERTA!$E102)</f>
        <v>0</v>
      </c>
      <c r="S102" s="23">
        <f>IF(OFERTA!$N102="","",OFERTA!$N102*OFERTA!$E102)</f>
        <v>0</v>
      </c>
      <c r="T102" s="23">
        <f>IF(OFERTA!$O102="","",OFERTA!$O102*OFERTA!$E102)</f>
        <v>0</v>
      </c>
      <c r="U102" s="23">
        <f>IF(OFERTA!$P102="","",OFERTA!$P102*OFERTA!$E102)</f>
        <v>0</v>
      </c>
      <c r="V102" s="23">
        <f>IF(OFERTA!$U102="","",OFERTA!$U102+OFERTA!$T102+OFERTA!$S102+OFERTA!$R102)</f>
        <v>0</v>
      </c>
      <c r="W102" s="22">
        <f>IF(OFERTA!$R102="","",OFERTA!$R102/OFERTA!$R$216)</f>
        <v>0</v>
      </c>
      <c r="X102" s="22">
        <f>IF(OFERTA!$S102="","",OFERTA!$S102/OFERTA!$S$216)</f>
        <v>0</v>
      </c>
      <c r="Y102" s="22">
        <f>IF(OFERTA!$T102="","",OFERTA!$T102/OFERTA!$T$216)</f>
        <v>0</v>
      </c>
      <c r="Z102" s="22">
        <f>IF(OFERTA!$U102="","",OFERTA!$U102/OFERTA!$U$216)</f>
        <v>0</v>
      </c>
      <c r="AA102" s="3"/>
      <c r="AB102" s="23" t="str">
        <f>IF(AI102="","",AI102*OFERTA!$Q102)</f>
        <v/>
      </c>
      <c r="AC102" s="23" t="str">
        <f>IF(AI102="","",OFERTA!$N102*AI102)</f>
        <v/>
      </c>
      <c r="AD102" s="23" t="str">
        <f>IF(AI102="","",OFERTA!$M102*AI102)</f>
        <v/>
      </c>
      <c r="AE102" s="23" t="str">
        <f>IF(AI102="","",OFERTA!$P102*AI102)</f>
        <v/>
      </c>
      <c r="AF102" s="23" t="str">
        <f>IF(AI102="","",OFERTA!$O102*AI102)</f>
        <v/>
      </c>
      <c r="AG102" s="21" t="str">
        <f t="shared" si="13"/>
        <v/>
      </c>
      <c r="AH102" s="216">
        <v>7.27</v>
      </c>
      <c r="AI102" s="216"/>
      <c r="AJ102" s="216" t="str">
        <f t="shared" si="14"/>
        <v/>
      </c>
      <c r="AK102" s="216" t="str">
        <f t="shared" si="15"/>
        <v/>
      </c>
      <c r="AL102" s="216" t="str">
        <f>IF(AJ102="","",OFERTA!$E102/AJ102)</f>
        <v/>
      </c>
      <c r="AR102" s="1"/>
    </row>
    <row r="103" spans="1:44" ht="17.25" hidden="1" thickBot="1" x14ac:dyDescent="0.35">
      <c r="A103" s="220"/>
      <c r="B103" s="227">
        <v>98</v>
      </c>
      <c r="C103" s="232"/>
      <c r="D103" s="21"/>
      <c r="E103" s="21"/>
      <c r="F103" s="23"/>
      <c r="G103" s="23" t="str">
        <f>IF(OFERTA!$C103="","",IF(OFERTA!$F103="","",OFERTA!$F103*OFERTA!$E103))</f>
        <v/>
      </c>
      <c r="H103" s="229" t="str">
        <f>+IF(OFERTA!$F103="","",OFERTA!$G103/OFERTA!$G$216)</f>
        <v/>
      </c>
      <c r="I103" s="230"/>
      <c r="J103" s="230"/>
      <c r="K103" s="230"/>
      <c r="L103" s="230" t="str">
        <f t="shared" si="12"/>
        <v/>
      </c>
      <c r="M103" s="231">
        <f>+'80'!$N$28+'80'!$N$47</f>
        <v>0</v>
      </c>
      <c r="N103" s="231">
        <f>+'80'!$M$28+'80'!$M$47</f>
        <v>0</v>
      </c>
      <c r="O103" s="231">
        <f>IF('80'!$G$39=0,0,'80'!$G$39)</f>
        <v>0</v>
      </c>
      <c r="P103" s="231">
        <f>IF('80'!$G$55=0,0,'80'!$G$55)</f>
        <v>0</v>
      </c>
      <c r="Q103" s="231">
        <f>+OFERTA!$M103+OFERTA!$N103+OFERTA!$O103+OFERTA!$P103</f>
        <v>0</v>
      </c>
      <c r="R103" s="23">
        <f>IF(OFERTA!$M103="","",OFERTA!$M103*OFERTA!$E103)</f>
        <v>0</v>
      </c>
      <c r="S103" s="23">
        <f>IF(OFERTA!$N103="","",OFERTA!$N103*OFERTA!$E103)</f>
        <v>0</v>
      </c>
      <c r="T103" s="23">
        <f>IF(OFERTA!$O103="","",OFERTA!$O103*OFERTA!$E103)</f>
        <v>0</v>
      </c>
      <c r="U103" s="23">
        <f>IF(OFERTA!$P103="","",OFERTA!$P103*OFERTA!$E103)</f>
        <v>0</v>
      </c>
      <c r="V103" s="23">
        <f>IF(OFERTA!$U103="","",OFERTA!$U103+OFERTA!$T103+OFERTA!$S103+OFERTA!$R103)</f>
        <v>0</v>
      </c>
      <c r="W103" s="22">
        <f>IF(OFERTA!$R103="","",OFERTA!$R103/OFERTA!$R$216)</f>
        <v>0</v>
      </c>
      <c r="X103" s="22">
        <f>IF(OFERTA!$S103="","",OFERTA!$S103/OFERTA!$S$216)</f>
        <v>0</v>
      </c>
      <c r="Y103" s="22">
        <f>IF(OFERTA!$T103="","",OFERTA!$T103/OFERTA!$T$216)</f>
        <v>0</v>
      </c>
      <c r="Z103" s="22">
        <f>IF(OFERTA!$U103="","",OFERTA!$U103/OFERTA!$U$216)</f>
        <v>0</v>
      </c>
      <c r="AA103" s="3"/>
      <c r="AB103" s="23" t="str">
        <f>IF(AI103="","",AI103*OFERTA!$Q103)</f>
        <v/>
      </c>
      <c r="AC103" s="23" t="str">
        <f>IF(AI103="","",OFERTA!$N103*AI103)</f>
        <v/>
      </c>
      <c r="AD103" s="23" t="str">
        <f>IF(AI103="","",OFERTA!$M103*AI103)</f>
        <v/>
      </c>
      <c r="AE103" s="23" t="str">
        <f>IF(AI103="","",OFERTA!$P103*AI103)</f>
        <v/>
      </c>
      <c r="AF103" s="23" t="str">
        <f>IF(AI103="","",OFERTA!$O103*AI103)</f>
        <v/>
      </c>
      <c r="AG103" s="21" t="str">
        <f t="shared" si="13"/>
        <v/>
      </c>
      <c r="AH103" s="216">
        <v>7.27</v>
      </c>
      <c r="AI103" s="216"/>
      <c r="AJ103" s="216" t="str">
        <f t="shared" si="14"/>
        <v/>
      </c>
      <c r="AK103" s="216" t="str">
        <f t="shared" si="15"/>
        <v/>
      </c>
      <c r="AL103" s="216" t="str">
        <f>IF(AJ103="","",OFERTA!$E103/AJ103)</f>
        <v/>
      </c>
      <c r="AR103" s="1"/>
    </row>
    <row r="104" spans="1:44" ht="17.25" hidden="1" thickBot="1" x14ac:dyDescent="0.35">
      <c r="A104" s="220"/>
      <c r="B104" s="227">
        <v>99</v>
      </c>
      <c r="C104" s="232"/>
      <c r="D104" s="21"/>
      <c r="E104" s="21"/>
      <c r="F104" s="23"/>
      <c r="G104" s="23" t="str">
        <f>IF(OFERTA!$C104="","",IF(OFERTA!$F104="","",OFERTA!$F104*OFERTA!$E104))</f>
        <v/>
      </c>
      <c r="H104" s="229" t="str">
        <f>+IF(OFERTA!$F104="","",OFERTA!$G104/OFERTA!$G$216)</f>
        <v/>
      </c>
      <c r="I104" s="230"/>
      <c r="J104" s="230"/>
      <c r="K104" s="230"/>
      <c r="L104" s="230" t="str">
        <f t="shared" si="12"/>
        <v/>
      </c>
      <c r="M104" s="231">
        <f>+'80'!$N$28+'80'!$N$47</f>
        <v>0</v>
      </c>
      <c r="N104" s="231">
        <f>+'80'!$M$28+'80'!$M$47</f>
        <v>0</v>
      </c>
      <c r="O104" s="231">
        <f>IF('80'!$G$39=0,0,'80'!$G$39)</f>
        <v>0</v>
      </c>
      <c r="P104" s="231">
        <f>IF('80'!$G$55=0,0,'80'!$G$55)</f>
        <v>0</v>
      </c>
      <c r="Q104" s="231">
        <f>+OFERTA!$M104+OFERTA!$N104+OFERTA!$O104+OFERTA!$P104</f>
        <v>0</v>
      </c>
      <c r="R104" s="23">
        <f>IF(OFERTA!$M104="","",OFERTA!$M104*OFERTA!$E104)</f>
        <v>0</v>
      </c>
      <c r="S104" s="23">
        <f>IF(OFERTA!$N104="","",OFERTA!$N104*OFERTA!$E104)</f>
        <v>0</v>
      </c>
      <c r="T104" s="23">
        <f>IF(OFERTA!$O104="","",OFERTA!$O104*OFERTA!$E104)</f>
        <v>0</v>
      </c>
      <c r="U104" s="23">
        <f>IF(OFERTA!$P104="","",OFERTA!$P104*OFERTA!$E104)</f>
        <v>0</v>
      </c>
      <c r="V104" s="23">
        <f>IF(OFERTA!$U104="","",OFERTA!$U104+OFERTA!$T104+OFERTA!$S104+OFERTA!$R104)</f>
        <v>0</v>
      </c>
      <c r="W104" s="22">
        <f>IF(OFERTA!$R104="","",OFERTA!$R104/OFERTA!$R$216)</f>
        <v>0</v>
      </c>
      <c r="X104" s="22">
        <f>IF(OFERTA!$S104="","",OFERTA!$S104/OFERTA!$S$216)</f>
        <v>0</v>
      </c>
      <c r="Y104" s="22">
        <f>IF(OFERTA!$T104="","",OFERTA!$T104/OFERTA!$T$216)</f>
        <v>0</v>
      </c>
      <c r="Z104" s="22">
        <f>IF(OFERTA!$U104="","",OFERTA!$U104/OFERTA!$U$216)</f>
        <v>0</v>
      </c>
      <c r="AA104" s="3"/>
      <c r="AB104" s="23" t="str">
        <f>IF(AI104="","",AI104*OFERTA!$Q104)</f>
        <v/>
      </c>
      <c r="AC104" s="23" t="str">
        <f>IF(AI104="","",OFERTA!$N104*AI104)</f>
        <v/>
      </c>
      <c r="AD104" s="23" t="str">
        <f>IF(AI104="","",OFERTA!$M104*AI104)</f>
        <v/>
      </c>
      <c r="AE104" s="23" t="str">
        <f>IF(AI104="","",OFERTA!$P104*AI104)</f>
        <v/>
      </c>
      <c r="AF104" s="23" t="str">
        <f>IF(AI104="","",OFERTA!$O104*AI104)</f>
        <v/>
      </c>
      <c r="AG104" s="21" t="str">
        <f t="shared" si="13"/>
        <v/>
      </c>
      <c r="AH104" s="216">
        <v>7.27</v>
      </c>
      <c r="AI104" s="216"/>
      <c r="AJ104" s="216" t="str">
        <f t="shared" si="14"/>
        <v/>
      </c>
      <c r="AK104" s="216" t="str">
        <f t="shared" si="15"/>
        <v/>
      </c>
      <c r="AL104" s="216" t="str">
        <f>IF(AJ104="","",OFERTA!$E104/AJ104)</f>
        <v/>
      </c>
      <c r="AR104" s="1"/>
    </row>
    <row r="105" spans="1:44" ht="17.25" hidden="1" thickBot="1" x14ac:dyDescent="0.35">
      <c r="A105" s="220"/>
      <c r="B105" s="227">
        <v>100</v>
      </c>
      <c r="C105" s="232"/>
      <c r="D105" s="21"/>
      <c r="E105" s="21"/>
      <c r="F105" s="23"/>
      <c r="G105" s="23" t="str">
        <f>IF(OFERTA!$C105="","",IF(OFERTA!$F105="","",OFERTA!$F105*OFERTA!$E105))</f>
        <v/>
      </c>
      <c r="H105" s="229" t="str">
        <f>+IF(OFERTA!$F105="","",OFERTA!$G105/OFERTA!$G$216)</f>
        <v/>
      </c>
      <c r="I105" s="230"/>
      <c r="J105" s="230"/>
      <c r="K105" s="230"/>
      <c r="L105" s="230" t="str">
        <f t="shared" si="12"/>
        <v/>
      </c>
      <c r="M105" s="231">
        <f>+'80'!$N$28+'80'!$N$47</f>
        <v>0</v>
      </c>
      <c r="N105" s="231">
        <f>+'80'!$M$28+'80'!$M$47</f>
        <v>0</v>
      </c>
      <c r="O105" s="231">
        <f>IF('80'!$G$39=0,0,'80'!$G$39)</f>
        <v>0</v>
      </c>
      <c r="P105" s="231">
        <f>IF('80'!$G$55=0,0,'80'!$G$55)</f>
        <v>0</v>
      </c>
      <c r="Q105" s="231">
        <f>+OFERTA!$M105+OFERTA!$N105+OFERTA!$O105+OFERTA!$P105</f>
        <v>0</v>
      </c>
      <c r="R105" s="23">
        <f>IF(OFERTA!$M105="","",OFERTA!$M105*OFERTA!$E105)</f>
        <v>0</v>
      </c>
      <c r="S105" s="23">
        <f>IF(OFERTA!$N105="","",OFERTA!$N105*OFERTA!$E105)</f>
        <v>0</v>
      </c>
      <c r="T105" s="23">
        <f>IF(OFERTA!$O105="","",OFERTA!$O105*OFERTA!$E105)</f>
        <v>0</v>
      </c>
      <c r="U105" s="23">
        <f>IF(OFERTA!$P105="","",OFERTA!$P105*OFERTA!$E105)</f>
        <v>0</v>
      </c>
      <c r="V105" s="23">
        <f>IF(OFERTA!$U105="","",OFERTA!$U105+OFERTA!$T105+OFERTA!$S105+OFERTA!$R105)</f>
        <v>0</v>
      </c>
      <c r="W105" s="22">
        <f>IF(OFERTA!$R105="","",OFERTA!$R105/OFERTA!$R$216)</f>
        <v>0</v>
      </c>
      <c r="X105" s="22">
        <f>IF(OFERTA!$S105="","",OFERTA!$S105/OFERTA!$S$216)</f>
        <v>0</v>
      </c>
      <c r="Y105" s="22">
        <f>IF(OFERTA!$T105="","",OFERTA!$T105/OFERTA!$T$216)</f>
        <v>0</v>
      </c>
      <c r="Z105" s="22">
        <f>IF(OFERTA!$U105="","",OFERTA!$U105/OFERTA!$U$216)</f>
        <v>0</v>
      </c>
      <c r="AA105" s="3"/>
      <c r="AB105" s="23" t="str">
        <f>IF(AI105="","",AI105*OFERTA!$Q105)</f>
        <v/>
      </c>
      <c r="AC105" s="23" t="str">
        <f>IF(AI105="","",OFERTA!$N105*AI105)</f>
        <v/>
      </c>
      <c r="AD105" s="23" t="str">
        <f>IF(AI105="","",OFERTA!$M105*AI105)</f>
        <v/>
      </c>
      <c r="AE105" s="23" t="str">
        <f>IF(AI105="","",OFERTA!$P105*AI105)</f>
        <v/>
      </c>
      <c r="AF105" s="23" t="str">
        <f>IF(AI105="","",OFERTA!$O105*AI105)</f>
        <v/>
      </c>
      <c r="AG105" s="21" t="str">
        <f t="shared" si="13"/>
        <v/>
      </c>
      <c r="AH105" s="216">
        <v>7.27</v>
      </c>
      <c r="AI105" s="216"/>
      <c r="AJ105" s="216" t="str">
        <f t="shared" si="14"/>
        <v/>
      </c>
      <c r="AK105" s="216" t="str">
        <f t="shared" si="15"/>
        <v/>
      </c>
      <c r="AL105" s="216" t="str">
        <f>IF(AJ105="","",OFERTA!$E105/AJ105)</f>
        <v/>
      </c>
      <c r="AR105" s="1"/>
    </row>
    <row r="106" spans="1:44" ht="17.25" hidden="1" thickBot="1" x14ac:dyDescent="0.35">
      <c r="A106" s="220"/>
      <c r="B106" s="227">
        <v>101</v>
      </c>
      <c r="C106" s="232"/>
      <c r="D106" s="21"/>
      <c r="E106" s="21"/>
      <c r="F106" s="23"/>
      <c r="G106" s="23" t="str">
        <f>IF(OFERTA!$C106="","",IF(OFERTA!$F106="","",OFERTA!$F106*OFERTA!$E106))</f>
        <v/>
      </c>
      <c r="H106" s="229" t="str">
        <f>+IF(OFERTA!$F106="","",OFERTA!$G106/OFERTA!$G$216)</f>
        <v/>
      </c>
      <c r="I106" s="230"/>
      <c r="J106" s="230"/>
      <c r="K106" s="230"/>
      <c r="L106" s="230" t="str">
        <f t="shared" si="12"/>
        <v/>
      </c>
      <c r="M106" s="231">
        <f>+'80'!$N$28+'80'!$N$47</f>
        <v>0</v>
      </c>
      <c r="N106" s="231">
        <f>+'80'!$M$28+'80'!$M$47</f>
        <v>0</v>
      </c>
      <c r="O106" s="231">
        <f>IF('80'!$G$39=0,0,'80'!$G$39)</f>
        <v>0</v>
      </c>
      <c r="P106" s="231">
        <f>IF('80'!$G$55=0,0,'80'!$G$55)</f>
        <v>0</v>
      </c>
      <c r="Q106" s="231">
        <f>+OFERTA!$M106+OFERTA!$N106+OFERTA!$O106+OFERTA!$P106</f>
        <v>0</v>
      </c>
      <c r="R106" s="23">
        <f>IF(OFERTA!$M106="","",OFERTA!$M106*OFERTA!$E106)</f>
        <v>0</v>
      </c>
      <c r="S106" s="23">
        <f>IF(OFERTA!$N106="","",OFERTA!$N106*OFERTA!$E106)</f>
        <v>0</v>
      </c>
      <c r="T106" s="23">
        <f>IF(OFERTA!$O106="","",OFERTA!$O106*OFERTA!$E106)</f>
        <v>0</v>
      </c>
      <c r="U106" s="23">
        <f>IF(OFERTA!$P106="","",OFERTA!$P106*OFERTA!$E106)</f>
        <v>0</v>
      </c>
      <c r="V106" s="23">
        <f>IF(OFERTA!$U106="","",OFERTA!$U106+OFERTA!$T106+OFERTA!$S106+OFERTA!$R106)</f>
        <v>0</v>
      </c>
      <c r="W106" s="22">
        <f>IF(OFERTA!$R106="","",OFERTA!$R106/OFERTA!$R$216)</f>
        <v>0</v>
      </c>
      <c r="X106" s="22">
        <f>IF(OFERTA!$S106="","",OFERTA!$S106/OFERTA!$S$216)</f>
        <v>0</v>
      </c>
      <c r="Y106" s="22">
        <f>IF(OFERTA!$T106="","",OFERTA!$T106/OFERTA!$T$216)</f>
        <v>0</v>
      </c>
      <c r="Z106" s="22">
        <f>IF(OFERTA!$U106="","",OFERTA!$U106/OFERTA!$U$216)</f>
        <v>0</v>
      </c>
      <c r="AA106" s="3"/>
      <c r="AB106" s="23" t="str">
        <f>IF(AI106="","",AI106*OFERTA!$Q106)</f>
        <v/>
      </c>
      <c r="AC106" s="23" t="str">
        <f>IF(AI106="","",OFERTA!$N106*AI106)</f>
        <v/>
      </c>
      <c r="AD106" s="23" t="str">
        <f>IF(AI106="","",OFERTA!$M106*AI106)</f>
        <v/>
      </c>
      <c r="AE106" s="23" t="str">
        <f>IF(AI106="","",OFERTA!$P106*AI106)</f>
        <v/>
      </c>
      <c r="AF106" s="23" t="str">
        <f>IF(AI106="","",OFERTA!$O106*AI106)</f>
        <v/>
      </c>
      <c r="AG106" s="21" t="str">
        <f t="shared" si="13"/>
        <v/>
      </c>
      <c r="AH106" s="216">
        <v>7.27</v>
      </c>
      <c r="AI106" s="216"/>
      <c r="AJ106" s="216" t="str">
        <f t="shared" si="14"/>
        <v/>
      </c>
      <c r="AK106" s="216" t="str">
        <f t="shared" si="15"/>
        <v/>
      </c>
      <c r="AL106" s="216" t="str">
        <f>IF(AJ106="","",OFERTA!$E106/AJ106)</f>
        <v/>
      </c>
      <c r="AR106" s="1"/>
    </row>
    <row r="107" spans="1:44" ht="17.25" hidden="1" thickBot="1" x14ac:dyDescent="0.35">
      <c r="A107" s="220"/>
      <c r="B107" s="227">
        <v>102</v>
      </c>
      <c r="C107" s="232"/>
      <c r="D107" s="21"/>
      <c r="E107" s="21"/>
      <c r="F107" s="23"/>
      <c r="G107" s="23" t="str">
        <f>IF(OFERTA!$C107="","",IF(OFERTA!$F107="","",OFERTA!$F107*OFERTA!$E107))</f>
        <v/>
      </c>
      <c r="H107" s="229" t="str">
        <f>+IF(OFERTA!$F107="","",OFERTA!$G107/OFERTA!$G$216)</f>
        <v/>
      </c>
      <c r="I107" s="230"/>
      <c r="J107" s="230"/>
      <c r="K107" s="230"/>
      <c r="L107" s="230" t="str">
        <f t="shared" si="12"/>
        <v/>
      </c>
      <c r="M107" s="231">
        <f>+'80'!$N$28+'80'!$N$47</f>
        <v>0</v>
      </c>
      <c r="N107" s="231">
        <f>+'80'!$M$28+'80'!$M$47</f>
        <v>0</v>
      </c>
      <c r="O107" s="231">
        <f>IF('80'!$G$39=0,0,'80'!$G$39)</f>
        <v>0</v>
      </c>
      <c r="P107" s="231">
        <f>IF('80'!$G$55=0,0,'80'!$G$55)</f>
        <v>0</v>
      </c>
      <c r="Q107" s="231">
        <f>+OFERTA!$M107+OFERTA!$N107+OFERTA!$O107+OFERTA!$P107</f>
        <v>0</v>
      </c>
      <c r="R107" s="23">
        <f>IF(OFERTA!$M107="","",OFERTA!$M107*OFERTA!$E107)</f>
        <v>0</v>
      </c>
      <c r="S107" s="23">
        <f>IF(OFERTA!$N107="","",OFERTA!$N107*OFERTA!$E107)</f>
        <v>0</v>
      </c>
      <c r="T107" s="23">
        <f>IF(OFERTA!$O107="","",OFERTA!$O107*OFERTA!$E107)</f>
        <v>0</v>
      </c>
      <c r="U107" s="23">
        <f>IF(OFERTA!$P107="","",OFERTA!$P107*OFERTA!$E107)</f>
        <v>0</v>
      </c>
      <c r="V107" s="23">
        <f>IF(OFERTA!$U107="","",OFERTA!$U107+OFERTA!$T107+OFERTA!$S107+OFERTA!$R107)</f>
        <v>0</v>
      </c>
      <c r="W107" s="22">
        <f>IF(OFERTA!$R107="","",OFERTA!$R107/OFERTA!$R$216)</f>
        <v>0</v>
      </c>
      <c r="X107" s="22">
        <f>IF(OFERTA!$S107="","",OFERTA!$S107/OFERTA!$S$216)</f>
        <v>0</v>
      </c>
      <c r="Y107" s="22">
        <f>IF(OFERTA!$T107="","",OFERTA!$T107/OFERTA!$T$216)</f>
        <v>0</v>
      </c>
      <c r="Z107" s="22">
        <f>IF(OFERTA!$U107="","",OFERTA!$U107/OFERTA!$U$216)</f>
        <v>0</v>
      </c>
      <c r="AA107" s="3"/>
      <c r="AB107" s="23" t="str">
        <f>IF(AI107="","",AI107*OFERTA!$Q107)</f>
        <v/>
      </c>
      <c r="AC107" s="23" t="str">
        <f>IF(AI107="","",OFERTA!$N107*AI107)</f>
        <v/>
      </c>
      <c r="AD107" s="23" t="str">
        <f>IF(AI107="","",OFERTA!$M107*AI107)</f>
        <v/>
      </c>
      <c r="AE107" s="23" t="str">
        <f>IF(AI107="","",OFERTA!$P107*AI107)</f>
        <v/>
      </c>
      <c r="AF107" s="23" t="str">
        <f>IF(AI107="","",OFERTA!$O107*AI107)</f>
        <v/>
      </c>
      <c r="AG107" s="21" t="str">
        <f t="shared" si="13"/>
        <v/>
      </c>
      <c r="AH107" s="216">
        <v>7.27</v>
      </c>
      <c r="AI107" s="216"/>
      <c r="AJ107" s="216" t="str">
        <f t="shared" si="14"/>
        <v/>
      </c>
      <c r="AK107" s="216" t="str">
        <f t="shared" si="15"/>
        <v/>
      </c>
      <c r="AL107" s="216" t="str">
        <f>IF(AJ107="","",OFERTA!$E107/AJ107)</f>
        <v/>
      </c>
      <c r="AR107" s="1"/>
    </row>
    <row r="108" spans="1:44" ht="17.25" hidden="1" thickBot="1" x14ac:dyDescent="0.35">
      <c r="A108" s="220"/>
      <c r="B108" s="227">
        <v>103</v>
      </c>
      <c r="C108" s="232"/>
      <c r="D108" s="21"/>
      <c r="E108" s="21"/>
      <c r="F108" s="23"/>
      <c r="G108" s="23" t="str">
        <f>IF(OFERTA!$C108="","",IF(OFERTA!$F108="","",OFERTA!$F108*OFERTA!$E108))</f>
        <v/>
      </c>
      <c r="H108" s="229" t="str">
        <f>+IF(OFERTA!$F108="","",OFERTA!$G108/OFERTA!$G$216)</f>
        <v/>
      </c>
      <c r="I108" s="230"/>
      <c r="J108" s="230"/>
      <c r="K108" s="230"/>
      <c r="L108" s="230" t="str">
        <f t="shared" si="12"/>
        <v/>
      </c>
      <c r="M108" s="231">
        <f>+'80'!$N$28+'80'!$N$47</f>
        <v>0</v>
      </c>
      <c r="N108" s="231">
        <f>+'80'!$M$28+'80'!$M$47</f>
        <v>0</v>
      </c>
      <c r="O108" s="231">
        <f>IF('80'!$G$39=0,0,'80'!$G$39)</f>
        <v>0</v>
      </c>
      <c r="P108" s="231">
        <f>IF('80'!$G$55=0,0,'80'!$G$55)</f>
        <v>0</v>
      </c>
      <c r="Q108" s="231">
        <f>+OFERTA!$M108+OFERTA!$N108+OFERTA!$O108+OFERTA!$P108</f>
        <v>0</v>
      </c>
      <c r="R108" s="23">
        <f>IF(OFERTA!$M108="","",OFERTA!$M108*OFERTA!$E108)</f>
        <v>0</v>
      </c>
      <c r="S108" s="23">
        <f>IF(OFERTA!$N108="","",OFERTA!$N108*OFERTA!$E108)</f>
        <v>0</v>
      </c>
      <c r="T108" s="23">
        <f>IF(OFERTA!$O108="","",OFERTA!$O108*OFERTA!$E108)</f>
        <v>0</v>
      </c>
      <c r="U108" s="23">
        <f>IF(OFERTA!$P108="","",OFERTA!$P108*OFERTA!$E108)</f>
        <v>0</v>
      </c>
      <c r="V108" s="23">
        <f>IF(OFERTA!$U108="","",OFERTA!$U108+OFERTA!$T108+OFERTA!$S108+OFERTA!$R108)</f>
        <v>0</v>
      </c>
      <c r="W108" s="22">
        <f>IF(OFERTA!$R108="","",OFERTA!$R108/OFERTA!$R$216)</f>
        <v>0</v>
      </c>
      <c r="X108" s="22">
        <f>IF(OFERTA!$S108="","",OFERTA!$S108/OFERTA!$S$216)</f>
        <v>0</v>
      </c>
      <c r="Y108" s="22">
        <f>IF(OFERTA!$T108="","",OFERTA!$T108/OFERTA!$T$216)</f>
        <v>0</v>
      </c>
      <c r="Z108" s="22">
        <f>IF(OFERTA!$U108="","",OFERTA!$U108/OFERTA!$U$216)</f>
        <v>0</v>
      </c>
      <c r="AA108" s="3"/>
      <c r="AB108" s="23" t="str">
        <f>IF(AI108="","",AI108*OFERTA!$Q108)</f>
        <v/>
      </c>
      <c r="AC108" s="23" t="str">
        <f>IF(AI108="","",OFERTA!$N108*AI108)</f>
        <v/>
      </c>
      <c r="AD108" s="23" t="str">
        <f>IF(AI108="","",OFERTA!$M108*AI108)</f>
        <v/>
      </c>
      <c r="AE108" s="23" t="str">
        <f>IF(AI108="","",OFERTA!$P108*AI108)</f>
        <v/>
      </c>
      <c r="AF108" s="23" t="str">
        <f>IF(AI108="","",OFERTA!$O108*AI108)</f>
        <v/>
      </c>
      <c r="AG108" s="21" t="str">
        <f t="shared" si="13"/>
        <v/>
      </c>
      <c r="AH108" s="216">
        <v>7.27</v>
      </c>
      <c r="AI108" s="216"/>
      <c r="AJ108" s="216" t="str">
        <f t="shared" si="14"/>
        <v/>
      </c>
      <c r="AK108" s="216" t="str">
        <f t="shared" si="15"/>
        <v/>
      </c>
      <c r="AL108" s="216" t="str">
        <f>IF(AJ108="","",OFERTA!$E108/AJ108)</f>
        <v/>
      </c>
      <c r="AR108" s="1"/>
    </row>
    <row r="109" spans="1:44" ht="17.25" hidden="1" thickBot="1" x14ac:dyDescent="0.35">
      <c r="A109" s="220"/>
      <c r="B109" s="227">
        <v>104</v>
      </c>
      <c r="C109" s="232"/>
      <c r="D109" s="21"/>
      <c r="E109" s="21"/>
      <c r="F109" s="23"/>
      <c r="G109" s="23" t="str">
        <f>IF(OFERTA!$C109="","",IF(OFERTA!$F109="","",OFERTA!$F109*OFERTA!$E109))</f>
        <v/>
      </c>
      <c r="H109" s="229" t="str">
        <f>+IF(OFERTA!$F109="","",OFERTA!$G109/OFERTA!$G$216)</f>
        <v/>
      </c>
      <c r="I109" s="230"/>
      <c r="J109" s="230"/>
      <c r="K109" s="230"/>
      <c r="L109" s="230" t="str">
        <f t="shared" si="12"/>
        <v/>
      </c>
      <c r="M109" s="231">
        <f>+'80'!$N$28+'80'!$N$47</f>
        <v>0</v>
      </c>
      <c r="N109" s="231">
        <f>+'80'!$M$28+'80'!$M$47</f>
        <v>0</v>
      </c>
      <c r="O109" s="231">
        <f>IF('80'!$G$39=0,0,'80'!$G$39)</f>
        <v>0</v>
      </c>
      <c r="P109" s="231">
        <f>IF('80'!$G$55=0,0,'80'!$G$55)</f>
        <v>0</v>
      </c>
      <c r="Q109" s="231">
        <f>+OFERTA!$M109+OFERTA!$N109+OFERTA!$O109+OFERTA!$P109</f>
        <v>0</v>
      </c>
      <c r="R109" s="23">
        <f>IF(OFERTA!$M109="","",OFERTA!$M109*OFERTA!$E109)</f>
        <v>0</v>
      </c>
      <c r="S109" s="23">
        <f>IF(OFERTA!$N109="","",OFERTA!$N109*OFERTA!$E109)</f>
        <v>0</v>
      </c>
      <c r="T109" s="23">
        <f>IF(OFERTA!$O109="","",OFERTA!$O109*OFERTA!$E109)</f>
        <v>0</v>
      </c>
      <c r="U109" s="23">
        <f>IF(OFERTA!$P109="","",OFERTA!$P109*OFERTA!$E109)</f>
        <v>0</v>
      </c>
      <c r="V109" s="23">
        <f>IF(OFERTA!$U109="","",OFERTA!$U109+OFERTA!$T109+OFERTA!$S109+OFERTA!$R109)</f>
        <v>0</v>
      </c>
      <c r="W109" s="22">
        <f>IF(OFERTA!$R109="","",OFERTA!$R109/OFERTA!$R$216)</f>
        <v>0</v>
      </c>
      <c r="X109" s="22">
        <f>IF(OFERTA!$S109="","",OFERTA!$S109/OFERTA!$S$216)</f>
        <v>0</v>
      </c>
      <c r="Y109" s="22">
        <f>IF(OFERTA!$T109="","",OFERTA!$T109/OFERTA!$T$216)</f>
        <v>0</v>
      </c>
      <c r="Z109" s="22">
        <f>IF(OFERTA!$U109="","",OFERTA!$U109/OFERTA!$U$216)</f>
        <v>0</v>
      </c>
      <c r="AA109" s="3"/>
      <c r="AB109" s="23" t="str">
        <f>IF(AI109="","",AI109*OFERTA!$Q109)</f>
        <v/>
      </c>
      <c r="AC109" s="23" t="str">
        <f>IF(AI109="","",OFERTA!$N109*AI109)</f>
        <v/>
      </c>
      <c r="AD109" s="23" t="str">
        <f>IF(AI109="","",OFERTA!$M109*AI109)</f>
        <v/>
      </c>
      <c r="AE109" s="23" t="str">
        <f>IF(AI109="","",OFERTA!$P109*AI109)</f>
        <v/>
      </c>
      <c r="AF109" s="23" t="str">
        <f>IF(AI109="","",OFERTA!$O109*AI109)</f>
        <v/>
      </c>
      <c r="AG109" s="21" t="str">
        <f t="shared" si="13"/>
        <v/>
      </c>
      <c r="AH109" s="216">
        <v>7.27</v>
      </c>
      <c r="AI109" s="216"/>
      <c r="AJ109" s="216" t="str">
        <f t="shared" si="14"/>
        <v/>
      </c>
      <c r="AK109" s="216" t="str">
        <f t="shared" si="15"/>
        <v/>
      </c>
      <c r="AL109" s="216" t="str">
        <f>IF(AJ109="","",OFERTA!$E109/AJ109)</f>
        <v/>
      </c>
      <c r="AR109" s="1"/>
    </row>
    <row r="110" spans="1:44" ht="17.25" hidden="1" thickBot="1" x14ac:dyDescent="0.35">
      <c r="A110" s="220"/>
      <c r="B110" s="227">
        <v>105</v>
      </c>
      <c r="C110" s="232"/>
      <c r="D110" s="21"/>
      <c r="E110" s="21"/>
      <c r="F110" s="23"/>
      <c r="G110" s="23" t="str">
        <f>IF(OFERTA!$C110="","",IF(OFERTA!$F110="","",OFERTA!$F110*OFERTA!$E110))</f>
        <v/>
      </c>
      <c r="H110" s="229" t="str">
        <f>+IF(OFERTA!$F110="","",OFERTA!$G110/OFERTA!$G$216)</f>
        <v/>
      </c>
      <c r="I110" s="230"/>
      <c r="J110" s="230"/>
      <c r="K110" s="230"/>
      <c r="L110" s="230" t="str">
        <f t="shared" si="12"/>
        <v/>
      </c>
      <c r="M110" s="231">
        <f>+'80'!$N$28+'80'!$N$47</f>
        <v>0</v>
      </c>
      <c r="N110" s="231">
        <f>+'80'!$M$28+'80'!$M$47</f>
        <v>0</v>
      </c>
      <c r="O110" s="231">
        <f>IF('80'!$G$39=0,0,'80'!$G$39)</f>
        <v>0</v>
      </c>
      <c r="P110" s="231">
        <f>IF('80'!$G$55=0,0,'80'!$G$55)</f>
        <v>0</v>
      </c>
      <c r="Q110" s="231">
        <f>+OFERTA!$M110+OFERTA!$N110+OFERTA!$O110+OFERTA!$P110</f>
        <v>0</v>
      </c>
      <c r="R110" s="23">
        <f>IF(OFERTA!$M110="","",OFERTA!$M110*OFERTA!$E110)</f>
        <v>0</v>
      </c>
      <c r="S110" s="23">
        <f>IF(OFERTA!$N110="","",OFERTA!$N110*OFERTA!$E110)</f>
        <v>0</v>
      </c>
      <c r="T110" s="23">
        <f>IF(OFERTA!$O110="","",OFERTA!$O110*OFERTA!$E110)</f>
        <v>0</v>
      </c>
      <c r="U110" s="23">
        <f>IF(OFERTA!$P110="","",OFERTA!$P110*OFERTA!$E110)</f>
        <v>0</v>
      </c>
      <c r="V110" s="23">
        <f>IF(OFERTA!$U110="","",OFERTA!$U110+OFERTA!$T110+OFERTA!$S110+OFERTA!$R110)</f>
        <v>0</v>
      </c>
      <c r="W110" s="22">
        <f>IF(OFERTA!$R110="","",OFERTA!$R110/OFERTA!$R$216)</f>
        <v>0</v>
      </c>
      <c r="X110" s="22">
        <f>IF(OFERTA!$S110="","",OFERTA!$S110/OFERTA!$S$216)</f>
        <v>0</v>
      </c>
      <c r="Y110" s="22">
        <f>IF(OFERTA!$T110="","",OFERTA!$T110/OFERTA!$T$216)</f>
        <v>0</v>
      </c>
      <c r="Z110" s="22">
        <f>IF(OFERTA!$U110="","",OFERTA!$U110/OFERTA!$U$216)</f>
        <v>0</v>
      </c>
      <c r="AA110" s="3"/>
      <c r="AB110" s="23" t="str">
        <f>IF(AI110="","",AI110*OFERTA!$Q110)</f>
        <v/>
      </c>
      <c r="AC110" s="23" t="str">
        <f>IF(AI110="","",OFERTA!$N110*AI110)</f>
        <v/>
      </c>
      <c r="AD110" s="23" t="str">
        <f>IF(AI110="","",OFERTA!$M110*AI110)</f>
        <v/>
      </c>
      <c r="AE110" s="23" t="str">
        <f>IF(AI110="","",OFERTA!$P110*AI110)</f>
        <v/>
      </c>
      <c r="AF110" s="23" t="str">
        <f>IF(AI110="","",OFERTA!$O110*AI110)</f>
        <v/>
      </c>
      <c r="AG110" s="21" t="str">
        <f t="shared" si="13"/>
        <v/>
      </c>
      <c r="AH110" s="216">
        <v>7.27</v>
      </c>
      <c r="AI110" s="216"/>
      <c r="AJ110" s="216" t="str">
        <f t="shared" si="14"/>
        <v/>
      </c>
      <c r="AK110" s="216" t="str">
        <f t="shared" si="15"/>
        <v/>
      </c>
      <c r="AL110" s="216" t="str">
        <f>IF(AJ110="","",OFERTA!$E110/AJ110)</f>
        <v/>
      </c>
      <c r="AR110" s="1"/>
    </row>
    <row r="111" spans="1:44" ht="17.25" hidden="1" thickBot="1" x14ac:dyDescent="0.35">
      <c r="A111" s="220"/>
      <c r="B111" s="227">
        <v>106</v>
      </c>
      <c r="C111" s="232"/>
      <c r="D111" s="21"/>
      <c r="E111" s="21"/>
      <c r="F111" s="23"/>
      <c r="G111" s="23" t="str">
        <f>IF(OFERTA!$C111="","",IF(OFERTA!$F111="","",OFERTA!$F111*OFERTA!$E111))</f>
        <v/>
      </c>
      <c r="H111" s="229" t="str">
        <f>+IF(OFERTA!$F111="","",OFERTA!$G111/OFERTA!$G$216)</f>
        <v/>
      </c>
      <c r="I111" s="230"/>
      <c r="J111" s="230"/>
      <c r="K111" s="230"/>
      <c r="L111" s="230" t="str">
        <f t="shared" si="12"/>
        <v/>
      </c>
      <c r="M111" s="231">
        <f>+'80'!$N$28+'80'!$N$47</f>
        <v>0</v>
      </c>
      <c r="N111" s="231">
        <f>+'80'!$M$28+'80'!$M$47</f>
        <v>0</v>
      </c>
      <c r="O111" s="231">
        <f>IF('80'!$G$39=0,0,'80'!$G$39)</f>
        <v>0</v>
      </c>
      <c r="P111" s="231">
        <f>IF('80'!$G$55=0,0,'80'!$G$55)</f>
        <v>0</v>
      </c>
      <c r="Q111" s="231">
        <f>+OFERTA!$M111+OFERTA!$N111+OFERTA!$O111+OFERTA!$P111</f>
        <v>0</v>
      </c>
      <c r="R111" s="23">
        <f>IF(OFERTA!$M111="","",OFERTA!$M111*OFERTA!$E111)</f>
        <v>0</v>
      </c>
      <c r="S111" s="23">
        <f>IF(OFERTA!$N111="","",OFERTA!$N111*OFERTA!$E111)</f>
        <v>0</v>
      </c>
      <c r="T111" s="23">
        <f>IF(OFERTA!$O111="","",OFERTA!$O111*OFERTA!$E111)</f>
        <v>0</v>
      </c>
      <c r="U111" s="23">
        <f>IF(OFERTA!$P111="","",OFERTA!$P111*OFERTA!$E111)</f>
        <v>0</v>
      </c>
      <c r="V111" s="23">
        <f>IF(OFERTA!$U111="","",OFERTA!$U111+OFERTA!$T111+OFERTA!$S111+OFERTA!$R111)</f>
        <v>0</v>
      </c>
      <c r="W111" s="22">
        <f>IF(OFERTA!$R111="","",OFERTA!$R111/OFERTA!$R$216)</f>
        <v>0</v>
      </c>
      <c r="X111" s="22">
        <f>IF(OFERTA!$S111="","",OFERTA!$S111/OFERTA!$S$216)</f>
        <v>0</v>
      </c>
      <c r="Y111" s="22">
        <f>IF(OFERTA!$T111="","",OFERTA!$T111/OFERTA!$T$216)</f>
        <v>0</v>
      </c>
      <c r="Z111" s="22">
        <f>IF(OFERTA!$U111="","",OFERTA!$U111/OFERTA!$U$216)</f>
        <v>0</v>
      </c>
      <c r="AA111" s="3"/>
      <c r="AB111" s="23" t="str">
        <f>IF(AI111="","",AI111*OFERTA!$Q111)</f>
        <v/>
      </c>
      <c r="AC111" s="23" t="str">
        <f>IF(AI111="","",OFERTA!$N111*AI111)</f>
        <v/>
      </c>
      <c r="AD111" s="23" t="str">
        <f>IF(AI111="","",OFERTA!$M111*AI111)</f>
        <v/>
      </c>
      <c r="AE111" s="23" t="str">
        <f>IF(AI111="","",OFERTA!$P111*AI111)</f>
        <v/>
      </c>
      <c r="AF111" s="23" t="str">
        <f>IF(AI111="","",OFERTA!$O111*AI111)</f>
        <v/>
      </c>
      <c r="AG111" s="21" t="str">
        <f t="shared" si="13"/>
        <v/>
      </c>
      <c r="AH111" s="216">
        <v>7.27</v>
      </c>
      <c r="AI111" s="216"/>
      <c r="AJ111" s="216" t="str">
        <f t="shared" si="14"/>
        <v/>
      </c>
      <c r="AK111" s="216" t="str">
        <f t="shared" si="15"/>
        <v/>
      </c>
      <c r="AL111" s="216" t="str">
        <f>IF(AJ111="","",OFERTA!$E111/AJ111)</f>
        <v/>
      </c>
      <c r="AR111" s="1"/>
    </row>
    <row r="112" spans="1:44" ht="17.25" hidden="1" thickBot="1" x14ac:dyDescent="0.35">
      <c r="A112" s="220"/>
      <c r="B112" s="227">
        <v>107</v>
      </c>
      <c r="C112" s="232"/>
      <c r="D112" s="21"/>
      <c r="E112" s="21"/>
      <c r="F112" s="23"/>
      <c r="G112" s="23" t="str">
        <f>IF(OFERTA!$C112="","",IF(OFERTA!$F112="","",OFERTA!$F112*OFERTA!$E112))</f>
        <v/>
      </c>
      <c r="H112" s="229" t="str">
        <f>+IF(OFERTA!$F112="","",OFERTA!$G112/OFERTA!$G$216)</f>
        <v/>
      </c>
      <c r="I112" s="230"/>
      <c r="J112" s="230"/>
      <c r="K112" s="230"/>
      <c r="L112" s="230" t="str">
        <f t="shared" si="12"/>
        <v/>
      </c>
      <c r="M112" s="231">
        <f>+'80'!$N$28+'80'!$N$47</f>
        <v>0</v>
      </c>
      <c r="N112" s="231">
        <f>+'80'!$M$28+'80'!$M$47</f>
        <v>0</v>
      </c>
      <c r="O112" s="231">
        <f>IF('80'!$G$39=0,0,'80'!$G$39)</f>
        <v>0</v>
      </c>
      <c r="P112" s="231">
        <f>IF('80'!$G$55=0,0,'80'!$G$55)</f>
        <v>0</v>
      </c>
      <c r="Q112" s="231">
        <f>+OFERTA!$M112+OFERTA!$N112+OFERTA!$O112+OFERTA!$P112</f>
        <v>0</v>
      </c>
      <c r="R112" s="23">
        <f>IF(OFERTA!$M112="","",OFERTA!$M112*OFERTA!$E112)</f>
        <v>0</v>
      </c>
      <c r="S112" s="23">
        <f>IF(OFERTA!$N112="","",OFERTA!$N112*OFERTA!$E112)</f>
        <v>0</v>
      </c>
      <c r="T112" s="23">
        <f>IF(OFERTA!$O112="","",OFERTA!$O112*OFERTA!$E112)</f>
        <v>0</v>
      </c>
      <c r="U112" s="23">
        <f>IF(OFERTA!$P112="","",OFERTA!$P112*OFERTA!$E112)</f>
        <v>0</v>
      </c>
      <c r="V112" s="23">
        <f>IF(OFERTA!$U112="","",OFERTA!$U112+OFERTA!$T112+OFERTA!$S112+OFERTA!$R112)</f>
        <v>0</v>
      </c>
      <c r="W112" s="22">
        <f>IF(OFERTA!$R112="","",OFERTA!$R112/OFERTA!$R$216)</f>
        <v>0</v>
      </c>
      <c r="X112" s="22">
        <f>IF(OFERTA!$S112="","",OFERTA!$S112/OFERTA!$S$216)</f>
        <v>0</v>
      </c>
      <c r="Y112" s="22">
        <f>IF(OFERTA!$T112="","",OFERTA!$T112/OFERTA!$T$216)</f>
        <v>0</v>
      </c>
      <c r="Z112" s="22">
        <f>IF(OFERTA!$U112="","",OFERTA!$U112/OFERTA!$U$216)</f>
        <v>0</v>
      </c>
      <c r="AA112" s="3"/>
      <c r="AB112" s="23" t="str">
        <f>IF(AI112="","",AI112*OFERTA!$Q112)</f>
        <v/>
      </c>
      <c r="AC112" s="23" t="str">
        <f>IF(AI112="","",OFERTA!$N112*AI112)</f>
        <v/>
      </c>
      <c r="AD112" s="23" t="str">
        <f>IF(AI112="","",OFERTA!$M112*AI112)</f>
        <v/>
      </c>
      <c r="AE112" s="23" t="str">
        <f>IF(AI112="","",OFERTA!$P112*AI112)</f>
        <v/>
      </c>
      <c r="AF112" s="23" t="str">
        <f>IF(AI112="","",OFERTA!$O112*AI112)</f>
        <v/>
      </c>
      <c r="AG112" s="21" t="str">
        <f t="shared" si="13"/>
        <v/>
      </c>
      <c r="AH112" s="216">
        <v>7.27</v>
      </c>
      <c r="AI112" s="216"/>
      <c r="AJ112" s="216" t="str">
        <f t="shared" si="14"/>
        <v/>
      </c>
      <c r="AK112" s="216" t="str">
        <f t="shared" si="15"/>
        <v/>
      </c>
      <c r="AL112" s="216" t="str">
        <f>IF(AJ112="","",OFERTA!$E112/AJ112)</f>
        <v/>
      </c>
      <c r="AR112" s="1"/>
    </row>
    <row r="113" spans="1:44" ht="17.25" hidden="1" thickBot="1" x14ac:dyDescent="0.35">
      <c r="A113" s="220"/>
      <c r="B113" s="227">
        <v>108</v>
      </c>
      <c r="C113" s="232"/>
      <c r="D113" s="21"/>
      <c r="E113" s="21"/>
      <c r="F113" s="23"/>
      <c r="G113" s="23" t="str">
        <f>IF(OFERTA!$C113="","",IF(OFERTA!$F113="","",OFERTA!$F113*OFERTA!$E113))</f>
        <v/>
      </c>
      <c r="H113" s="229" t="str">
        <f>+IF(OFERTA!$F113="","",OFERTA!$G113/OFERTA!$G$216)</f>
        <v/>
      </c>
      <c r="I113" s="230"/>
      <c r="J113" s="230"/>
      <c r="K113" s="230"/>
      <c r="L113" s="230" t="str">
        <f t="shared" si="12"/>
        <v/>
      </c>
      <c r="M113" s="231">
        <f>+'80'!$N$28+'80'!$N$47</f>
        <v>0</v>
      </c>
      <c r="N113" s="231">
        <f>+'80'!$M$28+'80'!$M$47</f>
        <v>0</v>
      </c>
      <c r="O113" s="231">
        <f>IF('80'!$G$39=0,0,'80'!$G$39)</f>
        <v>0</v>
      </c>
      <c r="P113" s="231">
        <f>IF('80'!$G$55=0,0,'80'!$G$55)</f>
        <v>0</v>
      </c>
      <c r="Q113" s="231">
        <f>+OFERTA!$M113+OFERTA!$N113+OFERTA!$O113+OFERTA!$P113</f>
        <v>0</v>
      </c>
      <c r="R113" s="23">
        <f>IF(OFERTA!$M113="","",OFERTA!$M113*OFERTA!$E113)</f>
        <v>0</v>
      </c>
      <c r="S113" s="23">
        <f>IF(OFERTA!$N113="","",OFERTA!$N113*OFERTA!$E113)</f>
        <v>0</v>
      </c>
      <c r="T113" s="23">
        <f>IF(OFERTA!$O113="","",OFERTA!$O113*OFERTA!$E113)</f>
        <v>0</v>
      </c>
      <c r="U113" s="23">
        <f>IF(OFERTA!$P113="","",OFERTA!$P113*OFERTA!$E113)</f>
        <v>0</v>
      </c>
      <c r="V113" s="23">
        <f>IF(OFERTA!$U113="","",OFERTA!$U113+OFERTA!$T113+OFERTA!$S113+OFERTA!$R113)</f>
        <v>0</v>
      </c>
      <c r="W113" s="22">
        <f>IF(OFERTA!$R113="","",OFERTA!$R113/OFERTA!$R$216)</f>
        <v>0</v>
      </c>
      <c r="X113" s="22">
        <f>IF(OFERTA!$S113="","",OFERTA!$S113/OFERTA!$S$216)</f>
        <v>0</v>
      </c>
      <c r="Y113" s="22">
        <f>IF(OFERTA!$T113="","",OFERTA!$T113/OFERTA!$T$216)</f>
        <v>0</v>
      </c>
      <c r="Z113" s="22">
        <f>IF(OFERTA!$U113="","",OFERTA!$U113/OFERTA!$U$216)</f>
        <v>0</v>
      </c>
      <c r="AA113" s="3"/>
      <c r="AB113" s="23" t="str">
        <f>IF(AI113="","",AI113*OFERTA!$Q113)</f>
        <v/>
      </c>
      <c r="AC113" s="23" t="str">
        <f>IF(AI113="","",OFERTA!$N113*AI113)</f>
        <v/>
      </c>
      <c r="AD113" s="23" t="str">
        <f>IF(AI113="","",OFERTA!$M113*AI113)</f>
        <v/>
      </c>
      <c r="AE113" s="23" t="str">
        <f>IF(AI113="","",OFERTA!$P113*AI113)</f>
        <v/>
      </c>
      <c r="AF113" s="23" t="str">
        <f>IF(AI113="","",OFERTA!$O113*AI113)</f>
        <v/>
      </c>
      <c r="AG113" s="21" t="str">
        <f t="shared" si="13"/>
        <v/>
      </c>
      <c r="AH113" s="216">
        <v>7.27</v>
      </c>
      <c r="AI113" s="216"/>
      <c r="AJ113" s="216" t="str">
        <f t="shared" si="14"/>
        <v/>
      </c>
      <c r="AK113" s="216" t="str">
        <f t="shared" si="15"/>
        <v/>
      </c>
      <c r="AL113" s="216" t="str">
        <f>IF(AJ113="","",OFERTA!$E113/AJ113)</f>
        <v/>
      </c>
      <c r="AR113" s="1"/>
    </row>
    <row r="114" spans="1:44" ht="17.25" hidden="1" thickBot="1" x14ac:dyDescent="0.35">
      <c r="A114" s="220"/>
      <c r="B114" s="227">
        <v>109</v>
      </c>
      <c r="C114" s="232"/>
      <c r="D114" s="21"/>
      <c r="E114" s="21"/>
      <c r="F114" s="23"/>
      <c r="G114" s="23" t="str">
        <f>IF(OFERTA!$C114="","",IF(OFERTA!$F114="","",OFERTA!$F114*OFERTA!$E114))</f>
        <v/>
      </c>
      <c r="H114" s="229" t="str">
        <f>+IF(OFERTA!$F114="","",OFERTA!$G114/OFERTA!$G$216)</f>
        <v/>
      </c>
      <c r="I114" s="230"/>
      <c r="J114" s="230"/>
      <c r="K114" s="230"/>
      <c r="L114" s="230" t="str">
        <f t="shared" si="12"/>
        <v/>
      </c>
      <c r="M114" s="231">
        <f>+'80'!$N$28+'80'!$N$47</f>
        <v>0</v>
      </c>
      <c r="N114" s="231">
        <f>+'80'!$M$28+'80'!$M$47</f>
        <v>0</v>
      </c>
      <c r="O114" s="231">
        <f>IF('80'!$G$39=0,0,'80'!$G$39)</f>
        <v>0</v>
      </c>
      <c r="P114" s="231">
        <f>IF('80'!$G$55=0,0,'80'!$G$55)</f>
        <v>0</v>
      </c>
      <c r="Q114" s="231">
        <f>+OFERTA!$M114+OFERTA!$N114+OFERTA!$O114+OFERTA!$P114</f>
        <v>0</v>
      </c>
      <c r="R114" s="23">
        <f>IF(OFERTA!$M114="","",OFERTA!$M114*OFERTA!$E114)</f>
        <v>0</v>
      </c>
      <c r="S114" s="23">
        <f>IF(OFERTA!$N114="","",OFERTA!$N114*OFERTA!$E114)</f>
        <v>0</v>
      </c>
      <c r="T114" s="23">
        <f>IF(OFERTA!$O114="","",OFERTA!$O114*OFERTA!$E114)</f>
        <v>0</v>
      </c>
      <c r="U114" s="23">
        <f>IF(OFERTA!$P114="","",OFERTA!$P114*OFERTA!$E114)</f>
        <v>0</v>
      </c>
      <c r="V114" s="23">
        <f>IF(OFERTA!$U114="","",OFERTA!$U114+OFERTA!$T114+OFERTA!$S114+OFERTA!$R114)</f>
        <v>0</v>
      </c>
      <c r="W114" s="22">
        <f>IF(OFERTA!$R114="","",OFERTA!$R114/OFERTA!$R$216)</f>
        <v>0</v>
      </c>
      <c r="X114" s="22">
        <f>IF(OFERTA!$S114="","",OFERTA!$S114/OFERTA!$S$216)</f>
        <v>0</v>
      </c>
      <c r="Y114" s="22">
        <f>IF(OFERTA!$T114="","",OFERTA!$T114/OFERTA!$T$216)</f>
        <v>0</v>
      </c>
      <c r="Z114" s="22">
        <f>IF(OFERTA!$U114="","",OFERTA!$U114/OFERTA!$U$216)</f>
        <v>0</v>
      </c>
      <c r="AA114" s="3"/>
      <c r="AB114" s="23" t="str">
        <f>IF(AI114="","",AI114*OFERTA!$Q114)</f>
        <v/>
      </c>
      <c r="AC114" s="23" t="str">
        <f>IF(AI114="","",OFERTA!$N114*AI114)</f>
        <v/>
      </c>
      <c r="AD114" s="23" t="str">
        <f>IF(AI114="","",OFERTA!$M114*AI114)</f>
        <v/>
      </c>
      <c r="AE114" s="23" t="str">
        <f>IF(AI114="","",OFERTA!$P114*AI114)</f>
        <v/>
      </c>
      <c r="AF114" s="23" t="str">
        <f>IF(AI114="","",OFERTA!$O114*AI114)</f>
        <v/>
      </c>
      <c r="AG114" s="21" t="str">
        <f t="shared" si="13"/>
        <v/>
      </c>
      <c r="AH114" s="216">
        <v>7.27</v>
      </c>
      <c r="AI114" s="216"/>
      <c r="AJ114" s="216" t="str">
        <f t="shared" si="14"/>
        <v/>
      </c>
      <c r="AK114" s="216" t="str">
        <f t="shared" si="15"/>
        <v/>
      </c>
      <c r="AL114" s="216" t="str">
        <f>IF(AJ114="","",OFERTA!$E114/AJ114)</f>
        <v/>
      </c>
      <c r="AR114" s="1"/>
    </row>
    <row r="115" spans="1:44" ht="17.25" hidden="1" thickBot="1" x14ac:dyDescent="0.35">
      <c r="A115" s="220"/>
      <c r="B115" s="227">
        <v>110</v>
      </c>
      <c r="C115" s="232"/>
      <c r="D115" s="21"/>
      <c r="E115" s="21"/>
      <c r="F115" s="23"/>
      <c r="G115" s="23" t="str">
        <f>IF(OFERTA!$C115="","",IF(OFERTA!$F115="","",OFERTA!$F115*OFERTA!$E115))</f>
        <v/>
      </c>
      <c r="H115" s="229" t="str">
        <f>+IF(OFERTA!$F115="","",OFERTA!$G115/OFERTA!$G$216)</f>
        <v/>
      </c>
      <c r="I115" s="230"/>
      <c r="J115" s="230"/>
      <c r="K115" s="230"/>
      <c r="L115" s="230" t="str">
        <f t="shared" si="12"/>
        <v/>
      </c>
      <c r="M115" s="231">
        <f>+'80'!$N$28+'80'!$N$47</f>
        <v>0</v>
      </c>
      <c r="N115" s="231">
        <f>+'80'!$M$28+'80'!$M$47</f>
        <v>0</v>
      </c>
      <c r="O115" s="231">
        <f>IF('80'!$G$39=0,0,'80'!$G$39)</f>
        <v>0</v>
      </c>
      <c r="P115" s="231">
        <f>IF('80'!$G$55=0,0,'80'!$G$55)</f>
        <v>0</v>
      </c>
      <c r="Q115" s="231">
        <f>+OFERTA!$M115+OFERTA!$N115+OFERTA!$O115+OFERTA!$P115</f>
        <v>0</v>
      </c>
      <c r="R115" s="23">
        <f>IF(OFERTA!$M115="","",OFERTA!$M115*OFERTA!$E115)</f>
        <v>0</v>
      </c>
      <c r="S115" s="23">
        <f>IF(OFERTA!$N115="","",OFERTA!$N115*OFERTA!$E115)</f>
        <v>0</v>
      </c>
      <c r="T115" s="23">
        <f>IF(OFERTA!$O115="","",OFERTA!$O115*OFERTA!$E115)</f>
        <v>0</v>
      </c>
      <c r="U115" s="23">
        <f>IF(OFERTA!$P115="","",OFERTA!$P115*OFERTA!$E115)</f>
        <v>0</v>
      </c>
      <c r="V115" s="23">
        <f>IF(OFERTA!$U115="","",OFERTA!$U115+OFERTA!$T115+OFERTA!$S115+OFERTA!$R115)</f>
        <v>0</v>
      </c>
      <c r="W115" s="22">
        <f>IF(OFERTA!$R115="","",OFERTA!$R115/OFERTA!$R$216)</f>
        <v>0</v>
      </c>
      <c r="X115" s="22">
        <f>IF(OFERTA!$S115="","",OFERTA!$S115/OFERTA!$S$216)</f>
        <v>0</v>
      </c>
      <c r="Y115" s="22">
        <f>IF(OFERTA!$T115="","",OFERTA!$T115/OFERTA!$T$216)</f>
        <v>0</v>
      </c>
      <c r="Z115" s="22">
        <f>IF(OFERTA!$U115="","",OFERTA!$U115/OFERTA!$U$216)</f>
        <v>0</v>
      </c>
      <c r="AA115" s="3"/>
      <c r="AB115" s="23" t="str">
        <f>IF(AI115="","",AI115*OFERTA!$Q115)</f>
        <v/>
      </c>
      <c r="AC115" s="23" t="str">
        <f>IF(AI115="","",OFERTA!$N115*AI115)</f>
        <v/>
      </c>
      <c r="AD115" s="23" t="str">
        <f>IF(AI115="","",OFERTA!$M115*AI115)</f>
        <v/>
      </c>
      <c r="AE115" s="23" t="str">
        <f>IF(AI115="","",OFERTA!$P115*AI115)</f>
        <v/>
      </c>
      <c r="AF115" s="23" t="str">
        <f>IF(AI115="","",OFERTA!$O115*AI115)</f>
        <v/>
      </c>
      <c r="AG115" s="21" t="str">
        <f t="shared" si="13"/>
        <v/>
      </c>
      <c r="AH115" s="216">
        <v>7.27</v>
      </c>
      <c r="AI115" s="216"/>
      <c r="AJ115" s="216" t="str">
        <f t="shared" si="14"/>
        <v/>
      </c>
      <c r="AK115" s="216" t="str">
        <f t="shared" si="15"/>
        <v/>
      </c>
      <c r="AL115" s="216" t="str">
        <f>IF(AJ115="","",OFERTA!$E115/AJ115)</f>
        <v/>
      </c>
      <c r="AR115" s="1"/>
    </row>
    <row r="116" spans="1:44" ht="17.25" hidden="1" thickBot="1" x14ac:dyDescent="0.35">
      <c r="A116" s="220"/>
      <c r="B116" s="227">
        <v>111</v>
      </c>
      <c r="C116" s="232"/>
      <c r="D116" s="21"/>
      <c r="E116" s="21"/>
      <c r="F116" s="23"/>
      <c r="G116" s="23" t="str">
        <f>IF(OFERTA!$C116="","",IF(OFERTA!$F116="","",OFERTA!$F116*OFERTA!$E116))</f>
        <v/>
      </c>
      <c r="H116" s="229" t="str">
        <f>+IF(OFERTA!$F116="","",OFERTA!$G116/OFERTA!$G$216)</f>
        <v/>
      </c>
      <c r="I116" s="230"/>
      <c r="J116" s="230"/>
      <c r="K116" s="230"/>
      <c r="L116" s="230" t="str">
        <f t="shared" si="12"/>
        <v/>
      </c>
      <c r="M116" s="231">
        <f>+'80'!$N$28+'80'!$N$47</f>
        <v>0</v>
      </c>
      <c r="N116" s="231">
        <f>+'80'!$M$28+'80'!$M$47</f>
        <v>0</v>
      </c>
      <c r="O116" s="231">
        <f>IF('80'!$G$39=0,0,'80'!$G$39)</f>
        <v>0</v>
      </c>
      <c r="P116" s="231">
        <f>IF('80'!$G$55=0,0,'80'!$G$55)</f>
        <v>0</v>
      </c>
      <c r="Q116" s="231">
        <f>+OFERTA!$M116+OFERTA!$N116+OFERTA!$O116+OFERTA!$P116</f>
        <v>0</v>
      </c>
      <c r="R116" s="23">
        <f>IF(OFERTA!$M116="","",OFERTA!$M116*OFERTA!$E116)</f>
        <v>0</v>
      </c>
      <c r="S116" s="23">
        <f>IF(OFERTA!$N116="","",OFERTA!$N116*OFERTA!$E116)</f>
        <v>0</v>
      </c>
      <c r="T116" s="23">
        <f>IF(OFERTA!$O116="","",OFERTA!$O116*OFERTA!$E116)</f>
        <v>0</v>
      </c>
      <c r="U116" s="23">
        <f>IF(OFERTA!$P116="","",OFERTA!$P116*OFERTA!$E116)</f>
        <v>0</v>
      </c>
      <c r="V116" s="23">
        <f>IF(OFERTA!$U116="","",OFERTA!$U116+OFERTA!$T116+OFERTA!$S116+OFERTA!$R116)</f>
        <v>0</v>
      </c>
      <c r="W116" s="22">
        <f>IF(OFERTA!$R116="","",OFERTA!$R116/OFERTA!$R$216)</f>
        <v>0</v>
      </c>
      <c r="X116" s="22">
        <f>IF(OFERTA!$S116="","",OFERTA!$S116/OFERTA!$S$216)</f>
        <v>0</v>
      </c>
      <c r="Y116" s="22">
        <f>IF(OFERTA!$T116="","",OFERTA!$T116/OFERTA!$T$216)</f>
        <v>0</v>
      </c>
      <c r="Z116" s="22">
        <f>IF(OFERTA!$U116="","",OFERTA!$U116/OFERTA!$U$216)</f>
        <v>0</v>
      </c>
      <c r="AA116" s="3"/>
      <c r="AB116" s="23" t="str">
        <f>IF(AI116="","",AI116*OFERTA!$Q116)</f>
        <v/>
      </c>
      <c r="AC116" s="23" t="str">
        <f>IF(AI116="","",OFERTA!$N116*AI116)</f>
        <v/>
      </c>
      <c r="AD116" s="23" t="str">
        <f>IF(AI116="","",OFERTA!$M116*AI116)</f>
        <v/>
      </c>
      <c r="AE116" s="23" t="str">
        <f>IF(AI116="","",OFERTA!$P116*AI116)</f>
        <v/>
      </c>
      <c r="AF116" s="23" t="str">
        <f>IF(AI116="","",OFERTA!$O116*AI116)</f>
        <v/>
      </c>
      <c r="AG116" s="21" t="str">
        <f t="shared" si="13"/>
        <v/>
      </c>
      <c r="AH116" s="216">
        <v>7.27</v>
      </c>
      <c r="AI116" s="216"/>
      <c r="AJ116" s="216" t="str">
        <f t="shared" si="14"/>
        <v/>
      </c>
      <c r="AK116" s="216" t="str">
        <f t="shared" si="15"/>
        <v/>
      </c>
      <c r="AL116" s="216" t="str">
        <f>IF(AJ116="","",OFERTA!$E116/AJ116)</f>
        <v/>
      </c>
      <c r="AR116" s="1"/>
    </row>
    <row r="117" spans="1:44" ht="17.25" hidden="1" thickBot="1" x14ac:dyDescent="0.35">
      <c r="A117" s="220"/>
      <c r="B117" s="227">
        <v>112</v>
      </c>
      <c r="C117" s="232"/>
      <c r="D117" s="21"/>
      <c r="E117" s="21"/>
      <c r="F117" s="23"/>
      <c r="G117" s="23" t="str">
        <f>IF(OFERTA!$C117="","",IF(OFERTA!$F117="","",OFERTA!$F117*OFERTA!$E117))</f>
        <v/>
      </c>
      <c r="H117" s="229" t="str">
        <f>+IF(OFERTA!$F117="","",OFERTA!$G117/OFERTA!$G$216)</f>
        <v/>
      </c>
      <c r="I117" s="230"/>
      <c r="J117" s="230"/>
      <c r="K117" s="230"/>
      <c r="L117" s="230" t="str">
        <f t="shared" si="12"/>
        <v/>
      </c>
      <c r="M117" s="231">
        <f>+'80'!$N$28+'80'!$N$47</f>
        <v>0</v>
      </c>
      <c r="N117" s="231">
        <f>+'80'!$M$28+'80'!$M$47</f>
        <v>0</v>
      </c>
      <c r="O117" s="231">
        <f>IF('80'!$G$39=0,0,'80'!$G$39)</f>
        <v>0</v>
      </c>
      <c r="P117" s="231">
        <f>IF('80'!$G$55=0,0,'80'!$G$55)</f>
        <v>0</v>
      </c>
      <c r="Q117" s="231">
        <f>+OFERTA!$M117+OFERTA!$N117+OFERTA!$O117+OFERTA!$P117</f>
        <v>0</v>
      </c>
      <c r="R117" s="23">
        <f>IF(OFERTA!$M117="","",OFERTA!$M117*OFERTA!$E117)</f>
        <v>0</v>
      </c>
      <c r="S117" s="23">
        <f>IF(OFERTA!$N117="","",OFERTA!$N117*OFERTA!$E117)</f>
        <v>0</v>
      </c>
      <c r="T117" s="23">
        <f>IF(OFERTA!$O117="","",OFERTA!$O117*OFERTA!$E117)</f>
        <v>0</v>
      </c>
      <c r="U117" s="23">
        <f>IF(OFERTA!$P117="","",OFERTA!$P117*OFERTA!$E117)</f>
        <v>0</v>
      </c>
      <c r="V117" s="23">
        <f>IF(OFERTA!$U117="","",OFERTA!$U117+OFERTA!$T117+OFERTA!$S117+OFERTA!$R117)</f>
        <v>0</v>
      </c>
      <c r="W117" s="22">
        <f>IF(OFERTA!$R117="","",OFERTA!$R117/OFERTA!$R$216)</f>
        <v>0</v>
      </c>
      <c r="X117" s="22">
        <f>IF(OFERTA!$S117="","",OFERTA!$S117/OFERTA!$S$216)</f>
        <v>0</v>
      </c>
      <c r="Y117" s="22">
        <f>IF(OFERTA!$T117="","",OFERTA!$T117/OFERTA!$T$216)</f>
        <v>0</v>
      </c>
      <c r="Z117" s="22">
        <f>IF(OFERTA!$U117="","",OFERTA!$U117/OFERTA!$U$216)</f>
        <v>0</v>
      </c>
      <c r="AA117" s="3"/>
      <c r="AB117" s="23" t="str">
        <f>IF(AI117="","",AI117*OFERTA!$Q117)</f>
        <v/>
      </c>
      <c r="AC117" s="23" t="str">
        <f>IF(AI117="","",OFERTA!$N117*AI117)</f>
        <v/>
      </c>
      <c r="AD117" s="23" t="str">
        <f>IF(AI117="","",OFERTA!$M117*AI117)</f>
        <v/>
      </c>
      <c r="AE117" s="23" t="str">
        <f>IF(AI117="","",OFERTA!$P117*AI117)</f>
        <v/>
      </c>
      <c r="AF117" s="23" t="str">
        <f>IF(AI117="","",OFERTA!$O117*AI117)</f>
        <v/>
      </c>
      <c r="AG117" s="21" t="str">
        <f t="shared" si="13"/>
        <v/>
      </c>
      <c r="AH117" s="216">
        <v>7.27</v>
      </c>
      <c r="AI117" s="216"/>
      <c r="AJ117" s="216" t="str">
        <f t="shared" si="14"/>
        <v/>
      </c>
      <c r="AK117" s="216" t="str">
        <f t="shared" si="15"/>
        <v/>
      </c>
      <c r="AL117" s="216" t="str">
        <f>IF(AJ117="","",OFERTA!$E117/AJ117)</f>
        <v/>
      </c>
      <c r="AR117" s="1"/>
    </row>
    <row r="118" spans="1:44" ht="17.25" hidden="1" thickBot="1" x14ac:dyDescent="0.35">
      <c r="A118" s="220"/>
      <c r="B118" s="227">
        <v>113</v>
      </c>
      <c r="C118" s="232"/>
      <c r="D118" s="21"/>
      <c r="E118" s="21"/>
      <c r="F118" s="23"/>
      <c r="G118" s="23" t="str">
        <f>IF(OFERTA!$C118="","",IF(OFERTA!$F118="","",OFERTA!$F118*OFERTA!$E118))</f>
        <v/>
      </c>
      <c r="H118" s="229" t="str">
        <f>+IF(OFERTA!$F118="","",OFERTA!$G118/OFERTA!$G$216)</f>
        <v/>
      </c>
      <c r="I118" s="230"/>
      <c r="J118" s="230"/>
      <c r="K118" s="230"/>
      <c r="L118" s="230" t="str">
        <f t="shared" si="12"/>
        <v/>
      </c>
      <c r="M118" s="231">
        <f>+'80'!$N$28+'80'!$N$47</f>
        <v>0</v>
      </c>
      <c r="N118" s="231">
        <f>+'80'!$M$28+'80'!$M$47</f>
        <v>0</v>
      </c>
      <c r="O118" s="231">
        <f>IF('80'!$G$39=0,0,'80'!$G$39)</f>
        <v>0</v>
      </c>
      <c r="P118" s="231">
        <f>IF('80'!$G$55=0,0,'80'!$G$55)</f>
        <v>0</v>
      </c>
      <c r="Q118" s="231">
        <f>+OFERTA!$M118+OFERTA!$N118+OFERTA!$O118+OFERTA!$P118</f>
        <v>0</v>
      </c>
      <c r="R118" s="23">
        <f>IF(OFERTA!$M118="","",OFERTA!$M118*OFERTA!$E118)</f>
        <v>0</v>
      </c>
      <c r="S118" s="23">
        <f>IF(OFERTA!$N118="","",OFERTA!$N118*OFERTA!$E118)</f>
        <v>0</v>
      </c>
      <c r="T118" s="23">
        <f>IF(OFERTA!$O118="","",OFERTA!$O118*OFERTA!$E118)</f>
        <v>0</v>
      </c>
      <c r="U118" s="23">
        <f>IF(OFERTA!$P118="","",OFERTA!$P118*OFERTA!$E118)</f>
        <v>0</v>
      </c>
      <c r="V118" s="23">
        <f>IF(OFERTA!$U118="","",OFERTA!$U118+OFERTA!$T118+OFERTA!$S118+OFERTA!$R118)</f>
        <v>0</v>
      </c>
      <c r="W118" s="22">
        <f>IF(OFERTA!$R118="","",OFERTA!$R118/OFERTA!$R$216)</f>
        <v>0</v>
      </c>
      <c r="X118" s="22">
        <f>IF(OFERTA!$S118="","",OFERTA!$S118/OFERTA!$S$216)</f>
        <v>0</v>
      </c>
      <c r="Y118" s="22">
        <f>IF(OFERTA!$T118="","",OFERTA!$T118/OFERTA!$T$216)</f>
        <v>0</v>
      </c>
      <c r="Z118" s="22">
        <f>IF(OFERTA!$U118="","",OFERTA!$U118/OFERTA!$U$216)</f>
        <v>0</v>
      </c>
      <c r="AA118" s="3"/>
      <c r="AB118" s="23" t="str">
        <f>IF(AI118="","",AI118*OFERTA!$Q118)</f>
        <v/>
      </c>
      <c r="AC118" s="23" t="str">
        <f>IF(AI118="","",OFERTA!$N118*AI118)</f>
        <v/>
      </c>
      <c r="AD118" s="23" t="str">
        <f>IF(AI118="","",OFERTA!$M118*AI118)</f>
        <v/>
      </c>
      <c r="AE118" s="23" t="str">
        <f>IF(AI118="","",OFERTA!$P118*AI118)</f>
        <v/>
      </c>
      <c r="AF118" s="23" t="str">
        <f>IF(AI118="","",OFERTA!$O118*AI118)</f>
        <v/>
      </c>
      <c r="AG118" s="21" t="str">
        <f t="shared" si="13"/>
        <v/>
      </c>
      <c r="AH118" s="216">
        <v>7.27</v>
      </c>
      <c r="AI118" s="216"/>
      <c r="AJ118" s="216" t="str">
        <f t="shared" si="14"/>
        <v/>
      </c>
      <c r="AK118" s="216" t="str">
        <f t="shared" si="15"/>
        <v/>
      </c>
      <c r="AL118" s="216" t="str">
        <f>IF(AJ118="","",OFERTA!$E118/AJ118)</f>
        <v/>
      </c>
      <c r="AR118" s="1"/>
    </row>
    <row r="119" spans="1:44" ht="17.25" hidden="1" thickBot="1" x14ac:dyDescent="0.35">
      <c r="A119" s="220"/>
      <c r="B119" s="227">
        <v>114</v>
      </c>
      <c r="C119" s="232"/>
      <c r="D119" s="21"/>
      <c r="E119" s="21"/>
      <c r="F119" s="23"/>
      <c r="G119" s="23" t="str">
        <f>IF(OFERTA!$C119="","",IF(OFERTA!$F119="","",OFERTA!$F119*OFERTA!$E119))</f>
        <v/>
      </c>
      <c r="H119" s="229" t="str">
        <f>+IF(OFERTA!$F119="","",OFERTA!$G119/OFERTA!$G$216)</f>
        <v/>
      </c>
      <c r="I119" s="230"/>
      <c r="J119" s="230"/>
      <c r="K119" s="230"/>
      <c r="L119" s="230" t="str">
        <f t="shared" si="12"/>
        <v/>
      </c>
      <c r="M119" s="231">
        <f>+'80'!$N$28+'80'!$N$47</f>
        <v>0</v>
      </c>
      <c r="N119" s="231">
        <f>+'80'!$M$28+'80'!$M$47</f>
        <v>0</v>
      </c>
      <c r="O119" s="231">
        <f>IF('80'!$G$39=0,0,'80'!$G$39)</f>
        <v>0</v>
      </c>
      <c r="P119" s="231">
        <f>IF('80'!$G$55=0,0,'80'!$G$55)</f>
        <v>0</v>
      </c>
      <c r="Q119" s="231">
        <f>+OFERTA!$M119+OFERTA!$N119+OFERTA!$O119+OFERTA!$P119</f>
        <v>0</v>
      </c>
      <c r="R119" s="23">
        <f>IF(OFERTA!$M119="","",OFERTA!$M119*OFERTA!$E119)</f>
        <v>0</v>
      </c>
      <c r="S119" s="23">
        <f>IF(OFERTA!$N119="","",OFERTA!$N119*OFERTA!$E119)</f>
        <v>0</v>
      </c>
      <c r="T119" s="23">
        <f>IF(OFERTA!$O119="","",OFERTA!$O119*OFERTA!$E119)</f>
        <v>0</v>
      </c>
      <c r="U119" s="23">
        <f>IF(OFERTA!$P119="","",OFERTA!$P119*OFERTA!$E119)</f>
        <v>0</v>
      </c>
      <c r="V119" s="23">
        <f>IF(OFERTA!$U119="","",OFERTA!$U119+OFERTA!$T119+OFERTA!$S119+OFERTA!$R119)</f>
        <v>0</v>
      </c>
      <c r="W119" s="22">
        <f>IF(OFERTA!$R119="","",OFERTA!$R119/OFERTA!$R$216)</f>
        <v>0</v>
      </c>
      <c r="X119" s="22">
        <f>IF(OFERTA!$S119="","",OFERTA!$S119/OFERTA!$S$216)</f>
        <v>0</v>
      </c>
      <c r="Y119" s="22">
        <f>IF(OFERTA!$T119="","",OFERTA!$T119/OFERTA!$T$216)</f>
        <v>0</v>
      </c>
      <c r="Z119" s="22">
        <f>IF(OFERTA!$U119="","",OFERTA!$U119/OFERTA!$U$216)</f>
        <v>0</v>
      </c>
      <c r="AA119" s="3"/>
      <c r="AB119" s="23" t="str">
        <f>IF(AI119="","",AI119*OFERTA!$Q119)</f>
        <v/>
      </c>
      <c r="AC119" s="23" t="str">
        <f>IF(AI119="","",OFERTA!$N119*AI119)</f>
        <v/>
      </c>
      <c r="AD119" s="23" t="str">
        <f>IF(AI119="","",OFERTA!$M119*AI119)</f>
        <v/>
      </c>
      <c r="AE119" s="23" t="str">
        <f>IF(AI119="","",OFERTA!$P119*AI119)</f>
        <v/>
      </c>
      <c r="AF119" s="23" t="str">
        <f>IF(AI119="","",OFERTA!$O119*AI119)</f>
        <v/>
      </c>
      <c r="AG119" s="21" t="str">
        <f t="shared" si="13"/>
        <v/>
      </c>
      <c r="AH119" s="216">
        <v>7.27</v>
      </c>
      <c r="AI119" s="216"/>
      <c r="AJ119" s="216" t="str">
        <f t="shared" si="14"/>
        <v/>
      </c>
      <c r="AK119" s="216" t="str">
        <f t="shared" si="15"/>
        <v/>
      </c>
      <c r="AL119" s="216" t="str">
        <f>IF(AJ119="","",OFERTA!$E119/AJ119)</f>
        <v/>
      </c>
      <c r="AR119" s="1"/>
    </row>
    <row r="120" spans="1:44" ht="17.25" hidden="1" thickBot="1" x14ac:dyDescent="0.35">
      <c r="A120" s="220"/>
      <c r="B120" s="227">
        <v>115</v>
      </c>
      <c r="C120" s="232"/>
      <c r="D120" s="21"/>
      <c r="E120" s="21"/>
      <c r="F120" s="23"/>
      <c r="G120" s="23" t="str">
        <f>IF(OFERTA!$C120="","",IF(OFERTA!$F120="","",OFERTA!$F120*OFERTA!$E120))</f>
        <v/>
      </c>
      <c r="H120" s="229" t="str">
        <f>+IF(OFERTA!$F120="","",OFERTA!$G120/OFERTA!$G$216)</f>
        <v/>
      </c>
      <c r="I120" s="230"/>
      <c r="J120" s="230"/>
      <c r="K120" s="230"/>
      <c r="L120" s="230" t="str">
        <f t="shared" si="12"/>
        <v/>
      </c>
      <c r="M120" s="231">
        <f>+'80'!$N$28+'80'!$N$47</f>
        <v>0</v>
      </c>
      <c r="N120" s="231">
        <f>+'80'!$M$28+'80'!$M$47</f>
        <v>0</v>
      </c>
      <c r="O120" s="231">
        <f>IF('80'!$G$39=0,0,'80'!$G$39)</f>
        <v>0</v>
      </c>
      <c r="P120" s="231">
        <f>IF('80'!$G$55=0,0,'80'!$G$55)</f>
        <v>0</v>
      </c>
      <c r="Q120" s="231">
        <f>+OFERTA!$M120+OFERTA!$N120+OFERTA!$O120+OFERTA!$P120</f>
        <v>0</v>
      </c>
      <c r="R120" s="23">
        <f>IF(OFERTA!$M120="","",OFERTA!$M120*OFERTA!$E120)</f>
        <v>0</v>
      </c>
      <c r="S120" s="23">
        <f>IF(OFERTA!$N120="","",OFERTA!$N120*OFERTA!$E120)</f>
        <v>0</v>
      </c>
      <c r="T120" s="23">
        <f>IF(OFERTA!$O120="","",OFERTA!$O120*OFERTA!$E120)</f>
        <v>0</v>
      </c>
      <c r="U120" s="23">
        <f>IF(OFERTA!$P120="","",OFERTA!$P120*OFERTA!$E120)</f>
        <v>0</v>
      </c>
      <c r="V120" s="23">
        <f>IF(OFERTA!$U120="","",OFERTA!$U120+OFERTA!$T120+OFERTA!$S120+OFERTA!$R120)</f>
        <v>0</v>
      </c>
      <c r="W120" s="22">
        <f>IF(OFERTA!$R120="","",OFERTA!$R120/OFERTA!$R$216)</f>
        <v>0</v>
      </c>
      <c r="X120" s="22">
        <f>IF(OFERTA!$S120="","",OFERTA!$S120/OFERTA!$S$216)</f>
        <v>0</v>
      </c>
      <c r="Y120" s="22">
        <f>IF(OFERTA!$T120="","",OFERTA!$T120/OFERTA!$T$216)</f>
        <v>0</v>
      </c>
      <c r="Z120" s="22">
        <f>IF(OFERTA!$U120="","",OFERTA!$U120/OFERTA!$U$216)</f>
        <v>0</v>
      </c>
      <c r="AA120" s="3"/>
      <c r="AB120" s="23" t="str">
        <f>IF(AI120="","",AI120*OFERTA!$Q120)</f>
        <v/>
      </c>
      <c r="AC120" s="23" t="str">
        <f>IF(AI120="","",OFERTA!$N120*AI120)</f>
        <v/>
      </c>
      <c r="AD120" s="23" t="str">
        <f>IF(AI120="","",OFERTA!$M120*AI120)</f>
        <v/>
      </c>
      <c r="AE120" s="23" t="str">
        <f>IF(AI120="","",OFERTA!$P120*AI120)</f>
        <v/>
      </c>
      <c r="AF120" s="23" t="str">
        <f>IF(AI120="","",OFERTA!$O120*AI120)</f>
        <v/>
      </c>
      <c r="AG120" s="21" t="str">
        <f t="shared" si="13"/>
        <v/>
      </c>
      <c r="AH120" s="216">
        <v>7.27</v>
      </c>
      <c r="AI120" s="216"/>
      <c r="AJ120" s="216" t="str">
        <f t="shared" si="14"/>
        <v/>
      </c>
      <c r="AK120" s="216" t="str">
        <f t="shared" si="15"/>
        <v/>
      </c>
      <c r="AL120" s="216" t="str">
        <f>IF(AJ120="","",OFERTA!$E120/AJ120)</f>
        <v/>
      </c>
      <c r="AR120" s="1"/>
    </row>
    <row r="121" spans="1:44" ht="17.25" hidden="1" thickBot="1" x14ac:dyDescent="0.35">
      <c r="A121" s="220"/>
      <c r="B121" s="227">
        <v>116</v>
      </c>
      <c r="C121" s="232"/>
      <c r="D121" s="21"/>
      <c r="E121" s="21"/>
      <c r="F121" s="23"/>
      <c r="G121" s="23" t="str">
        <f>IF(OFERTA!$C121="","",IF(OFERTA!$F121="","",OFERTA!$F121*OFERTA!$E121))</f>
        <v/>
      </c>
      <c r="H121" s="229" t="str">
        <f>+IF(OFERTA!$F121="","",OFERTA!$G121/OFERTA!$G$216)</f>
        <v/>
      </c>
      <c r="I121" s="230"/>
      <c r="J121" s="230"/>
      <c r="K121" s="230"/>
      <c r="L121" s="230" t="str">
        <f t="shared" si="12"/>
        <v/>
      </c>
      <c r="M121" s="231">
        <f>+'80'!$N$28+'80'!$N$47</f>
        <v>0</v>
      </c>
      <c r="N121" s="231">
        <f>+'80'!$M$28+'80'!$M$47</f>
        <v>0</v>
      </c>
      <c r="O121" s="231">
        <f>IF('80'!$G$39=0,0,'80'!$G$39)</f>
        <v>0</v>
      </c>
      <c r="P121" s="231">
        <f>IF('80'!$G$55=0,0,'80'!$G$55)</f>
        <v>0</v>
      </c>
      <c r="Q121" s="231">
        <f>+OFERTA!$M121+OFERTA!$N121+OFERTA!$O121+OFERTA!$P121</f>
        <v>0</v>
      </c>
      <c r="R121" s="23">
        <f>IF(OFERTA!$M121="","",OFERTA!$M121*OFERTA!$E121)</f>
        <v>0</v>
      </c>
      <c r="S121" s="23">
        <f>IF(OFERTA!$N121="","",OFERTA!$N121*OFERTA!$E121)</f>
        <v>0</v>
      </c>
      <c r="T121" s="23">
        <f>IF(OFERTA!$O121="","",OFERTA!$O121*OFERTA!$E121)</f>
        <v>0</v>
      </c>
      <c r="U121" s="23">
        <f>IF(OFERTA!$P121="","",OFERTA!$P121*OFERTA!$E121)</f>
        <v>0</v>
      </c>
      <c r="V121" s="23">
        <f>IF(OFERTA!$U121="","",OFERTA!$U121+OFERTA!$T121+OFERTA!$S121+OFERTA!$R121)</f>
        <v>0</v>
      </c>
      <c r="W121" s="22">
        <f>IF(OFERTA!$R121="","",OFERTA!$R121/OFERTA!$R$216)</f>
        <v>0</v>
      </c>
      <c r="X121" s="22">
        <f>IF(OFERTA!$S121="","",OFERTA!$S121/OFERTA!$S$216)</f>
        <v>0</v>
      </c>
      <c r="Y121" s="22">
        <f>IF(OFERTA!$T121="","",OFERTA!$T121/OFERTA!$T$216)</f>
        <v>0</v>
      </c>
      <c r="Z121" s="22">
        <f>IF(OFERTA!$U121="","",OFERTA!$U121/OFERTA!$U$216)</f>
        <v>0</v>
      </c>
      <c r="AA121" s="3"/>
      <c r="AB121" s="23" t="str">
        <f>IF(AI121="","",AI121*OFERTA!$Q121)</f>
        <v/>
      </c>
      <c r="AC121" s="23" t="str">
        <f>IF(AI121="","",OFERTA!$N121*AI121)</f>
        <v/>
      </c>
      <c r="AD121" s="23" t="str">
        <f>IF(AI121="","",OFERTA!$M121*AI121)</f>
        <v/>
      </c>
      <c r="AE121" s="23" t="str">
        <f>IF(AI121="","",OFERTA!$P121*AI121)</f>
        <v/>
      </c>
      <c r="AF121" s="23" t="str">
        <f>IF(AI121="","",OFERTA!$O121*AI121)</f>
        <v/>
      </c>
      <c r="AG121" s="21" t="str">
        <f t="shared" si="13"/>
        <v/>
      </c>
      <c r="AH121" s="216">
        <v>7.27</v>
      </c>
      <c r="AI121" s="216"/>
      <c r="AJ121" s="216" t="str">
        <f t="shared" si="14"/>
        <v/>
      </c>
      <c r="AK121" s="216" t="str">
        <f t="shared" si="15"/>
        <v/>
      </c>
      <c r="AL121" s="216" t="str">
        <f>IF(AJ121="","",OFERTA!$E121/AJ121)</f>
        <v/>
      </c>
      <c r="AR121" s="1"/>
    </row>
    <row r="122" spans="1:44" ht="17.25" hidden="1" thickBot="1" x14ac:dyDescent="0.35">
      <c r="A122" s="220"/>
      <c r="B122" s="227">
        <v>117</v>
      </c>
      <c r="C122" s="232"/>
      <c r="D122" s="21"/>
      <c r="E122" s="21"/>
      <c r="F122" s="23"/>
      <c r="G122" s="23" t="str">
        <f>IF(OFERTA!$C122="","",IF(OFERTA!$F122="","",OFERTA!$F122*OFERTA!$E122))</f>
        <v/>
      </c>
      <c r="H122" s="229" t="str">
        <f>+IF(OFERTA!$F122="","",OFERTA!$G122/OFERTA!$G$216)</f>
        <v/>
      </c>
      <c r="I122" s="230"/>
      <c r="J122" s="230"/>
      <c r="K122" s="230"/>
      <c r="L122" s="230" t="str">
        <f t="shared" si="12"/>
        <v/>
      </c>
      <c r="M122" s="231">
        <f>+'80'!$N$28+'80'!$N$47</f>
        <v>0</v>
      </c>
      <c r="N122" s="231">
        <f>+'80'!$M$28+'80'!$M$47</f>
        <v>0</v>
      </c>
      <c r="O122" s="231">
        <f>IF('80'!$G$39=0,0,'80'!$G$39)</f>
        <v>0</v>
      </c>
      <c r="P122" s="231">
        <f>IF('80'!$G$55=0,0,'80'!$G$55)</f>
        <v>0</v>
      </c>
      <c r="Q122" s="231">
        <f>+OFERTA!$M122+OFERTA!$N122+OFERTA!$O122+OFERTA!$P122</f>
        <v>0</v>
      </c>
      <c r="R122" s="23">
        <f>IF(OFERTA!$M122="","",OFERTA!$M122*OFERTA!$E122)</f>
        <v>0</v>
      </c>
      <c r="S122" s="23">
        <f>IF(OFERTA!$N122="","",OFERTA!$N122*OFERTA!$E122)</f>
        <v>0</v>
      </c>
      <c r="T122" s="23">
        <f>IF(OFERTA!$O122="","",OFERTA!$O122*OFERTA!$E122)</f>
        <v>0</v>
      </c>
      <c r="U122" s="23">
        <f>IF(OFERTA!$P122="","",OFERTA!$P122*OFERTA!$E122)</f>
        <v>0</v>
      </c>
      <c r="V122" s="23">
        <f>IF(OFERTA!$U122="","",OFERTA!$U122+OFERTA!$T122+OFERTA!$S122+OFERTA!$R122)</f>
        <v>0</v>
      </c>
      <c r="W122" s="22">
        <f>IF(OFERTA!$R122="","",OFERTA!$R122/OFERTA!$R$216)</f>
        <v>0</v>
      </c>
      <c r="X122" s="22">
        <f>IF(OFERTA!$S122="","",OFERTA!$S122/OFERTA!$S$216)</f>
        <v>0</v>
      </c>
      <c r="Y122" s="22">
        <f>IF(OFERTA!$T122="","",OFERTA!$T122/OFERTA!$T$216)</f>
        <v>0</v>
      </c>
      <c r="Z122" s="22">
        <f>IF(OFERTA!$U122="","",OFERTA!$U122/OFERTA!$U$216)</f>
        <v>0</v>
      </c>
      <c r="AA122" s="3"/>
      <c r="AB122" s="23" t="str">
        <f>IF(AI122="","",AI122*OFERTA!$Q122)</f>
        <v/>
      </c>
      <c r="AC122" s="23" t="str">
        <f>IF(AI122="","",OFERTA!$N122*AI122)</f>
        <v/>
      </c>
      <c r="AD122" s="23" t="str">
        <f>IF(AI122="","",OFERTA!$M122*AI122)</f>
        <v/>
      </c>
      <c r="AE122" s="23" t="str">
        <f>IF(AI122="","",OFERTA!$P122*AI122)</f>
        <v/>
      </c>
      <c r="AF122" s="23" t="str">
        <f>IF(AI122="","",OFERTA!$O122*AI122)</f>
        <v/>
      </c>
      <c r="AG122" s="21" t="str">
        <f t="shared" si="13"/>
        <v/>
      </c>
      <c r="AH122" s="216">
        <v>7.27</v>
      </c>
      <c r="AI122" s="216"/>
      <c r="AJ122" s="216" t="str">
        <f t="shared" si="14"/>
        <v/>
      </c>
      <c r="AK122" s="216" t="str">
        <f t="shared" si="15"/>
        <v/>
      </c>
      <c r="AL122" s="216" t="str">
        <f>IF(AJ122="","",OFERTA!$E122/AJ122)</f>
        <v/>
      </c>
      <c r="AR122" s="1"/>
    </row>
    <row r="123" spans="1:44" ht="17.25" hidden="1" thickBot="1" x14ac:dyDescent="0.35">
      <c r="A123" s="220"/>
      <c r="B123" s="227">
        <v>118</v>
      </c>
      <c r="C123" s="232"/>
      <c r="D123" s="21"/>
      <c r="E123" s="21"/>
      <c r="F123" s="23"/>
      <c r="G123" s="23" t="str">
        <f>IF(OFERTA!$C123="","",IF(OFERTA!$F123="","",OFERTA!$F123*OFERTA!$E123))</f>
        <v/>
      </c>
      <c r="H123" s="229" t="str">
        <f>+IF(OFERTA!$F123="","",OFERTA!$G123/OFERTA!$G$216)</f>
        <v/>
      </c>
      <c r="I123" s="230"/>
      <c r="J123" s="230"/>
      <c r="K123" s="230"/>
      <c r="L123" s="230" t="str">
        <f t="shared" si="12"/>
        <v/>
      </c>
      <c r="M123" s="231">
        <f>+'80'!$N$28+'80'!$N$47</f>
        <v>0</v>
      </c>
      <c r="N123" s="231">
        <f>+'80'!$M$28+'80'!$M$47</f>
        <v>0</v>
      </c>
      <c r="O123" s="231">
        <f>IF('80'!$G$39=0,0,'80'!$G$39)</f>
        <v>0</v>
      </c>
      <c r="P123" s="231">
        <f>IF('80'!$G$55=0,0,'80'!$G$55)</f>
        <v>0</v>
      </c>
      <c r="Q123" s="231">
        <f>+OFERTA!$M123+OFERTA!$N123+OFERTA!$O123+OFERTA!$P123</f>
        <v>0</v>
      </c>
      <c r="R123" s="23">
        <f>IF(OFERTA!$M123="","",OFERTA!$M123*OFERTA!$E123)</f>
        <v>0</v>
      </c>
      <c r="S123" s="23">
        <f>IF(OFERTA!$N123="","",OFERTA!$N123*OFERTA!$E123)</f>
        <v>0</v>
      </c>
      <c r="T123" s="23">
        <f>IF(OFERTA!$O123="","",OFERTA!$O123*OFERTA!$E123)</f>
        <v>0</v>
      </c>
      <c r="U123" s="23">
        <f>IF(OFERTA!$P123="","",OFERTA!$P123*OFERTA!$E123)</f>
        <v>0</v>
      </c>
      <c r="V123" s="23">
        <f>IF(OFERTA!$U123="","",OFERTA!$U123+OFERTA!$T123+OFERTA!$S123+OFERTA!$R123)</f>
        <v>0</v>
      </c>
      <c r="W123" s="22">
        <f>IF(OFERTA!$R123="","",OFERTA!$R123/OFERTA!$R$216)</f>
        <v>0</v>
      </c>
      <c r="X123" s="22">
        <f>IF(OFERTA!$S123="","",OFERTA!$S123/OFERTA!$S$216)</f>
        <v>0</v>
      </c>
      <c r="Y123" s="22">
        <f>IF(OFERTA!$T123="","",OFERTA!$T123/OFERTA!$T$216)</f>
        <v>0</v>
      </c>
      <c r="Z123" s="22">
        <f>IF(OFERTA!$U123="","",OFERTA!$U123/OFERTA!$U$216)</f>
        <v>0</v>
      </c>
      <c r="AA123" s="3"/>
      <c r="AB123" s="23" t="str">
        <f>IF(AI123="","",AI123*OFERTA!$Q123)</f>
        <v/>
      </c>
      <c r="AC123" s="23" t="str">
        <f>IF(AI123="","",OFERTA!$N123*AI123)</f>
        <v/>
      </c>
      <c r="AD123" s="23" t="str">
        <f>IF(AI123="","",OFERTA!$M123*AI123)</f>
        <v/>
      </c>
      <c r="AE123" s="23" t="str">
        <f>IF(AI123="","",OFERTA!$P123*AI123)</f>
        <v/>
      </c>
      <c r="AF123" s="23" t="str">
        <f>IF(AI123="","",OFERTA!$O123*AI123)</f>
        <v/>
      </c>
      <c r="AG123" s="21" t="str">
        <f t="shared" si="13"/>
        <v/>
      </c>
      <c r="AH123" s="216">
        <v>7.27</v>
      </c>
      <c r="AI123" s="216"/>
      <c r="AJ123" s="216" t="str">
        <f t="shared" si="14"/>
        <v/>
      </c>
      <c r="AK123" s="216" t="str">
        <f t="shared" si="15"/>
        <v/>
      </c>
      <c r="AL123" s="216" t="str">
        <f>IF(AJ123="","",OFERTA!$E123/AJ123)</f>
        <v/>
      </c>
      <c r="AR123" s="1"/>
    </row>
    <row r="124" spans="1:44" ht="17.25" hidden="1" thickBot="1" x14ac:dyDescent="0.35">
      <c r="A124" s="220"/>
      <c r="B124" s="227">
        <v>119</v>
      </c>
      <c r="C124" s="232"/>
      <c r="D124" s="21"/>
      <c r="E124" s="21"/>
      <c r="F124" s="23"/>
      <c r="G124" s="23" t="str">
        <f>IF(OFERTA!$C124="","",IF(OFERTA!$F124="","",OFERTA!$F124*OFERTA!$E124))</f>
        <v/>
      </c>
      <c r="H124" s="229" t="str">
        <f>+IF(OFERTA!$F124="","",OFERTA!$G124/OFERTA!$G$216)</f>
        <v/>
      </c>
      <c r="I124" s="230"/>
      <c r="J124" s="230"/>
      <c r="K124" s="230"/>
      <c r="L124" s="230" t="str">
        <f t="shared" si="12"/>
        <v/>
      </c>
      <c r="M124" s="231">
        <f>+'80'!$N$28+'80'!$N$47</f>
        <v>0</v>
      </c>
      <c r="N124" s="231">
        <f>+'80'!$M$28+'80'!$M$47</f>
        <v>0</v>
      </c>
      <c r="O124" s="231">
        <f>IF('80'!$G$39=0,0,'80'!$G$39)</f>
        <v>0</v>
      </c>
      <c r="P124" s="231">
        <f>IF('80'!$G$55=0,0,'80'!$G$55)</f>
        <v>0</v>
      </c>
      <c r="Q124" s="231">
        <f>+OFERTA!$M124+OFERTA!$N124+OFERTA!$O124+OFERTA!$P124</f>
        <v>0</v>
      </c>
      <c r="R124" s="23">
        <f>IF(OFERTA!$M124="","",OFERTA!$M124*OFERTA!$E124)</f>
        <v>0</v>
      </c>
      <c r="S124" s="23">
        <f>IF(OFERTA!$N124="","",OFERTA!$N124*OFERTA!$E124)</f>
        <v>0</v>
      </c>
      <c r="T124" s="23">
        <f>IF(OFERTA!$O124="","",OFERTA!$O124*OFERTA!$E124)</f>
        <v>0</v>
      </c>
      <c r="U124" s="23">
        <f>IF(OFERTA!$P124="","",OFERTA!$P124*OFERTA!$E124)</f>
        <v>0</v>
      </c>
      <c r="V124" s="23">
        <f>IF(OFERTA!$U124="","",OFERTA!$U124+OFERTA!$T124+OFERTA!$S124+OFERTA!$R124)</f>
        <v>0</v>
      </c>
      <c r="W124" s="22">
        <f>IF(OFERTA!$R124="","",OFERTA!$R124/OFERTA!$R$216)</f>
        <v>0</v>
      </c>
      <c r="X124" s="22">
        <f>IF(OFERTA!$S124="","",OFERTA!$S124/OFERTA!$S$216)</f>
        <v>0</v>
      </c>
      <c r="Y124" s="22">
        <f>IF(OFERTA!$T124="","",OFERTA!$T124/OFERTA!$T$216)</f>
        <v>0</v>
      </c>
      <c r="Z124" s="22">
        <f>IF(OFERTA!$U124="","",OFERTA!$U124/OFERTA!$U$216)</f>
        <v>0</v>
      </c>
      <c r="AA124" s="3"/>
      <c r="AB124" s="23" t="str">
        <f>IF(AI124="","",AI124*OFERTA!$Q124)</f>
        <v/>
      </c>
      <c r="AC124" s="23" t="str">
        <f>IF(AI124="","",OFERTA!$N124*AI124)</f>
        <v/>
      </c>
      <c r="AD124" s="23" t="str">
        <f>IF(AI124="","",OFERTA!$M124*AI124)</f>
        <v/>
      </c>
      <c r="AE124" s="23" t="str">
        <f>IF(AI124="","",OFERTA!$P124*AI124)</f>
        <v/>
      </c>
      <c r="AF124" s="23" t="str">
        <f>IF(AI124="","",OFERTA!$O124*AI124)</f>
        <v/>
      </c>
      <c r="AG124" s="21" t="str">
        <f t="shared" si="13"/>
        <v/>
      </c>
      <c r="AH124" s="216">
        <v>7.27</v>
      </c>
      <c r="AI124" s="216"/>
      <c r="AJ124" s="216" t="str">
        <f t="shared" si="14"/>
        <v/>
      </c>
      <c r="AK124" s="216" t="str">
        <f t="shared" si="15"/>
        <v/>
      </c>
      <c r="AL124" s="216" t="str">
        <f>IF(AJ124="","",OFERTA!$E124/AJ124)</f>
        <v/>
      </c>
      <c r="AR124" s="1"/>
    </row>
    <row r="125" spans="1:44" ht="17.25" hidden="1" thickBot="1" x14ac:dyDescent="0.35">
      <c r="A125" s="220"/>
      <c r="B125" s="227">
        <v>120</v>
      </c>
      <c r="C125" s="232"/>
      <c r="D125" s="21"/>
      <c r="E125" s="21"/>
      <c r="F125" s="23"/>
      <c r="G125" s="23" t="str">
        <f>IF(OFERTA!$C125="","",IF(OFERTA!$F125="","",OFERTA!$F125*OFERTA!$E125))</f>
        <v/>
      </c>
      <c r="H125" s="229" t="str">
        <f>+IF(OFERTA!$F125="","",OFERTA!$G125/OFERTA!$G$216)</f>
        <v/>
      </c>
      <c r="I125" s="230"/>
      <c r="J125" s="230"/>
      <c r="K125" s="230"/>
      <c r="L125" s="230" t="str">
        <f t="shared" si="12"/>
        <v/>
      </c>
      <c r="M125" s="231">
        <f>+'80'!$N$28+'80'!$N$47</f>
        <v>0</v>
      </c>
      <c r="N125" s="231">
        <f>+'80'!$M$28+'80'!$M$47</f>
        <v>0</v>
      </c>
      <c r="O125" s="231">
        <f>IF('80'!$G$39=0,0,'80'!$G$39)</f>
        <v>0</v>
      </c>
      <c r="P125" s="231">
        <f>IF('80'!$G$55=0,0,'80'!$G$55)</f>
        <v>0</v>
      </c>
      <c r="Q125" s="231">
        <f>+OFERTA!$M125+OFERTA!$N125+OFERTA!$O125+OFERTA!$P125</f>
        <v>0</v>
      </c>
      <c r="R125" s="23">
        <f>IF(OFERTA!$M125="","",OFERTA!$M125*OFERTA!$E125)</f>
        <v>0</v>
      </c>
      <c r="S125" s="23">
        <f>IF(OFERTA!$N125="","",OFERTA!$N125*OFERTA!$E125)</f>
        <v>0</v>
      </c>
      <c r="T125" s="23">
        <f>IF(OFERTA!$O125="","",OFERTA!$O125*OFERTA!$E125)</f>
        <v>0</v>
      </c>
      <c r="U125" s="23">
        <f>IF(OFERTA!$P125="","",OFERTA!$P125*OFERTA!$E125)</f>
        <v>0</v>
      </c>
      <c r="V125" s="23">
        <f>IF(OFERTA!$U125="","",OFERTA!$U125+OFERTA!$T125+OFERTA!$S125+OFERTA!$R125)</f>
        <v>0</v>
      </c>
      <c r="W125" s="22">
        <f>IF(OFERTA!$R125="","",OFERTA!$R125/OFERTA!$R$216)</f>
        <v>0</v>
      </c>
      <c r="X125" s="22">
        <f>IF(OFERTA!$S125="","",OFERTA!$S125/OFERTA!$S$216)</f>
        <v>0</v>
      </c>
      <c r="Y125" s="22">
        <f>IF(OFERTA!$T125="","",OFERTA!$T125/OFERTA!$T$216)</f>
        <v>0</v>
      </c>
      <c r="Z125" s="22">
        <f>IF(OFERTA!$U125="","",OFERTA!$U125/OFERTA!$U$216)</f>
        <v>0</v>
      </c>
      <c r="AA125" s="3"/>
      <c r="AB125" s="23" t="str">
        <f>IF(AI125="","",AI125*OFERTA!$Q125)</f>
        <v/>
      </c>
      <c r="AC125" s="23" t="str">
        <f>IF(AI125="","",OFERTA!$N125*AI125)</f>
        <v/>
      </c>
      <c r="AD125" s="23" t="str">
        <f>IF(AI125="","",OFERTA!$M125*AI125)</f>
        <v/>
      </c>
      <c r="AE125" s="23" t="str">
        <f>IF(AI125="","",OFERTA!$P125*AI125)</f>
        <v/>
      </c>
      <c r="AF125" s="23" t="str">
        <f>IF(AI125="","",OFERTA!$O125*AI125)</f>
        <v/>
      </c>
      <c r="AG125" s="21" t="str">
        <f t="shared" si="13"/>
        <v/>
      </c>
      <c r="AH125" s="216">
        <v>7.27</v>
      </c>
      <c r="AI125" s="216"/>
      <c r="AJ125" s="216" t="str">
        <f t="shared" si="14"/>
        <v/>
      </c>
      <c r="AK125" s="216" t="str">
        <f t="shared" si="15"/>
        <v/>
      </c>
      <c r="AL125" s="216" t="str">
        <f>IF(AJ125="","",OFERTA!$E125/AJ125)</f>
        <v/>
      </c>
      <c r="AR125" s="1"/>
    </row>
    <row r="126" spans="1:44" ht="17.25" hidden="1" thickBot="1" x14ac:dyDescent="0.35">
      <c r="A126" s="220"/>
      <c r="B126" s="227">
        <v>121</v>
      </c>
      <c r="C126" s="232"/>
      <c r="D126" s="21"/>
      <c r="E126" s="21"/>
      <c r="F126" s="23"/>
      <c r="G126" s="23" t="str">
        <f>IF(OFERTA!$C126="","",IF(OFERTA!$F126="","",OFERTA!$F126*OFERTA!$E126))</f>
        <v/>
      </c>
      <c r="H126" s="229" t="str">
        <f>+IF(OFERTA!$F126="","",OFERTA!$G126/OFERTA!$G$216)</f>
        <v/>
      </c>
      <c r="I126" s="230"/>
      <c r="J126" s="230"/>
      <c r="K126" s="230"/>
      <c r="L126" s="230" t="str">
        <f t="shared" si="12"/>
        <v/>
      </c>
      <c r="M126" s="231">
        <f>+'80'!$N$28+'80'!$N$47</f>
        <v>0</v>
      </c>
      <c r="N126" s="231">
        <f>+'80'!$M$28+'80'!$M$47</f>
        <v>0</v>
      </c>
      <c r="O126" s="231">
        <f>IF('80'!$G$39=0,0,'80'!$G$39)</f>
        <v>0</v>
      </c>
      <c r="P126" s="231">
        <f>IF('80'!$G$55=0,0,'80'!$G$55)</f>
        <v>0</v>
      </c>
      <c r="Q126" s="231">
        <f>+OFERTA!$M126+OFERTA!$N126+OFERTA!$O126+OFERTA!$P126</f>
        <v>0</v>
      </c>
      <c r="R126" s="23">
        <f>IF(OFERTA!$M126="","",OFERTA!$M126*OFERTA!$E126)</f>
        <v>0</v>
      </c>
      <c r="S126" s="23">
        <f>IF(OFERTA!$N126="","",OFERTA!$N126*OFERTA!$E126)</f>
        <v>0</v>
      </c>
      <c r="T126" s="23">
        <f>IF(OFERTA!$O126="","",OFERTA!$O126*OFERTA!$E126)</f>
        <v>0</v>
      </c>
      <c r="U126" s="23">
        <f>IF(OFERTA!$P126="","",OFERTA!$P126*OFERTA!$E126)</f>
        <v>0</v>
      </c>
      <c r="V126" s="23">
        <f>IF(OFERTA!$U126="","",OFERTA!$U126+OFERTA!$T126+OFERTA!$S126+OFERTA!$R126)</f>
        <v>0</v>
      </c>
      <c r="W126" s="22">
        <f>IF(OFERTA!$R126="","",OFERTA!$R126/OFERTA!$R$216)</f>
        <v>0</v>
      </c>
      <c r="X126" s="22">
        <f>IF(OFERTA!$S126="","",OFERTA!$S126/OFERTA!$S$216)</f>
        <v>0</v>
      </c>
      <c r="Y126" s="22">
        <f>IF(OFERTA!$T126="","",OFERTA!$T126/OFERTA!$T$216)</f>
        <v>0</v>
      </c>
      <c r="Z126" s="22">
        <f>IF(OFERTA!$U126="","",OFERTA!$U126/OFERTA!$U$216)</f>
        <v>0</v>
      </c>
      <c r="AA126" s="3"/>
      <c r="AB126" s="23" t="str">
        <f>IF(AI126="","",AI126*OFERTA!$Q126)</f>
        <v/>
      </c>
      <c r="AC126" s="23" t="str">
        <f>IF(AI126="","",OFERTA!$N126*AI126)</f>
        <v/>
      </c>
      <c r="AD126" s="23" t="str">
        <f>IF(AI126="","",OFERTA!$M126*AI126)</f>
        <v/>
      </c>
      <c r="AE126" s="23" t="str">
        <f>IF(AI126="","",OFERTA!$P126*AI126)</f>
        <v/>
      </c>
      <c r="AF126" s="23" t="str">
        <f>IF(AI126="","",OFERTA!$O126*AI126)</f>
        <v/>
      </c>
      <c r="AG126" s="21" t="str">
        <f t="shared" si="13"/>
        <v/>
      </c>
      <c r="AH126" s="216">
        <v>7.27</v>
      </c>
      <c r="AI126" s="216"/>
      <c r="AJ126" s="216" t="str">
        <f t="shared" si="14"/>
        <v/>
      </c>
      <c r="AK126" s="216" t="str">
        <f t="shared" si="15"/>
        <v/>
      </c>
      <c r="AL126" s="216" t="str">
        <f>IF(AJ126="","",OFERTA!$E126/AJ126)</f>
        <v/>
      </c>
      <c r="AR126" s="1"/>
    </row>
    <row r="127" spans="1:44" ht="17.25" hidden="1" thickBot="1" x14ac:dyDescent="0.35">
      <c r="A127" s="220"/>
      <c r="B127" s="227">
        <v>122</v>
      </c>
      <c r="C127" s="232"/>
      <c r="D127" s="21"/>
      <c r="E127" s="21"/>
      <c r="F127" s="23"/>
      <c r="G127" s="23" t="str">
        <f>IF(OFERTA!$C127="","",IF(OFERTA!$F127="","",OFERTA!$F127*OFERTA!$E127))</f>
        <v/>
      </c>
      <c r="H127" s="229" t="str">
        <f>+IF(OFERTA!$F127="","",OFERTA!$G127/OFERTA!$G$216)</f>
        <v/>
      </c>
      <c r="I127" s="230"/>
      <c r="J127" s="230"/>
      <c r="K127" s="230"/>
      <c r="L127" s="230" t="str">
        <f t="shared" si="12"/>
        <v/>
      </c>
      <c r="M127" s="231">
        <f>+'80'!$N$28+'80'!$N$47</f>
        <v>0</v>
      </c>
      <c r="N127" s="231">
        <f>+'80'!$M$28+'80'!$M$47</f>
        <v>0</v>
      </c>
      <c r="O127" s="231">
        <f>IF('80'!$G$39=0,0,'80'!$G$39)</f>
        <v>0</v>
      </c>
      <c r="P127" s="231">
        <f>IF('80'!$G$55=0,0,'80'!$G$55)</f>
        <v>0</v>
      </c>
      <c r="Q127" s="231">
        <f>+OFERTA!$M127+OFERTA!$N127+OFERTA!$O127+OFERTA!$P127</f>
        <v>0</v>
      </c>
      <c r="R127" s="23">
        <f>IF(OFERTA!$M127="","",OFERTA!$M127*OFERTA!$E127)</f>
        <v>0</v>
      </c>
      <c r="S127" s="23">
        <f>IF(OFERTA!$N127="","",OFERTA!$N127*OFERTA!$E127)</f>
        <v>0</v>
      </c>
      <c r="T127" s="23">
        <f>IF(OFERTA!$O127="","",OFERTA!$O127*OFERTA!$E127)</f>
        <v>0</v>
      </c>
      <c r="U127" s="23">
        <f>IF(OFERTA!$P127="","",OFERTA!$P127*OFERTA!$E127)</f>
        <v>0</v>
      </c>
      <c r="V127" s="23">
        <f>IF(OFERTA!$U127="","",OFERTA!$U127+OFERTA!$T127+OFERTA!$S127+OFERTA!$R127)</f>
        <v>0</v>
      </c>
      <c r="W127" s="22">
        <f>IF(OFERTA!$R127="","",OFERTA!$R127/OFERTA!$R$216)</f>
        <v>0</v>
      </c>
      <c r="X127" s="22">
        <f>IF(OFERTA!$S127="","",OFERTA!$S127/OFERTA!$S$216)</f>
        <v>0</v>
      </c>
      <c r="Y127" s="22">
        <f>IF(OFERTA!$T127="","",OFERTA!$T127/OFERTA!$T$216)</f>
        <v>0</v>
      </c>
      <c r="Z127" s="22">
        <f>IF(OFERTA!$U127="","",OFERTA!$U127/OFERTA!$U$216)</f>
        <v>0</v>
      </c>
      <c r="AA127" s="3"/>
      <c r="AB127" s="23" t="str">
        <f>IF(AI127="","",AI127*OFERTA!$Q127)</f>
        <v/>
      </c>
      <c r="AC127" s="23" t="str">
        <f>IF(AI127="","",OFERTA!$N127*AI127)</f>
        <v/>
      </c>
      <c r="AD127" s="23" t="str">
        <f>IF(AI127="","",OFERTA!$M127*AI127)</f>
        <v/>
      </c>
      <c r="AE127" s="23" t="str">
        <f>IF(AI127="","",OFERTA!$P127*AI127)</f>
        <v/>
      </c>
      <c r="AF127" s="23" t="str">
        <f>IF(AI127="","",OFERTA!$O127*AI127)</f>
        <v/>
      </c>
      <c r="AG127" s="21" t="str">
        <f t="shared" si="13"/>
        <v/>
      </c>
      <c r="AH127" s="216">
        <v>7.27</v>
      </c>
      <c r="AI127" s="216"/>
      <c r="AJ127" s="216" t="str">
        <f t="shared" si="14"/>
        <v/>
      </c>
      <c r="AK127" s="216" t="str">
        <f t="shared" si="15"/>
        <v/>
      </c>
      <c r="AL127" s="216" t="str">
        <f>IF(AJ127="","",OFERTA!$E127/AJ127)</f>
        <v/>
      </c>
      <c r="AR127" s="1"/>
    </row>
    <row r="128" spans="1:44" ht="17.25" hidden="1" thickBot="1" x14ac:dyDescent="0.35">
      <c r="A128" s="220"/>
      <c r="B128" s="227">
        <v>123</v>
      </c>
      <c r="C128" s="232"/>
      <c r="D128" s="21"/>
      <c r="E128" s="21"/>
      <c r="F128" s="23"/>
      <c r="G128" s="23" t="str">
        <f>IF(OFERTA!$C128="","",IF(OFERTA!$F128="","",OFERTA!$F128*OFERTA!$E128))</f>
        <v/>
      </c>
      <c r="H128" s="229" t="str">
        <f>+IF(OFERTA!$F128="","",OFERTA!$G128/OFERTA!$G$216)</f>
        <v/>
      </c>
      <c r="I128" s="230"/>
      <c r="J128" s="230"/>
      <c r="K128" s="230"/>
      <c r="L128" s="230" t="str">
        <f t="shared" si="12"/>
        <v/>
      </c>
      <c r="M128" s="231">
        <f>+'80'!$N$28+'80'!$N$47</f>
        <v>0</v>
      </c>
      <c r="N128" s="231">
        <f>+'80'!$M$28+'80'!$M$47</f>
        <v>0</v>
      </c>
      <c r="O128" s="231">
        <f>IF('80'!$G$39=0,0,'80'!$G$39)</f>
        <v>0</v>
      </c>
      <c r="P128" s="231">
        <f>IF('80'!$G$55=0,0,'80'!$G$55)</f>
        <v>0</v>
      </c>
      <c r="Q128" s="231">
        <f>+OFERTA!$M128+OFERTA!$N128+OFERTA!$O128+OFERTA!$P128</f>
        <v>0</v>
      </c>
      <c r="R128" s="23">
        <f>IF(OFERTA!$M128="","",OFERTA!$M128*OFERTA!$E128)</f>
        <v>0</v>
      </c>
      <c r="S128" s="23">
        <f>IF(OFERTA!$N128="","",OFERTA!$N128*OFERTA!$E128)</f>
        <v>0</v>
      </c>
      <c r="T128" s="23">
        <f>IF(OFERTA!$O128="","",OFERTA!$O128*OFERTA!$E128)</f>
        <v>0</v>
      </c>
      <c r="U128" s="23">
        <f>IF(OFERTA!$P128="","",OFERTA!$P128*OFERTA!$E128)</f>
        <v>0</v>
      </c>
      <c r="V128" s="23">
        <f>IF(OFERTA!$U128="","",OFERTA!$U128+OFERTA!$T128+OFERTA!$S128+OFERTA!$R128)</f>
        <v>0</v>
      </c>
      <c r="W128" s="22">
        <f>IF(OFERTA!$R128="","",OFERTA!$R128/OFERTA!$R$216)</f>
        <v>0</v>
      </c>
      <c r="X128" s="22">
        <f>IF(OFERTA!$S128="","",OFERTA!$S128/OFERTA!$S$216)</f>
        <v>0</v>
      </c>
      <c r="Y128" s="22">
        <f>IF(OFERTA!$T128="","",OFERTA!$T128/OFERTA!$T$216)</f>
        <v>0</v>
      </c>
      <c r="Z128" s="22">
        <f>IF(OFERTA!$U128="","",OFERTA!$U128/OFERTA!$U$216)</f>
        <v>0</v>
      </c>
      <c r="AA128" s="3"/>
      <c r="AB128" s="23" t="str">
        <f>IF(AI128="","",AI128*OFERTA!$Q128)</f>
        <v/>
      </c>
      <c r="AC128" s="23" t="str">
        <f>IF(AI128="","",OFERTA!$N128*AI128)</f>
        <v/>
      </c>
      <c r="AD128" s="23" t="str">
        <f>IF(AI128="","",OFERTA!$M128*AI128)</f>
        <v/>
      </c>
      <c r="AE128" s="23" t="str">
        <f>IF(AI128="","",OFERTA!$P128*AI128)</f>
        <v/>
      </c>
      <c r="AF128" s="23" t="str">
        <f>IF(AI128="","",OFERTA!$O128*AI128)</f>
        <v/>
      </c>
      <c r="AG128" s="21" t="str">
        <f t="shared" si="13"/>
        <v/>
      </c>
      <c r="AH128" s="216">
        <v>7.27</v>
      </c>
      <c r="AI128" s="216"/>
      <c r="AJ128" s="216" t="str">
        <f t="shared" si="14"/>
        <v/>
      </c>
      <c r="AK128" s="216" t="str">
        <f t="shared" si="15"/>
        <v/>
      </c>
      <c r="AL128" s="216" t="str">
        <f>IF(AJ128="","",OFERTA!$E128/AJ128)</f>
        <v/>
      </c>
      <c r="AR128" s="1"/>
    </row>
    <row r="129" spans="1:44" ht="17.25" hidden="1" thickBot="1" x14ac:dyDescent="0.35">
      <c r="A129" s="220"/>
      <c r="B129" s="227">
        <v>124</v>
      </c>
      <c r="C129" s="232"/>
      <c r="D129" s="21"/>
      <c r="E129" s="21"/>
      <c r="F129" s="23"/>
      <c r="G129" s="23" t="str">
        <f>IF(OFERTA!$C129="","",IF(OFERTA!$F129="","",OFERTA!$F129*OFERTA!$E129))</f>
        <v/>
      </c>
      <c r="H129" s="229" t="str">
        <f>+IF(OFERTA!$F129="","",OFERTA!$G129/OFERTA!$G$216)</f>
        <v/>
      </c>
      <c r="I129" s="230"/>
      <c r="J129" s="230"/>
      <c r="K129" s="230"/>
      <c r="L129" s="230" t="str">
        <f t="shared" si="12"/>
        <v/>
      </c>
      <c r="M129" s="231">
        <f>+'80'!$N$28+'80'!$N$47</f>
        <v>0</v>
      </c>
      <c r="N129" s="231">
        <f>+'80'!$M$28+'80'!$M$47</f>
        <v>0</v>
      </c>
      <c r="O129" s="231">
        <f>IF('80'!$G$39=0,0,'80'!$G$39)</f>
        <v>0</v>
      </c>
      <c r="P129" s="231">
        <f>IF('80'!$G$55=0,0,'80'!$G$55)</f>
        <v>0</v>
      </c>
      <c r="Q129" s="231">
        <f>+OFERTA!$M129+OFERTA!$N129+OFERTA!$O129+OFERTA!$P129</f>
        <v>0</v>
      </c>
      <c r="R129" s="23">
        <f>IF(OFERTA!$M129="","",OFERTA!$M129*OFERTA!$E129)</f>
        <v>0</v>
      </c>
      <c r="S129" s="23">
        <f>IF(OFERTA!$N129="","",OFERTA!$N129*OFERTA!$E129)</f>
        <v>0</v>
      </c>
      <c r="T129" s="23">
        <f>IF(OFERTA!$O129="","",OFERTA!$O129*OFERTA!$E129)</f>
        <v>0</v>
      </c>
      <c r="U129" s="23">
        <f>IF(OFERTA!$P129="","",OFERTA!$P129*OFERTA!$E129)</f>
        <v>0</v>
      </c>
      <c r="V129" s="23">
        <f>IF(OFERTA!$U129="","",OFERTA!$U129+OFERTA!$T129+OFERTA!$S129+OFERTA!$R129)</f>
        <v>0</v>
      </c>
      <c r="W129" s="22">
        <f>IF(OFERTA!$R129="","",OFERTA!$R129/OFERTA!$R$216)</f>
        <v>0</v>
      </c>
      <c r="X129" s="22">
        <f>IF(OFERTA!$S129="","",OFERTA!$S129/OFERTA!$S$216)</f>
        <v>0</v>
      </c>
      <c r="Y129" s="22">
        <f>IF(OFERTA!$T129="","",OFERTA!$T129/OFERTA!$T$216)</f>
        <v>0</v>
      </c>
      <c r="Z129" s="22">
        <f>IF(OFERTA!$U129="","",OFERTA!$U129/OFERTA!$U$216)</f>
        <v>0</v>
      </c>
      <c r="AA129" s="3"/>
      <c r="AB129" s="23" t="str">
        <f>IF(AI129="","",AI129*OFERTA!$Q129)</f>
        <v/>
      </c>
      <c r="AC129" s="23" t="str">
        <f>IF(AI129="","",OFERTA!$N129*AI129)</f>
        <v/>
      </c>
      <c r="AD129" s="23" t="str">
        <f>IF(AI129="","",OFERTA!$M129*AI129)</f>
        <v/>
      </c>
      <c r="AE129" s="23" t="str">
        <f>IF(AI129="","",OFERTA!$P129*AI129)</f>
        <v/>
      </c>
      <c r="AF129" s="23" t="str">
        <f>IF(AI129="","",OFERTA!$O129*AI129)</f>
        <v/>
      </c>
      <c r="AG129" s="21" t="str">
        <f t="shared" si="13"/>
        <v/>
      </c>
      <c r="AH129" s="216">
        <v>7.27</v>
      </c>
      <c r="AI129" s="216"/>
      <c r="AJ129" s="216" t="str">
        <f t="shared" si="14"/>
        <v/>
      </c>
      <c r="AK129" s="216" t="str">
        <f t="shared" si="15"/>
        <v/>
      </c>
      <c r="AL129" s="216" t="str">
        <f>IF(AJ129="","",OFERTA!$E129/AJ129)</f>
        <v/>
      </c>
      <c r="AR129" s="1"/>
    </row>
    <row r="130" spans="1:44" ht="17.25" hidden="1" thickBot="1" x14ac:dyDescent="0.35">
      <c r="A130" s="220"/>
      <c r="B130" s="227">
        <v>125</v>
      </c>
      <c r="C130" s="232"/>
      <c r="D130" s="21"/>
      <c r="E130" s="21"/>
      <c r="F130" s="23"/>
      <c r="G130" s="23" t="str">
        <f>IF(OFERTA!$C130="","",IF(OFERTA!$F130="","",OFERTA!$F130*OFERTA!$E130))</f>
        <v/>
      </c>
      <c r="H130" s="229" t="str">
        <f>+IF(OFERTA!$F130="","",OFERTA!$G130/OFERTA!$G$216)</f>
        <v/>
      </c>
      <c r="I130" s="230"/>
      <c r="J130" s="230"/>
      <c r="K130" s="230"/>
      <c r="L130" s="230" t="str">
        <f t="shared" si="12"/>
        <v/>
      </c>
      <c r="M130" s="231">
        <f>+'80'!$N$28+'80'!$N$47</f>
        <v>0</v>
      </c>
      <c r="N130" s="231">
        <f>+'80'!$M$28+'80'!$M$47</f>
        <v>0</v>
      </c>
      <c r="O130" s="231">
        <f>IF('80'!$G$39=0,0,'80'!$G$39)</f>
        <v>0</v>
      </c>
      <c r="P130" s="231">
        <f>IF('80'!$G$55=0,0,'80'!$G$55)</f>
        <v>0</v>
      </c>
      <c r="Q130" s="231">
        <f>+OFERTA!$M130+OFERTA!$N130+OFERTA!$O130+OFERTA!$P130</f>
        <v>0</v>
      </c>
      <c r="R130" s="23">
        <f>IF(OFERTA!$M130="","",OFERTA!$M130*OFERTA!$E130)</f>
        <v>0</v>
      </c>
      <c r="S130" s="23">
        <f>IF(OFERTA!$N130="","",OFERTA!$N130*OFERTA!$E130)</f>
        <v>0</v>
      </c>
      <c r="T130" s="23">
        <f>IF(OFERTA!$O130="","",OFERTA!$O130*OFERTA!$E130)</f>
        <v>0</v>
      </c>
      <c r="U130" s="23">
        <f>IF(OFERTA!$P130="","",OFERTA!$P130*OFERTA!$E130)</f>
        <v>0</v>
      </c>
      <c r="V130" s="23">
        <f>IF(OFERTA!$U130="","",OFERTA!$U130+OFERTA!$T130+OFERTA!$S130+OFERTA!$R130)</f>
        <v>0</v>
      </c>
      <c r="W130" s="22">
        <f>IF(OFERTA!$R130="","",OFERTA!$R130/OFERTA!$R$216)</f>
        <v>0</v>
      </c>
      <c r="X130" s="22">
        <f>IF(OFERTA!$S130="","",OFERTA!$S130/OFERTA!$S$216)</f>
        <v>0</v>
      </c>
      <c r="Y130" s="22">
        <f>IF(OFERTA!$T130="","",OFERTA!$T130/OFERTA!$T$216)</f>
        <v>0</v>
      </c>
      <c r="Z130" s="22">
        <f>IF(OFERTA!$U130="","",OFERTA!$U130/OFERTA!$U$216)</f>
        <v>0</v>
      </c>
      <c r="AA130" s="3"/>
      <c r="AB130" s="23" t="str">
        <f>IF(AI130="","",AI130*OFERTA!$Q130)</f>
        <v/>
      </c>
      <c r="AC130" s="23" t="str">
        <f>IF(AI130="","",OFERTA!$N130*AI130)</f>
        <v/>
      </c>
      <c r="AD130" s="23" t="str">
        <f>IF(AI130="","",OFERTA!$M130*AI130)</f>
        <v/>
      </c>
      <c r="AE130" s="23" t="str">
        <f>IF(AI130="","",OFERTA!$P130*AI130)</f>
        <v/>
      </c>
      <c r="AF130" s="23" t="str">
        <f>IF(AI130="","",OFERTA!$O130*AI130)</f>
        <v/>
      </c>
      <c r="AG130" s="21" t="str">
        <f t="shared" si="13"/>
        <v/>
      </c>
      <c r="AH130" s="216">
        <v>7.27</v>
      </c>
      <c r="AI130" s="216"/>
      <c r="AJ130" s="216" t="str">
        <f t="shared" si="14"/>
        <v/>
      </c>
      <c r="AK130" s="216" t="str">
        <f t="shared" si="15"/>
        <v/>
      </c>
      <c r="AL130" s="216" t="str">
        <f>IF(AJ130="","",OFERTA!$E130/AJ130)</f>
        <v/>
      </c>
      <c r="AR130" s="1"/>
    </row>
    <row r="131" spans="1:44" ht="17.25" hidden="1" thickBot="1" x14ac:dyDescent="0.35">
      <c r="A131" s="220"/>
      <c r="B131" s="227">
        <v>126</v>
      </c>
      <c r="C131" s="232"/>
      <c r="D131" s="21"/>
      <c r="E131" s="21"/>
      <c r="F131" s="23"/>
      <c r="G131" s="23" t="str">
        <f>IF(OFERTA!$C131="","",IF(OFERTA!$F131="","",OFERTA!$F131*OFERTA!$E131))</f>
        <v/>
      </c>
      <c r="H131" s="229" t="str">
        <f>+IF(OFERTA!$F131="","",OFERTA!$G131/OFERTA!$G$216)</f>
        <v/>
      </c>
      <c r="I131" s="230"/>
      <c r="J131" s="230"/>
      <c r="K131" s="230"/>
      <c r="L131" s="230" t="str">
        <f t="shared" si="12"/>
        <v/>
      </c>
      <c r="M131" s="231">
        <f>+'80'!$N$28+'80'!$N$47</f>
        <v>0</v>
      </c>
      <c r="N131" s="231">
        <f>+'80'!$M$28+'80'!$M$47</f>
        <v>0</v>
      </c>
      <c r="O131" s="231">
        <f>IF('80'!$G$39=0,0,'80'!$G$39)</f>
        <v>0</v>
      </c>
      <c r="P131" s="231">
        <f>IF('80'!$G$55=0,0,'80'!$G$55)</f>
        <v>0</v>
      </c>
      <c r="Q131" s="231">
        <f>+OFERTA!$M131+OFERTA!$N131+OFERTA!$O131+OFERTA!$P131</f>
        <v>0</v>
      </c>
      <c r="R131" s="23">
        <f>IF(OFERTA!$M131="","",OFERTA!$M131*OFERTA!$E131)</f>
        <v>0</v>
      </c>
      <c r="S131" s="23">
        <f>IF(OFERTA!$N131="","",OFERTA!$N131*OFERTA!$E131)</f>
        <v>0</v>
      </c>
      <c r="T131" s="23">
        <f>IF(OFERTA!$O131="","",OFERTA!$O131*OFERTA!$E131)</f>
        <v>0</v>
      </c>
      <c r="U131" s="23">
        <f>IF(OFERTA!$P131="","",OFERTA!$P131*OFERTA!$E131)</f>
        <v>0</v>
      </c>
      <c r="V131" s="23">
        <f>IF(OFERTA!$U131="","",OFERTA!$U131+OFERTA!$T131+OFERTA!$S131+OFERTA!$R131)</f>
        <v>0</v>
      </c>
      <c r="W131" s="22">
        <f>IF(OFERTA!$R131="","",OFERTA!$R131/OFERTA!$R$216)</f>
        <v>0</v>
      </c>
      <c r="X131" s="22">
        <f>IF(OFERTA!$S131="","",OFERTA!$S131/OFERTA!$S$216)</f>
        <v>0</v>
      </c>
      <c r="Y131" s="22">
        <f>IF(OFERTA!$T131="","",OFERTA!$T131/OFERTA!$T$216)</f>
        <v>0</v>
      </c>
      <c r="Z131" s="22">
        <f>IF(OFERTA!$U131="","",OFERTA!$U131/OFERTA!$U$216)</f>
        <v>0</v>
      </c>
      <c r="AA131" s="3"/>
      <c r="AB131" s="23" t="str">
        <f>IF(AI131="","",AI131*OFERTA!$Q131)</f>
        <v/>
      </c>
      <c r="AC131" s="23" t="str">
        <f>IF(AI131="","",OFERTA!$N131*AI131)</f>
        <v/>
      </c>
      <c r="AD131" s="23" t="str">
        <f>IF(AI131="","",OFERTA!$M131*AI131)</f>
        <v/>
      </c>
      <c r="AE131" s="23" t="str">
        <f>IF(AI131="","",OFERTA!$P131*AI131)</f>
        <v/>
      </c>
      <c r="AF131" s="23" t="str">
        <f>IF(AI131="","",OFERTA!$O131*AI131)</f>
        <v/>
      </c>
      <c r="AG131" s="21" t="str">
        <f t="shared" si="13"/>
        <v/>
      </c>
      <c r="AH131" s="216">
        <v>7.27</v>
      </c>
      <c r="AI131" s="216"/>
      <c r="AJ131" s="216" t="str">
        <f t="shared" si="14"/>
        <v/>
      </c>
      <c r="AK131" s="216" t="str">
        <f t="shared" si="15"/>
        <v/>
      </c>
      <c r="AL131" s="216" t="str">
        <f>IF(AJ131="","",OFERTA!$E131/AJ131)</f>
        <v/>
      </c>
      <c r="AR131" s="1"/>
    </row>
    <row r="132" spans="1:44" ht="17.25" hidden="1" thickBot="1" x14ac:dyDescent="0.35">
      <c r="A132" s="220"/>
      <c r="B132" s="227">
        <v>127</v>
      </c>
      <c r="C132" s="232"/>
      <c r="D132" s="21"/>
      <c r="E132" s="21"/>
      <c r="F132" s="23"/>
      <c r="G132" s="23" t="str">
        <f>IF(OFERTA!$C132="","",IF(OFERTA!$F132="","",OFERTA!$F132*OFERTA!$E132))</f>
        <v/>
      </c>
      <c r="H132" s="229" t="str">
        <f>+IF(OFERTA!$F132="","",OFERTA!$G132/OFERTA!$G$216)</f>
        <v/>
      </c>
      <c r="I132" s="230"/>
      <c r="J132" s="230"/>
      <c r="K132" s="230"/>
      <c r="L132" s="230" t="str">
        <f t="shared" si="12"/>
        <v/>
      </c>
      <c r="M132" s="231">
        <f>+'80'!$N$28+'80'!$N$47</f>
        <v>0</v>
      </c>
      <c r="N132" s="231">
        <f>+'80'!$M$28+'80'!$M$47</f>
        <v>0</v>
      </c>
      <c r="O132" s="231">
        <f>IF('80'!$G$39=0,0,'80'!$G$39)</f>
        <v>0</v>
      </c>
      <c r="P132" s="231">
        <f>IF('80'!$G$55=0,0,'80'!$G$55)</f>
        <v>0</v>
      </c>
      <c r="Q132" s="231">
        <f>+OFERTA!$M132+OFERTA!$N132+OFERTA!$O132+OFERTA!$P132</f>
        <v>0</v>
      </c>
      <c r="R132" s="23">
        <f>IF(OFERTA!$M132="","",OFERTA!$M132*OFERTA!$E132)</f>
        <v>0</v>
      </c>
      <c r="S132" s="23">
        <f>IF(OFERTA!$N132="","",OFERTA!$N132*OFERTA!$E132)</f>
        <v>0</v>
      </c>
      <c r="T132" s="23">
        <f>IF(OFERTA!$O132="","",OFERTA!$O132*OFERTA!$E132)</f>
        <v>0</v>
      </c>
      <c r="U132" s="23">
        <f>IF(OFERTA!$P132="","",OFERTA!$P132*OFERTA!$E132)</f>
        <v>0</v>
      </c>
      <c r="V132" s="23">
        <f>IF(OFERTA!$U132="","",OFERTA!$U132+OFERTA!$T132+OFERTA!$S132+OFERTA!$R132)</f>
        <v>0</v>
      </c>
      <c r="W132" s="22">
        <f>IF(OFERTA!$R132="","",OFERTA!$R132/OFERTA!$R$216)</f>
        <v>0</v>
      </c>
      <c r="X132" s="22">
        <f>IF(OFERTA!$S132="","",OFERTA!$S132/OFERTA!$S$216)</f>
        <v>0</v>
      </c>
      <c r="Y132" s="22">
        <f>IF(OFERTA!$T132="","",OFERTA!$T132/OFERTA!$T$216)</f>
        <v>0</v>
      </c>
      <c r="Z132" s="22">
        <f>IF(OFERTA!$U132="","",OFERTA!$U132/OFERTA!$U$216)</f>
        <v>0</v>
      </c>
      <c r="AA132" s="3"/>
      <c r="AB132" s="23" t="str">
        <f>IF(AI132="","",AI132*OFERTA!$Q132)</f>
        <v/>
      </c>
      <c r="AC132" s="23" t="str">
        <f>IF(AI132="","",OFERTA!$N132*AI132)</f>
        <v/>
      </c>
      <c r="AD132" s="23" t="str">
        <f>IF(AI132="","",OFERTA!$M132*AI132)</f>
        <v/>
      </c>
      <c r="AE132" s="23" t="str">
        <f>IF(AI132="","",OFERTA!$P132*AI132)</f>
        <v/>
      </c>
      <c r="AF132" s="23" t="str">
        <f>IF(AI132="","",OFERTA!$O132*AI132)</f>
        <v/>
      </c>
      <c r="AG132" s="21" t="str">
        <f t="shared" si="13"/>
        <v/>
      </c>
      <c r="AH132" s="216">
        <v>7.27</v>
      </c>
      <c r="AI132" s="216"/>
      <c r="AJ132" s="216" t="str">
        <f t="shared" si="14"/>
        <v/>
      </c>
      <c r="AK132" s="216" t="str">
        <f t="shared" si="15"/>
        <v/>
      </c>
      <c r="AL132" s="216" t="str">
        <f>IF(AJ132="","",OFERTA!$E132/AJ132)</f>
        <v/>
      </c>
      <c r="AR132" s="1"/>
    </row>
    <row r="133" spans="1:44" ht="17.25" hidden="1" thickBot="1" x14ac:dyDescent="0.35">
      <c r="A133" s="220"/>
      <c r="B133" s="227">
        <v>128</v>
      </c>
      <c r="C133" s="232"/>
      <c r="D133" s="21"/>
      <c r="E133" s="21"/>
      <c r="F133" s="23"/>
      <c r="G133" s="23" t="str">
        <f>IF(OFERTA!$C133="","",IF(OFERTA!$F133="","",OFERTA!$F133*OFERTA!$E133))</f>
        <v/>
      </c>
      <c r="H133" s="229" t="str">
        <f>+IF(OFERTA!$F133="","",OFERTA!$G133/OFERTA!$G$216)</f>
        <v/>
      </c>
      <c r="I133" s="230"/>
      <c r="J133" s="230"/>
      <c r="K133" s="230"/>
      <c r="L133" s="230" t="str">
        <f t="shared" si="12"/>
        <v/>
      </c>
      <c r="M133" s="231">
        <f>+'80'!$N$28+'80'!$N$47</f>
        <v>0</v>
      </c>
      <c r="N133" s="231">
        <f>+'80'!$M$28+'80'!$M$47</f>
        <v>0</v>
      </c>
      <c r="O133" s="231">
        <f>IF('80'!$G$39=0,0,'80'!$G$39)</f>
        <v>0</v>
      </c>
      <c r="P133" s="231">
        <f>IF('80'!$G$55=0,0,'80'!$G$55)</f>
        <v>0</v>
      </c>
      <c r="Q133" s="231">
        <f>+OFERTA!$M133+OFERTA!$N133+OFERTA!$O133+OFERTA!$P133</f>
        <v>0</v>
      </c>
      <c r="R133" s="23">
        <f>IF(OFERTA!$M133="","",OFERTA!$M133*OFERTA!$E133)</f>
        <v>0</v>
      </c>
      <c r="S133" s="23">
        <f>IF(OFERTA!$N133="","",OFERTA!$N133*OFERTA!$E133)</f>
        <v>0</v>
      </c>
      <c r="T133" s="23">
        <f>IF(OFERTA!$O133="","",OFERTA!$O133*OFERTA!$E133)</f>
        <v>0</v>
      </c>
      <c r="U133" s="23">
        <f>IF(OFERTA!$P133="","",OFERTA!$P133*OFERTA!$E133)</f>
        <v>0</v>
      </c>
      <c r="V133" s="23">
        <f>IF(OFERTA!$U133="","",OFERTA!$U133+OFERTA!$T133+OFERTA!$S133+OFERTA!$R133)</f>
        <v>0</v>
      </c>
      <c r="W133" s="22">
        <f>IF(OFERTA!$R133="","",OFERTA!$R133/OFERTA!$R$216)</f>
        <v>0</v>
      </c>
      <c r="X133" s="22">
        <f>IF(OFERTA!$S133="","",OFERTA!$S133/OFERTA!$S$216)</f>
        <v>0</v>
      </c>
      <c r="Y133" s="22">
        <f>IF(OFERTA!$T133="","",OFERTA!$T133/OFERTA!$T$216)</f>
        <v>0</v>
      </c>
      <c r="Z133" s="22">
        <f>IF(OFERTA!$U133="","",OFERTA!$U133/OFERTA!$U$216)</f>
        <v>0</v>
      </c>
      <c r="AA133" s="3"/>
      <c r="AB133" s="23" t="str">
        <f>IF(AI133="","",AI133*OFERTA!$Q133)</f>
        <v/>
      </c>
      <c r="AC133" s="23" t="str">
        <f>IF(AI133="","",OFERTA!$N133*AI133)</f>
        <v/>
      </c>
      <c r="AD133" s="23" t="str">
        <f>IF(AI133="","",OFERTA!$M133*AI133)</f>
        <v/>
      </c>
      <c r="AE133" s="23" t="str">
        <f>IF(AI133="","",OFERTA!$P133*AI133)</f>
        <v/>
      </c>
      <c r="AF133" s="23" t="str">
        <f>IF(AI133="","",OFERTA!$O133*AI133)</f>
        <v/>
      </c>
      <c r="AG133" s="21" t="str">
        <f t="shared" si="13"/>
        <v/>
      </c>
      <c r="AH133" s="216">
        <v>7.27</v>
      </c>
      <c r="AI133" s="216"/>
      <c r="AJ133" s="216" t="str">
        <f t="shared" si="14"/>
        <v/>
      </c>
      <c r="AK133" s="216" t="str">
        <f t="shared" si="15"/>
        <v/>
      </c>
      <c r="AL133" s="216" t="str">
        <f>IF(AJ133="","",OFERTA!$E133/AJ133)</f>
        <v/>
      </c>
      <c r="AR133" s="1"/>
    </row>
    <row r="134" spans="1:44" ht="17.25" hidden="1" thickBot="1" x14ac:dyDescent="0.35">
      <c r="A134" s="220"/>
      <c r="B134" s="227">
        <v>129</v>
      </c>
      <c r="C134" s="232"/>
      <c r="D134" s="21"/>
      <c r="E134" s="21"/>
      <c r="F134" s="23"/>
      <c r="G134" s="23" t="str">
        <f>IF(OFERTA!$C134="","",IF(OFERTA!$F134="","",OFERTA!$F134*OFERTA!$E134))</f>
        <v/>
      </c>
      <c r="H134" s="229" t="str">
        <f>+IF(OFERTA!$F134="","",OFERTA!$G134/OFERTA!$G$216)</f>
        <v/>
      </c>
      <c r="I134" s="230"/>
      <c r="J134" s="230"/>
      <c r="K134" s="230"/>
      <c r="L134" s="230" t="str">
        <f t="shared" si="12"/>
        <v/>
      </c>
      <c r="M134" s="231">
        <f>+'80'!$N$28+'80'!$N$47</f>
        <v>0</v>
      </c>
      <c r="N134" s="231">
        <f>+'80'!$M$28+'80'!$M$47</f>
        <v>0</v>
      </c>
      <c r="O134" s="231">
        <f>IF('80'!$G$39=0,0,'80'!$G$39)</f>
        <v>0</v>
      </c>
      <c r="P134" s="231">
        <f>IF('80'!$G$55=0,0,'80'!$G$55)</f>
        <v>0</v>
      </c>
      <c r="Q134" s="231">
        <f>+OFERTA!$M134+OFERTA!$N134+OFERTA!$O134+OFERTA!$P134</f>
        <v>0</v>
      </c>
      <c r="R134" s="23">
        <f>IF(OFERTA!$M134="","",OFERTA!$M134*OFERTA!$E134)</f>
        <v>0</v>
      </c>
      <c r="S134" s="23">
        <f>IF(OFERTA!$N134="","",OFERTA!$N134*OFERTA!$E134)</f>
        <v>0</v>
      </c>
      <c r="T134" s="23">
        <f>IF(OFERTA!$O134="","",OFERTA!$O134*OFERTA!$E134)</f>
        <v>0</v>
      </c>
      <c r="U134" s="23">
        <f>IF(OFERTA!$P134="","",OFERTA!$P134*OFERTA!$E134)</f>
        <v>0</v>
      </c>
      <c r="V134" s="23">
        <f>IF(OFERTA!$U134="","",OFERTA!$U134+OFERTA!$T134+OFERTA!$S134+OFERTA!$R134)</f>
        <v>0</v>
      </c>
      <c r="W134" s="22">
        <f>IF(OFERTA!$R134="","",OFERTA!$R134/OFERTA!$R$216)</f>
        <v>0</v>
      </c>
      <c r="X134" s="22">
        <f>IF(OFERTA!$S134="","",OFERTA!$S134/OFERTA!$S$216)</f>
        <v>0</v>
      </c>
      <c r="Y134" s="22">
        <f>IF(OFERTA!$T134="","",OFERTA!$T134/OFERTA!$T$216)</f>
        <v>0</v>
      </c>
      <c r="Z134" s="22">
        <f>IF(OFERTA!$U134="","",OFERTA!$U134/OFERTA!$U$216)</f>
        <v>0</v>
      </c>
      <c r="AA134" s="3"/>
      <c r="AB134" s="23" t="str">
        <f>IF(AI134="","",AI134*OFERTA!$Q134)</f>
        <v/>
      </c>
      <c r="AC134" s="23" t="str">
        <f>IF(AI134="","",OFERTA!$N134*AI134)</f>
        <v/>
      </c>
      <c r="AD134" s="23" t="str">
        <f>IF(AI134="","",OFERTA!$M134*AI134)</f>
        <v/>
      </c>
      <c r="AE134" s="23" t="str">
        <f>IF(AI134="","",OFERTA!$P134*AI134)</f>
        <v/>
      </c>
      <c r="AF134" s="23" t="str">
        <f>IF(AI134="","",OFERTA!$O134*AI134)</f>
        <v/>
      </c>
      <c r="AG134" s="21" t="str">
        <f t="shared" si="13"/>
        <v/>
      </c>
      <c r="AH134" s="216">
        <v>7.27</v>
      </c>
      <c r="AI134" s="216"/>
      <c r="AJ134" s="216" t="str">
        <f t="shared" si="14"/>
        <v/>
      </c>
      <c r="AK134" s="216" t="str">
        <f t="shared" si="15"/>
        <v/>
      </c>
      <c r="AL134" s="216" t="str">
        <f>IF(AJ134="","",OFERTA!$E134/AJ134)</f>
        <v/>
      </c>
      <c r="AR134" s="1"/>
    </row>
    <row r="135" spans="1:44" ht="17.25" hidden="1" thickBot="1" x14ac:dyDescent="0.35">
      <c r="A135" s="220"/>
      <c r="B135" s="227">
        <v>130</v>
      </c>
      <c r="C135" s="232"/>
      <c r="D135" s="21"/>
      <c r="E135" s="21"/>
      <c r="F135" s="23"/>
      <c r="G135" s="23" t="str">
        <f>IF(OFERTA!$C135="","",IF(OFERTA!$F135="","",OFERTA!$F135*OFERTA!$E135))</f>
        <v/>
      </c>
      <c r="H135" s="229" t="str">
        <f>+IF(OFERTA!$F135="","",OFERTA!$G135/OFERTA!$G$216)</f>
        <v/>
      </c>
      <c r="I135" s="230"/>
      <c r="J135" s="230"/>
      <c r="K135" s="230"/>
      <c r="L135" s="230" t="str">
        <f t="shared" si="12"/>
        <v/>
      </c>
      <c r="M135" s="231">
        <f>+'80'!$N$28+'80'!$N$47</f>
        <v>0</v>
      </c>
      <c r="N135" s="231">
        <f>+'80'!$M$28+'80'!$M$47</f>
        <v>0</v>
      </c>
      <c r="O135" s="231">
        <f>IF('80'!$G$39=0,0,'80'!$G$39)</f>
        <v>0</v>
      </c>
      <c r="P135" s="231">
        <f>IF('80'!$G$55=0,0,'80'!$G$55)</f>
        <v>0</v>
      </c>
      <c r="Q135" s="231">
        <f>+OFERTA!$M135+OFERTA!$N135+OFERTA!$O135+OFERTA!$P135</f>
        <v>0</v>
      </c>
      <c r="R135" s="23">
        <f>IF(OFERTA!$M135="","",OFERTA!$M135*OFERTA!$E135)</f>
        <v>0</v>
      </c>
      <c r="S135" s="23">
        <f>IF(OFERTA!$N135="","",OFERTA!$N135*OFERTA!$E135)</f>
        <v>0</v>
      </c>
      <c r="T135" s="23">
        <f>IF(OFERTA!$O135="","",OFERTA!$O135*OFERTA!$E135)</f>
        <v>0</v>
      </c>
      <c r="U135" s="23">
        <f>IF(OFERTA!$P135="","",OFERTA!$P135*OFERTA!$E135)</f>
        <v>0</v>
      </c>
      <c r="V135" s="23">
        <f>IF(OFERTA!$U135="","",OFERTA!$U135+OFERTA!$T135+OFERTA!$S135+OFERTA!$R135)</f>
        <v>0</v>
      </c>
      <c r="W135" s="22">
        <f>IF(OFERTA!$R135="","",OFERTA!$R135/OFERTA!$R$216)</f>
        <v>0</v>
      </c>
      <c r="X135" s="22">
        <f>IF(OFERTA!$S135="","",OFERTA!$S135/OFERTA!$S$216)</f>
        <v>0</v>
      </c>
      <c r="Y135" s="22">
        <f>IF(OFERTA!$T135="","",OFERTA!$T135/OFERTA!$T$216)</f>
        <v>0</v>
      </c>
      <c r="Z135" s="22">
        <f>IF(OFERTA!$U135="","",OFERTA!$U135/OFERTA!$U$216)</f>
        <v>0</v>
      </c>
      <c r="AA135" s="3"/>
      <c r="AB135" s="23" t="str">
        <f>IF(AI135="","",AI135*OFERTA!$Q135)</f>
        <v/>
      </c>
      <c r="AC135" s="23" t="str">
        <f>IF(AI135="","",OFERTA!$N135*AI135)</f>
        <v/>
      </c>
      <c r="AD135" s="23" t="str">
        <f>IF(AI135="","",OFERTA!$M135*AI135)</f>
        <v/>
      </c>
      <c r="AE135" s="23" t="str">
        <f>IF(AI135="","",OFERTA!$P135*AI135)</f>
        <v/>
      </c>
      <c r="AF135" s="23" t="str">
        <f>IF(AI135="","",OFERTA!$O135*AI135)</f>
        <v/>
      </c>
      <c r="AG135" s="21" t="str">
        <f t="shared" si="13"/>
        <v/>
      </c>
      <c r="AH135" s="216">
        <v>7.27</v>
      </c>
      <c r="AI135" s="216"/>
      <c r="AJ135" s="216" t="str">
        <f t="shared" si="14"/>
        <v/>
      </c>
      <c r="AK135" s="216" t="str">
        <f t="shared" si="15"/>
        <v/>
      </c>
      <c r="AL135" s="216" t="str">
        <f>IF(AJ135="","",OFERTA!$E135/AJ135)</f>
        <v/>
      </c>
      <c r="AR135" s="1"/>
    </row>
    <row r="136" spans="1:44" ht="17.25" hidden="1" thickBot="1" x14ac:dyDescent="0.35">
      <c r="A136" s="220"/>
      <c r="B136" s="227">
        <v>131</v>
      </c>
      <c r="C136" s="232"/>
      <c r="D136" s="21"/>
      <c r="E136" s="21"/>
      <c r="F136" s="23"/>
      <c r="G136" s="23" t="str">
        <f>IF(OFERTA!$C136="","",IF(OFERTA!$F136="","",OFERTA!$F136*OFERTA!$E136))</f>
        <v/>
      </c>
      <c r="H136" s="229" t="str">
        <f>+IF(OFERTA!$F136="","",OFERTA!$G136/OFERTA!$G$216)</f>
        <v/>
      </c>
      <c r="I136" s="230"/>
      <c r="J136" s="230"/>
      <c r="K136" s="230"/>
      <c r="L136" s="230" t="str">
        <f t="shared" si="12"/>
        <v/>
      </c>
      <c r="M136" s="231">
        <f>+'80'!$N$28+'80'!$N$47</f>
        <v>0</v>
      </c>
      <c r="N136" s="231">
        <f>+'80'!$M$28+'80'!$M$47</f>
        <v>0</v>
      </c>
      <c r="O136" s="231">
        <f>IF('80'!$G$39=0,0,'80'!$G$39)</f>
        <v>0</v>
      </c>
      <c r="P136" s="231">
        <f>IF('80'!$G$55=0,0,'80'!$G$55)</f>
        <v>0</v>
      </c>
      <c r="Q136" s="231">
        <f>+OFERTA!$M136+OFERTA!$N136+OFERTA!$O136+OFERTA!$P136</f>
        <v>0</v>
      </c>
      <c r="R136" s="23">
        <f>IF(OFERTA!$M136="","",OFERTA!$M136*OFERTA!$E136)</f>
        <v>0</v>
      </c>
      <c r="S136" s="23">
        <f>IF(OFERTA!$N136="","",OFERTA!$N136*OFERTA!$E136)</f>
        <v>0</v>
      </c>
      <c r="T136" s="23">
        <f>IF(OFERTA!$O136="","",OFERTA!$O136*OFERTA!$E136)</f>
        <v>0</v>
      </c>
      <c r="U136" s="23">
        <f>IF(OFERTA!$P136="","",OFERTA!$P136*OFERTA!$E136)</f>
        <v>0</v>
      </c>
      <c r="V136" s="23">
        <f>IF(OFERTA!$U136="","",OFERTA!$U136+OFERTA!$T136+OFERTA!$S136+OFERTA!$R136)</f>
        <v>0</v>
      </c>
      <c r="W136" s="22">
        <f>IF(OFERTA!$R136="","",OFERTA!$R136/OFERTA!$R$216)</f>
        <v>0</v>
      </c>
      <c r="X136" s="22">
        <f>IF(OFERTA!$S136="","",OFERTA!$S136/OFERTA!$S$216)</f>
        <v>0</v>
      </c>
      <c r="Y136" s="22">
        <f>IF(OFERTA!$T136="","",OFERTA!$T136/OFERTA!$T$216)</f>
        <v>0</v>
      </c>
      <c r="Z136" s="22">
        <f>IF(OFERTA!$U136="","",OFERTA!$U136/OFERTA!$U$216)</f>
        <v>0</v>
      </c>
      <c r="AA136" s="3"/>
      <c r="AB136" s="23" t="str">
        <f>IF(AI136="","",AI136*OFERTA!$Q136)</f>
        <v/>
      </c>
      <c r="AC136" s="23" t="str">
        <f>IF(AI136="","",OFERTA!$N136*AI136)</f>
        <v/>
      </c>
      <c r="AD136" s="23" t="str">
        <f>IF(AI136="","",OFERTA!$M136*AI136)</f>
        <v/>
      </c>
      <c r="AE136" s="23" t="str">
        <f>IF(AI136="","",OFERTA!$P136*AI136)</f>
        <v/>
      </c>
      <c r="AF136" s="23" t="str">
        <f>IF(AI136="","",OFERTA!$O136*AI136)</f>
        <v/>
      </c>
      <c r="AG136" s="21" t="str">
        <f t="shared" si="13"/>
        <v/>
      </c>
      <c r="AH136" s="216">
        <v>7.27</v>
      </c>
      <c r="AI136" s="216"/>
      <c r="AJ136" s="216" t="str">
        <f t="shared" si="14"/>
        <v/>
      </c>
      <c r="AK136" s="216" t="str">
        <f t="shared" si="15"/>
        <v/>
      </c>
      <c r="AL136" s="216" t="str">
        <f>IF(AJ136="","",OFERTA!$E136/AJ136)</f>
        <v/>
      </c>
      <c r="AR136" s="1"/>
    </row>
    <row r="137" spans="1:44" ht="17.25" hidden="1" thickBot="1" x14ac:dyDescent="0.35">
      <c r="A137" s="220"/>
      <c r="B137" s="227">
        <v>132</v>
      </c>
      <c r="C137" s="232"/>
      <c r="D137" s="21"/>
      <c r="E137" s="21"/>
      <c r="F137" s="23"/>
      <c r="G137" s="23" t="str">
        <f>IF(OFERTA!$C137="","",IF(OFERTA!$F137="","",OFERTA!$F137*OFERTA!$E137))</f>
        <v/>
      </c>
      <c r="H137" s="229" t="str">
        <f>+IF(OFERTA!$F137="","",OFERTA!$G137/OFERTA!$G$216)</f>
        <v/>
      </c>
      <c r="I137" s="230"/>
      <c r="J137" s="230"/>
      <c r="K137" s="230"/>
      <c r="L137" s="230" t="str">
        <f t="shared" si="12"/>
        <v/>
      </c>
      <c r="M137" s="231">
        <f>+'80'!$N$28+'80'!$N$47</f>
        <v>0</v>
      </c>
      <c r="N137" s="231">
        <f>+'80'!$M$28+'80'!$M$47</f>
        <v>0</v>
      </c>
      <c r="O137" s="231">
        <f>IF('80'!$G$39=0,0,'80'!$G$39)</f>
        <v>0</v>
      </c>
      <c r="P137" s="231">
        <f>IF('80'!$G$55=0,0,'80'!$G$55)</f>
        <v>0</v>
      </c>
      <c r="Q137" s="231">
        <f>+OFERTA!$M137+OFERTA!$N137+OFERTA!$O137+OFERTA!$P137</f>
        <v>0</v>
      </c>
      <c r="R137" s="23">
        <f>IF(OFERTA!$M137="","",OFERTA!$M137*OFERTA!$E137)</f>
        <v>0</v>
      </c>
      <c r="S137" s="23">
        <f>IF(OFERTA!$N137="","",OFERTA!$N137*OFERTA!$E137)</f>
        <v>0</v>
      </c>
      <c r="T137" s="23">
        <f>IF(OFERTA!$O137="","",OFERTA!$O137*OFERTA!$E137)</f>
        <v>0</v>
      </c>
      <c r="U137" s="23">
        <f>IF(OFERTA!$P137="","",OFERTA!$P137*OFERTA!$E137)</f>
        <v>0</v>
      </c>
      <c r="V137" s="23">
        <f>IF(OFERTA!$U137="","",OFERTA!$U137+OFERTA!$T137+OFERTA!$S137+OFERTA!$R137)</f>
        <v>0</v>
      </c>
      <c r="W137" s="22">
        <f>IF(OFERTA!$R137="","",OFERTA!$R137/OFERTA!$R$216)</f>
        <v>0</v>
      </c>
      <c r="X137" s="22">
        <f>IF(OFERTA!$S137="","",OFERTA!$S137/OFERTA!$S$216)</f>
        <v>0</v>
      </c>
      <c r="Y137" s="22">
        <f>IF(OFERTA!$T137="","",OFERTA!$T137/OFERTA!$T$216)</f>
        <v>0</v>
      </c>
      <c r="Z137" s="22">
        <f>IF(OFERTA!$U137="","",OFERTA!$U137/OFERTA!$U$216)</f>
        <v>0</v>
      </c>
      <c r="AA137" s="3"/>
      <c r="AB137" s="23" t="str">
        <f>IF(AI137="","",AI137*OFERTA!$Q137)</f>
        <v/>
      </c>
      <c r="AC137" s="23" t="str">
        <f>IF(AI137="","",OFERTA!$N137*AI137)</f>
        <v/>
      </c>
      <c r="AD137" s="23" t="str">
        <f>IF(AI137="","",OFERTA!$M137*AI137)</f>
        <v/>
      </c>
      <c r="AE137" s="23" t="str">
        <f>IF(AI137="","",OFERTA!$P137*AI137)</f>
        <v/>
      </c>
      <c r="AF137" s="23" t="str">
        <f>IF(AI137="","",OFERTA!$O137*AI137)</f>
        <v/>
      </c>
      <c r="AG137" s="21" t="str">
        <f t="shared" si="13"/>
        <v/>
      </c>
      <c r="AH137" s="216">
        <v>7.27</v>
      </c>
      <c r="AI137" s="216"/>
      <c r="AJ137" s="216" t="str">
        <f t="shared" si="14"/>
        <v/>
      </c>
      <c r="AK137" s="216" t="str">
        <f t="shared" si="15"/>
        <v/>
      </c>
      <c r="AL137" s="216" t="str">
        <f>IF(AJ137="","",OFERTA!$E137/AJ137)</f>
        <v/>
      </c>
      <c r="AR137" s="1"/>
    </row>
    <row r="138" spans="1:44" ht="17.25" hidden="1" thickBot="1" x14ac:dyDescent="0.35">
      <c r="A138" s="220"/>
      <c r="B138" s="227">
        <v>133</v>
      </c>
      <c r="C138" s="232"/>
      <c r="D138" s="21"/>
      <c r="E138" s="21"/>
      <c r="F138" s="23"/>
      <c r="G138" s="23" t="str">
        <f>IF(OFERTA!$C138="","",IF(OFERTA!$F138="","",OFERTA!$F138*OFERTA!$E138))</f>
        <v/>
      </c>
      <c r="H138" s="229" t="str">
        <f>+IF(OFERTA!$F138="","",OFERTA!$G138/OFERTA!$G$216)</f>
        <v/>
      </c>
      <c r="I138" s="230"/>
      <c r="J138" s="230"/>
      <c r="K138" s="230"/>
      <c r="L138" s="230" t="str">
        <f t="shared" si="12"/>
        <v/>
      </c>
      <c r="M138" s="231">
        <f>+'80'!$N$28+'80'!$N$47</f>
        <v>0</v>
      </c>
      <c r="N138" s="231">
        <f>+'80'!$M$28+'80'!$M$47</f>
        <v>0</v>
      </c>
      <c r="O138" s="231">
        <f>IF('80'!$G$39=0,0,'80'!$G$39)</f>
        <v>0</v>
      </c>
      <c r="P138" s="231">
        <f>IF('80'!$G$55=0,0,'80'!$G$55)</f>
        <v>0</v>
      </c>
      <c r="Q138" s="231">
        <f>+OFERTA!$M138+OFERTA!$N138+OFERTA!$O138+OFERTA!$P138</f>
        <v>0</v>
      </c>
      <c r="R138" s="23">
        <f>IF(OFERTA!$M138="","",OFERTA!$M138*OFERTA!$E138)</f>
        <v>0</v>
      </c>
      <c r="S138" s="23">
        <f>IF(OFERTA!$N138="","",OFERTA!$N138*OFERTA!$E138)</f>
        <v>0</v>
      </c>
      <c r="T138" s="23">
        <f>IF(OFERTA!$O138="","",OFERTA!$O138*OFERTA!$E138)</f>
        <v>0</v>
      </c>
      <c r="U138" s="23">
        <f>IF(OFERTA!$P138="","",OFERTA!$P138*OFERTA!$E138)</f>
        <v>0</v>
      </c>
      <c r="V138" s="23">
        <f>IF(OFERTA!$U138="","",OFERTA!$U138+OFERTA!$T138+OFERTA!$S138+OFERTA!$R138)</f>
        <v>0</v>
      </c>
      <c r="W138" s="22">
        <f>IF(OFERTA!$R138="","",OFERTA!$R138/OFERTA!$R$216)</f>
        <v>0</v>
      </c>
      <c r="X138" s="22">
        <f>IF(OFERTA!$S138="","",OFERTA!$S138/OFERTA!$S$216)</f>
        <v>0</v>
      </c>
      <c r="Y138" s="22">
        <f>IF(OFERTA!$T138="","",OFERTA!$T138/OFERTA!$T$216)</f>
        <v>0</v>
      </c>
      <c r="Z138" s="22">
        <f>IF(OFERTA!$U138="","",OFERTA!$U138/OFERTA!$U$216)</f>
        <v>0</v>
      </c>
      <c r="AA138" s="3"/>
      <c r="AB138" s="23" t="str">
        <f>IF(AI138="","",AI138*OFERTA!$Q138)</f>
        <v/>
      </c>
      <c r="AC138" s="23" t="str">
        <f>IF(AI138="","",OFERTA!$N138*AI138)</f>
        <v/>
      </c>
      <c r="AD138" s="23" t="str">
        <f>IF(AI138="","",OFERTA!$M138*AI138)</f>
        <v/>
      </c>
      <c r="AE138" s="23" t="str">
        <f>IF(AI138="","",OFERTA!$P138*AI138)</f>
        <v/>
      </c>
      <c r="AF138" s="23" t="str">
        <f>IF(AI138="","",OFERTA!$O138*AI138)</f>
        <v/>
      </c>
      <c r="AG138" s="21" t="str">
        <f t="shared" si="13"/>
        <v/>
      </c>
      <c r="AH138" s="216">
        <v>7.27</v>
      </c>
      <c r="AI138" s="216"/>
      <c r="AJ138" s="216" t="str">
        <f t="shared" si="14"/>
        <v/>
      </c>
      <c r="AK138" s="216" t="str">
        <f t="shared" si="15"/>
        <v/>
      </c>
      <c r="AL138" s="216" t="str">
        <f>IF(AJ138="","",OFERTA!$E138/AJ138)</f>
        <v/>
      </c>
      <c r="AR138" s="1"/>
    </row>
    <row r="139" spans="1:44" ht="17.25" hidden="1" thickBot="1" x14ac:dyDescent="0.35">
      <c r="A139" s="220"/>
      <c r="B139" s="227">
        <v>134</v>
      </c>
      <c r="C139" s="232"/>
      <c r="D139" s="21"/>
      <c r="E139" s="21"/>
      <c r="F139" s="23"/>
      <c r="G139" s="23" t="str">
        <f>IF(OFERTA!$C139="","",IF(OFERTA!$F139="","",OFERTA!$F139*OFERTA!$E139))</f>
        <v/>
      </c>
      <c r="H139" s="229" t="str">
        <f>+IF(OFERTA!$F139="","",OFERTA!$G139/OFERTA!$G$216)</f>
        <v/>
      </c>
      <c r="I139" s="230"/>
      <c r="J139" s="230"/>
      <c r="K139" s="230"/>
      <c r="L139" s="230" t="str">
        <f t="shared" si="12"/>
        <v/>
      </c>
      <c r="M139" s="231">
        <f>+'80'!$N$28+'80'!$N$47</f>
        <v>0</v>
      </c>
      <c r="N139" s="231">
        <f>+'80'!$M$28+'80'!$M$47</f>
        <v>0</v>
      </c>
      <c r="O139" s="231">
        <f>IF('80'!$G$39=0,0,'80'!$G$39)</f>
        <v>0</v>
      </c>
      <c r="P139" s="231">
        <f>IF('80'!$G$55=0,0,'80'!$G$55)</f>
        <v>0</v>
      </c>
      <c r="Q139" s="231">
        <f>+OFERTA!$M139+OFERTA!$N139+OFERTA!$O139+OFERTA!$P139</f>
        <v>0</v>
      </c>
      <c r="R139" s="23">
        <f>IF(OFERTA!$M139="","",OFERTA!$M139*OFERTA!$E139)</f>
        <v>0</v>
      </c>
      <c r="S139" s="23">
        <f>IF(OFERTA!$N139="","",OFERTA!$N139*OFERTA!$E139)</f>
        <v>0</v>
      </c>
      <c r="T139" s="23">
        <f>IF(OFERTA!$O139="","",OFERTA!$O139*OFERTA!$E139)</f>
        <v>0</v>
      </c>
      <c r="U139" s="23">
        <f>IF(OFERTA!$P139="","",OFERTA!$P139*OFERTA!$E139)</f>
        <v>0</v>
      </c>
      <c r="V139" s="23">
        <f>IF(OFERTA!$U139="","",OFERTA!$U139+OFERTA!$T139+OFERTA!$S139+OFERTA!$R139)</f>
        <v>0</v>
      </c>
      <c r="W139" s="22">
        <f>IF(OFERTA!$R139="","",OFERTA!$R139/OFERTA!$R$216)</f>
        <v>0</v>
      </c>
      <c r="X139" s="22">
        <f>IF(OFERTA!$S139="","",OFERTA!$S139/OFERTA!$S$216)</f>
        <v>0</v>
      </c>
      <c r="Y139" s="22">
        <f>IF(OFERTA!$T139="","",OFERTA!$T139/OFERTA!$T$216)</f>
        <v>0</v>
      </c>
      <c r="Z139" s="22">
        <f>IF(OFERTA!$U139="","",OFERTA!$U139/OFERTA!$U$216)</f>
        <v>0</v>
      </c>
      <c r="AA139" s="3"/>
      <c r="AB139" s="23" t="str">
        <f>IF(AI139="","",AI139*OFERTA!$Q139)</f>
        <v/>
      </c>
      <c r="AC139" s="23" t="str">
        <f>IF(AI139="","",OFERTA!$N139*AI139)</f>
        <v/>
      </c>
      <c r="AD139" s="23" t="str">
        <f>IF(AI139="","",OFERTA!$M139*AI139)</f>
        <v/>
      </c>
      <c r="AE139" s="23" t="str">
        <f>IF(AI139="","",OFERTA!$P139*AI139)</f>
        <v/>
      </c>
      <c r="AF139" s="23" t="str">
        <f>IF(AI139="","",OFERTA!$O139*AI139)</f>
        <v/>
      </c>
      <c r="AG139" s="21" t="str">
        <f t="shared" si="13"/>
        <v/>
      </c>
      <c r="AH139" s="216">
        <v>7.27</v>
      </c>
      <c r="AI139" s="216"/>
      <c r="AJ139" s="216" t="str">
        <f t="shared" si="14"/>
        <v/>
      </c>
      <c r="AK139" s="216" t="str">
        <f t="shared" si="15"/>
        <v/>
      </c>
      <c r="AL139" s="216" t="str">
        <f>IF(AJ139="","",OFERTA!$E139/AJ139)</f>
        <v/>
      </c>
      <c r="AR139" s="1"/>
    </row>
    <row r="140" spans="1:44" ht="17.25" hidden="1" thickBot="1" x14ac:dyDescent="0.35">
      <c r="A140" s="220"/>
      <c r="B140" s="227">
        <v>135</v>
      </c>
      <c r="C140" s="232"/>
      <c r="D140" s="21"/>
      <c r="E140" s="21"/>
      <c r="F140" s="23"/>
      <c r="G140" s="23" t="str">
        <f>IF(OFERTA!$C140="","",IF(OFERTA!$F140="","",OFERTA!$F140*OFERTA!$E140))</f>
        <v/>
      </c>
      <c r="H140" s="229" t="str">
        <f>+IF(OFERTA!$F140="","",OFERTA!$G140/OFERTA!$G$216)</f>
        <v/>
      </c>
      <c r="I140" s="230"/>
      <c r="J140" s="230"/>
      <c r="K140" s="230"/>
      <c r="L140" s="230" t="str">
        <f t="shared" si="12"/>
        <v/>
      </c>
      <c r="M140" s="231">
        <f>+'80'!$N$28+'80'!$N$47</f>
        <v>0</v>
      </c>
      <c r="N140" s="231">
        <f>+'80'!$M$28+'80'!$M$47</f>
        <v>0</v>
      </c>
      <c r="O140" s="231">
        <f>IF('80'!$G$39=0,0,'80'!$G$39)</f>
        <v>0</v>
      </c>
      <c r="P140" s="231">
        <f>IF('80'!$G$55=0,0,'80'!$G$55)</f>
        <v>0</v>
      </c>
      <c r="Q140" s="231">
        <f>+OFERTA!$M140+OFERTA!$N140+OFERTA!$O140+OFERTA!$P140</f>
        <v>0</v>
      </c>
      <c r="R140" s="23">
        <f>IF(OFERTA!$M140="","",OFERTA!$M140*OFERTA!$E140)</f>
        <v>0</v>
      </c>
      <c r="S140" s="23">
        <f>IF(OFERTA!$N140="","",OFERTA!$N140*OFERTA!$E140)</f>
        <v>0</v>
      </c>
      <c r="T140" s="23">
        <f>IF(OFERTA!$O140="","",OFERTA!$O140*OFERTA!$E140)</f>
        <v>0</v>
      </c>
      <c r="U140" s="23">
        <f>IF(OFERTA!$P140="","",OFERTA!$P140*OFERTA!$E140)</f>
        <v>0</v>
      </c>
      <c r="V140" s="23">
        <f>IF(OFERTA!$U140="","",OFERTA!$U140+OFERTA!$T140+OFERTA!$S140+OFERTA!$R140)</f>
        <v>0</v>
      </c>
      <c r="W140" s="22">
        <f>IF(OFERTA!$R140="","",OFERTA!$R140/OFERTA!$R$216)</f>
        <v>0</v>
      </c>
      <c r="X140" s="22">
        <f>IF(OFERTA!$S140="","",OFERTA!$S140/OFERTA!$S$216)</f>
        <v>0</v>
      </c>
      <c r="Y140" s="22">
        <f>IF(OFERTA!$T140="","",OFERTA!$T140/OFERTA!$T$216)</f>
        <v>0</v>
      </c>
      <c r="Z140" s="22">
        <f>IF(OFERTA!$U140="","",OFERTA!$U140/OFERTA!$U$216)</f>
        <v>0</v>
      </c>
      <c r="AA140" s="3"/>
      <c r="AB140" s="23" t="str">
        <f>IF(AI140="","",AI140*OFERTA!$Q140)</f>
        <v/>
      </c>
      <c r="AC140" s="23" t="str">
        <f>IF(AI140="","",OFERTA!$N140*AI140)</f>
        <v/>
      </c>
      <c r="AD140" s="23" t="str">
        <f>IF(AI140="","",OFERTA!$M140*AI140)</f>
        <v/>
      </c>
      <c r="AE140" s="23" t="str">
        <f>IF(AI140="","",OFERTA!$P140*AI140)</f>
        <v/>
      </c>
      <c r="AF140" s="23" t="str">
        <f>IF(AI140="","",OFERTA!$O140*AI140)</f>
        <v/>
      </c>
      <c r="AG140" s="21" t="str">
        <f t="shared" si="13"/>
        <v/>
      </c>
      <c r="AH140" s="216">
        <v>7.27</v>
      </c>
      <c r="AI140" s="216"/>
      <c r="AJ140" s="216" t="str">
        <f t="shared" si="14"/>
        <v/>
      </c>
      <c r="AK140" s="216" t="str">
        <f t="shared" si="15"/>
        <v/>
      </c>
      <c r="AL140" s="216" t="str">
        <f>IF(AJ140="","",OFERTA!$E140/AJ140)</f>
        <v/>
      </c>
      <c r="AR140" s="1"/>
    </row>
    <row r="141" spans="1:44" ht="17.25" hidden="1" thickBot="1" x14ac:dyDescent="0.35">
      <c r="A141" s="220"/>
      <c r="B141" s="227">
        <v>136</v>
      </c>
      <c r="C141" s="232"/>
      <c r="D141" s="21"/>
      <c r="E141" s="21"/>
      <c r="F141" s="23"/>
      <c r="G141" s="23" t="str">
        <f>IF(OFERTA!$C141="","",IF(OFERTA!$F141="","",OFERTA!$F141*OFERTA!$E141))</f>
        <v/>
      </c>
      <c r="H141" s="229" t="str">
        <f>+IF(OFERTA!$F141="","",OFERTA!$G141/OFERTA!$G$216)</f>
        <v/>
      </c>
      <c r="I141" s="230"/>
      <c r="J141" s="230"/>
      <c r="K141" s="230"/>
      <c r="L141" s="230" t="str">
        <f t="shared" si="12"/>
        <v/>
      </c>
      <c r="M141" s="231">
        <f>+'80'!$N$28+'80'!$N$47</f>
        <v>0</v>
      </c>
      <c r="N141" s="231">
        <f>+'80'!$M$28+'80'!$M$47</f>
        <v>0</v>
      </c>
      <c r="O141" s="231">
        <f>IF('80'!$G$39=0,0,'80'!$G$39)</f>
        <v>0</v>
      </c>
      <c r="P141" s="231">
        <f>IF('80'!$G$55=0,0,'80'!$G$55)</f>
        <v>0</v>
      </c>
      <c r="Q141" s="231">
        <f>+OFERTA!$M141+OFERTA!$N141+OFERTA!$O141+OFERTA!$P141</f>
        <v>0</v>
      </c>
      <c r="R141" s="23">
        <f>IF(OFERTA!$M141="","",OFERTA!$M141*OFERTA!$E141)</f>
        <v>0</v>
      </c>
      <c r="S141" s="23">
        <f>IF(OFERTA!$N141="","",OFERTA!$N141*OFERTA!$E141)</f>
        <v>0</v>
      </c>
      <c r="T141" s="23">
        <f>IF(OFERTA!$O141="","",OFERTA!$O141*OFERTA!$E141)</f>
        <v>0</v>
      </c>
      <c r="U141" s="23">
        <f>IF(OFERTA!$P141="","",OFERTA!$P141*OFERTA!$E141)</f>
        <v>0</v>
      </c>
      <c r="V141" s="23">
        <f>IF(OFERTA!$U141="","",OFERTA!$U141+OFERTA!$T141+OFERTA!$S141+OFERTA!$R141)</f>
        <v>0</v>
      </c>
      <c r="W141" s="22">
        <f>IF(OFERTA!$R141="","",OFERTA!$R141/OFERTA!$R$216)</f>
        <v>0</v>
      </c>
      <c r="X141" s="22">
        <f>IF(OFERTA!$S141="","",OFERTA!$S141/OFERTA!$S$216)</f>
        <v>0</v>
      </c>
      <c r="Y141" s="22">
        <f>IF(OFERTA!$T141="","",OFERTA!$T141/OFERTA!$T$216)</f>
        <v>0</v>
      </c>
      <c r="Z141" s="22">
        <f>IF(OFERTA!$U141="","",OFERTA!$U141/OFERTA!$U$216)</f>
        <v>0</v>
      </c>
      <c r="AA141" s="3"/>
      <c r="AB141" s="23" t="str">
        <f>IF(AI141="","",AI141*OFERTA!$Q141)</f>
        <v/>
      </c>
      <c r="AC141" s="23" t="str">
        <f>IF(AI141="","",OFERTA!$N141*AI141)</f>
        <v/>
      </c>
      <c r="AD141" s="23" t="str">
        <f>IF(AI141="","",OFERTA!$M141*AI141)</f>
        <v/>
      </c>
      <c r="AE141" s="23" t="str">
        <f>IF(AI141="","",OFERTA!$P141*AI141)</f>
        <v/>
      </c>
      <c r="AF141" s="23" t="str">
        <f>IF(AI141="","",OFERTA!$O141*AI141)</f>
        <v/>
      </c>
      <c r="AG141" s="21" t="str">
        <f t="shared" si="13"/>
        <v/>
      </c>
      <c r="AH141" s="216">
        <v>7.27</v>
      </c>
      <c r="AI141" s="216"/>
      <c r="AJ141" s="216" t="str">
        <f t="shared" si="14"/>
        <v/>
      </c>
      <c r="AK141" s="216" t="str">
        <f t="shared" si="15"/>
        <v/>
      </c>
      <c r="AL141" s="216" t="str">
        <f>IF(AJ141="","",OFERTA!$E141/AJ141)</f>
        <v/>
      </c>
      <c r="AR141" s="1"/>
    </row>
    <row r="142" spans="1:44" ht="17.25" hidden="1" thickBot="1" x14ac:dyDescent="0.35">
      <c r="A142" s="220"/>
      <c r="B142" s="227">
        <v>137</v>
      </c>
      <c r="C142" s="232"/>
      <c r="D142" s="21"/>
      <c r="E142" s="21"/>
      <c r="F142" s="23"/>
      <c r="G142" s="23" t="str">
        <f>IF(OFERTA!$C142="","",IF(OFERTA!$F142="","",OFERTA!$F142*OFERTA!$E142))</f>
        <v/>
      </c>
      <c r="H142" s="229" t="str">
        <f>+IF(OFERTA!$F142="","",OFERTA!$G142/OFERTA!$G$216)</f>
        <v/>
      </c>
      <c r="I142" s="230"/>
      <c r="J142" s="230"/>
      <c r="K142" s="230"/>
      <c r="L142" s="230" t="str">
        <f t="shared" si="12"/>
        <v/>
      </c>
      <c r="M142" s="231">
        <f>+'80'!$N$28+'80'!$N$47</f>
        <v>0</v>
      </c>
      <c r="N142" s="231">
        <f>+'80'!$M$28+'80'!$M$47</f>
        <v>0</v>
      </c>
      <c r="O142" s="231">
        <f>IF('80'!$G$39=0,0,'80'!$G$39)</f>
        <v>0</v>
      </c>
      <c r="P142" s="231">
        <f>IF('80'!$G$55=0,0,'80'!$G$55)</f>
        <v>0</v>
      </c>
      <c r="Q142" s="231">
        <f>+OFERTA!$M142+OFERTA!$N142+OFERTA!$O142+OFERTA!$P142</f>
        <v>0</v>
      </c>
      <c r="R142" s="23">
        <f>IF(OFERTA!$M142="","",OFERTA!$M142*OFERTA!$E142)</f>
        <v>0</v>
      </c>
      <c r="S142" s="23">
        <f>IF(OFERTA!$N142="","",OFERTA!$N142*OFERTA!$E142)</f>
        <v>0</v>
      </c>
      <c r="T142" s="23">
        <f>IF(OFERTA!$O142="","",OFERTA!$O142*OFERTA!$E142)</f>
        <v>0</v>
      </c>
      <c r="U142" s="23">
        <f>IF(OFERTA!$P142="","",OFERTA!$P142*OFERTA!$E142)</f>
        <v>0</v>
      </c>
      <c r="V142" s="23">
        <f>IF(OFERTA!$U142="","",OFERTA!$U142+OFERTA!$T142+OFERTA!$S142+OFERTA!$R142)</f>
        <v>0</v>
      </c>
      <c r="W142" s="22">
        <f>IF(OFERTA!$R142="","",OFERTA!$R142/OFERTA!$R$216)</f>
        <v>0</v>
      </c>
      <c r="X142" s="22">
        <f>IF(OFERTA!$S142="","",OFERTA!$S142/OFERTA!$S$216)</f>
        <v>0</v>
      </c>
      <c r="Y142" s="22">
        <f>IF(OFERTA!$T142="","",OFERTA!$T142/OFERTA!$T$216)</f>
        <v>0</v>
      </c>
      <c r="Z142" s="22">
        <f>IF(OFERTA!$U142="","",OFERTA!$U142/OFERTA!$U$216)</f>
        <v>0</v>
      </c>
      <c r="AA142" s="3"/>
      <c r="AB142" s="23" t="str">
        <f>IF(AI142="","",AI142*OFERTA!$Q142)</f>
        <v/>
      </c>
      <c r="AC142" s="23" t="str">
        <f>IF(AI142="","",OFERTA!$N142*AI142)</f>
        <v/>
      </c>
      <c r="AD142" s="23" t="str">
        <f>IF(AI142="","",OFERTA!$M142*AI142)</f>
        <v/>
      </c>
      <c r="AE142" s="23" t="str">
        <f>IF(AI142="","",OFERTA!$P142*AI142)</f>
        <v/>
      </c>
      <c r="AF142" s="23" t="str">
        <f>IF(AI142="","",OFERTA!$O142*AI142)</f>
        <v/>
      </c>
      <c r="AG142" s="21" t="str">
        <f t="shared" si="13"/>
        <v/>
      </c>
      <c r="AH142" s="216">
        <v>7.27</v>
      </c>
      <c r="AI142" s="216"/>
      <c r="AJ142" s="216" t="str">
        <f t="shared" si="14"/>
        <v/>
      </c>
      <c r="AK142" s="216" t="str">
        <f t="shared" si="15"/>
        <v/>
      </c>
      <c r="AL142" s="216" t="str">
        <f>IF(AJ142="","",OFERTA!$E142/AJ142)</f>
        <v/>
      </c>
      <c r="AR142" s="1"/>
    </row>
    <row r="143" spans="1:44" ht="17.25" hidden="1" thickBot="1" x14ac:dyDescent="0.35">
      <c r="A143" s="220"/>
      <c r="B143" s="227">
        <v>138</v>
      </c>
      <c r="C143" s="232"/>
      <c r="D143" s="21"/>
      <c r="E143" s="21"/>
      <c r="F143" s="23"/>
      <c r="G143" s="23" t="str">
        <f>IF(OFERTA!$C143="","",IF(OFERTA!$F143="","",OFERTA!$F143*OFERTA!$E143))</f>
        <v/>
      </c>
      <c r="H143" s="229" t="str">
        <f>+IF(OFERTA!$F143="","",OFERTA!$G143/OFERTA!$G$216)</f>
        <v/>
      </c>
      <c r="I143" s="230"/>
      <c r="J143" s="230"/>
      <c r="K143" s="230"/>
      <c r="L143" s="230" t="str">
        <f t="shared" si="12"/>
        <v/>
      </c>
      <c r="M143" s="231">
        <f>+'80'!$N$28+'80'!$N$47</f>
        <v>0</v>
      </c>
      <c r="N143" s="231">
        <f>+'80'!$M$28+'80'!$M$47</f>
        <v>0</v>
      </c>
      <c r="O143" s="231">
        <f>IF('80'!$G$39=0,0,'80'!$G$39)</f>
        <v>0</v>
      </c>
      <c r="P143" s="231">
        <f>IF('80'!$G$55=0,0,'80'!$G$55)</f>
        <v>0</v>
      </c>
      <c r="Q143" s="231">
        <f>+OFERTA!$M143+OFERTA!$N143+OFERTA!$O143+OFERTA!$P143</f>
        <v>0</v>
      </c>
      <c r="R143" s="23">
        <f>IF(OFERTA!$M143="","",OFERTA!$M143*OFERTA!$E143)</f>
        <v>0</v>
      </c>
      <c r="S143" s="23">
        <f>IF(OFERTA!$N143="","",OFERTA!$N143*OFERTA!$E143)</f>
        <v>0</v>
      </c>
      <c r="T143" s="23">
        <f>IF(OFERTA!$O143="","",OFERTA!$O143*OFERTA!$E143)</f>
        <v>0</v>
      </c>
      <c r="U143" s="23">
        <f>IF(OFERTA!$P143="","",OFERTA!$P143*OFERTA!$E143)</f>
        <v>0</v>
      </c>
      <c r="V143" s="23">
        <f>IF(OFERTA!$U143="","",OFERTA!$U143+OFERTA!$T143+OFERTA!$S143+OFERTA!$R143)</f>
        <v>0</v>
      </c>
      <c r="W143" s="22">
        <f>IF(OFERTA!$R143="","",OFERTA!$R143/OFERTA!$R$216)</f>
        <v>0</v>
      </c>
      <c r="X143" s="22">
        <f>IF(OFERTA!$S143="","",OFERTA!$S143/OFERTA!$S$216)</f>
        <v>0</v>
      </c>
      <c r="Y143" s="22">
        <f>IF(OFERTA!$T143="","",OFERTA!$T143/OFERTA!$T$216)</f>
        <v>0</v>
      </c>
      <c r="Z143" s="22">
        <f>IF(OFERTA!$U143="","",OFERTA!$U143/OFERTA!$U$216)</f>
        <v>0</v>
      </c>
      <c r="AA143" s="3"/>
      <c r="AB143" s="23" t="str">
        <f>IF(AI143="","",AI143*OFERTA!$Q143)</f>
        <v/>
      </c>
      <c r="AC143" s="23" t="str">
        <f>IF(AI143="","",OFERTA!$N143*AI143)</f>
        <v/>
      </c>
      <c r="AD143" s="23" t="str">
        <f>IF(AI143="","",OFERTA!$M143*AI143)</f>
        <v/>
      </c>
      <c r="AE143" s="23" t="str">
        <f>IF(AI143="","",OFERTA!$P143*AI143)</f>
        <v/>
      </c>
      <c r="AF143" s="23" t="str">
        <f>IF(AI143="","",OFERTA!$O143*AI143)</f>
        <v/>
      </c>
      <c r="AG143" s="21" t="str">
        <f t="shared" si="13"/>
        <v/>
      </c>
      <c r="AH143" s="216">
        <v>7.27</v>
      </c>
      <c r="AI143" s="216"/>
      <c r="AJ143" s="216" t="str">
        <f t="shared" si="14"/>
        <v/>
      </c>
      <c r="AK143" s="216" t="str">
        <f t="shared" si="15"/>
        <v/>
      </c>
      <c r="AL143" s="216" t="str">
        <f>IF(AJ143="","",OFERTA!$E143/AJ143)</f>
        <v/>
      </c>
      <c r="AR143" s="1"/>
    </row>
    <row r="144" spans="1:44" ht="17.25" hidden="1" thickBot="1" x14ac:dyDescent="0.35">
      <c r="A144" s="220"/>
      <c r="B144" s="227">
        <v>139</v>
      </c>
      <c r="C144" s="232"/>
      <c r="D144" s="21"/>
      <c r="E144" s="21"/>
      <c r="F144" s="23"/>
      <c r="G144" s="23" t="str">
        <f>IF(OFERTA!$C144="","",IF(OFERTA!$F144="","",OFERTA!$F144*OFERTA!$E144))</f>
        <v/>
      </c>
      <c r="H144" s="229" t="str">
        <f>+IF(OFERTA!$F144="","",OFERTA!$G144/OFERTA!$G$216)</f>
        <v/>
      </c>
      <c r="I144" s="230"/>
      <c r="J144" s="230"/>
      <c r="K144" s="230"/>
      <c r="L144" s="230" t="str">
        <f t="shared" si="12"/>
        <v/>
      </c>
      <c r="M144" s="231">
        <f>+'80'!$N$28+'80'!$N$47</f>
        <v>0</v>
      </c>
      <c r="N144" s="231">
        <f>+'80'!$M$28+'80'!$M$47</f>
        <v>0</v>
      </c>
      <c r="O144" s="231">
        <f>IF('80'!$G$39=0,0,'80'!$G$39)</f>
        <v>0</v>
      </c>
      <c r="P144" s="231">
        <f>IF('80'!$G$55=0,0,'80'!$G$55)</f>
        <v>0</v>
      </c>
      <c r="Q144" s="231">
        <f>+OFERTA!$M144+OFERTA!$N144+OFERTA!$O144+OFERTA!$P144</f>
        <v>0</v>
      </c>
      <c r="R144" s="23">
        <f>IF(OFERTA!$M144="","",OFERTA!$M144*OFERTA!$E144)</f>
        <v>0</v>
      </c>
      <c r="S144" s="23">
        <f>IF(OFERTA!$N144="","",OFERTA!$N144*OFERTA!$E144)</f>
        <v>0</v>
      </c>
      <c r="T144" s="23">
        <f>IF(OFERTA!$O144="","",OFERTA!$O144*OFERTA!$E144)</f>
        <v>0</v>
      </c>
      <c r="U144" s="23">
        <f>IF(OFERTA!$P144="","",OFERTA!$P144*OFERTA!$E144)</f>
        <v>0</v>
      </c>
      <c r="V144" s="23">
        <f>IF(OFERTA!$U144="","",OFERTA!$U144+OFERTA!$T144+OFERTA!$S144+OFERTA!$R144)</f>
        <v>0</v>
      </c>
      <c r="W144" s="22">
        <f>IF(OFERTA!$R144="","",OFERTA!$R144/OFERTA!$R$216)</f>
        <v>0</v>
      </c>
      <c r="X144" s="22">
        <f>IF(OFERTA!$S144="","",OFERTA!$S144/OFERTA!$S$216)</f>
        <v>0</v>
      </c>
      <c r="Y144" s="22">
        <f>IF(OFERTA!$T144="","",OFERTA!$T144/OFERTA!$T$216)</f>
        <v>0</v>
      </c>
      <c r="Z144" s="22">
        <f>IF(OFERTA!$U144="","",OFERTA!$U144/OFERTA!$U$216)</f>
        <v>0</v>
      </c>
      <c r="AA144" s="3"/>
      <c r="AB144" s="23" t="str">
        <f>IF(AI144="","",AI144*OFERTA!$Q144)</f>
        <v/>
      </c>
      <c r="AC144" s="23" t="str">
        <f>IF(AI144="","",OFERTA!$N144*AI144)</f>
        <v/>
      </c>
      <c r="AD144" s="23" t="str">
        <f>IF(AI144="","",OFERTA!$M144*AI144)</f>
        <v/>
      </c>
      <c r="AE144" s="23" t="str">
        <f>IF(AI144="","",OFERTA!$P144*AI144)</f>
        <v/>
      </c>
      <c r="AF144" s="23" t="str">
        <f>IF(AI144="","",OFERTA!$O144*AI144)</f>
        <v/>
      </c>
      <c r="AG144" s="21" t="str">
        <f t="shared" si="13"/>
        <v/>
      </c>
      <c r="AH144" s="216">
        <v>7.27</v>
      </c>
      <c r="AI144" s="216"/>
      <c r="AJ144" s="216" t="str">
        <f t="shared" si="14"/>
        <v/>
      </c>
      <c r="AK144" s="216" t="str">
        <f t="shared" si="15"/>
        <v/>
      </c>
      <c r="AL144" s="216" t="str">
        <f>IF(AJ144="","",OFERTA!$E144/AJ144)</f>
        <v/>
      </c>
      <c r="AR144" s="1"/>
    </row>
    <row r="145" spans="1:44" ht="17.25" hidden="1" thickBot="1" x14ac:dyDescent="0.35">
      <c r="A145" s="220"/>
      <c r="B145" s="227">
        <v>140</v>
      </c>
      <c r="C145" s="232"/>
      <c r="D145" s="21"/>
      <c r="E145" s="21"/>
      <c r="F145" s="23"/>
      <c r="G145" s="23" t="str">
        <f>IF(OFERTA!$C145="","",IF(OFERTA!$F145="","",OFERTA!$F145*OFERTA!$E145))</f>
        <v/>
      </c>
      <c r="H145" s="229" t="str">
        <f>+IF(OFERTA!$F145="","",OFERTA!$G145/OFERTA!$G$216)</f>
        <v/>
      </c>
      <c r="I145" s="230"/>
      <c r="J145" s="230"/>
      <c r="K145" s="230"/>
      <c r="L145" s="230" t="str">
        <f t="shared" si="12"/>
        <v/>
      </c>
      <c r="M145" s="231">
        <f>+'80'!$N$28+'80'!$N$47</f>
        <v>0</v>
      </c>
      <c r="N145" s="231">
        <f>+'80'!$M$28+'80'!$M$47</f>
        <v>0</v>
      </c>
      <c r="O145" s="231">
        <f>IF('80'!$G$39=0,0,'80'!$G$39)</f>
        <v>0</v>
      </c>
      <c r="P145" s="231">
        <f>IF('80'!$G$55=0,0,'80'!$G$55)</f>
        <v>0</v>
      </c>
      <c r="Q145" s="231">
        <f>+OFERTA!$M145+OFERTA!$N145+OFERTA!$O145+OFERTA!$P145</f>
        <v>0</v>
      </c>
      <c r="R145" s="23">
        <f>IF(OFERTA!$M145="","",OFERTA!$M145*OFERTA!$E145)</f>
        <v>0</v>
      </c>
      <c r="S145" s="23">
        <f>IF(OFERTA!$N145="","",OFERTA!$N145*OFERTA!$E145)</f>
        <v>0</v>
      </c>
      <c r="T145" s="23">
        <f>IF(OFERTA!$O145="","",OFERTA!$O145*OFERTA!$E145)</f>
        <v>0</v>
      </c>
      <c r="U145" s="23">
        <f>IF(OFERTA!$P145="","",OFERTA!$P145*OFERTA!$E145)</f>
        <v>0</v>
      </c>
      <c r="V145" s="23">
        <f>IF(OFERTA!$U145="","",OFERTA!$U145+OFERTA!$T145+OFERTA!$S145+OFERTA!$R145)</f>
        <v>0</v>
      </c>
      <c r="W145" s="22">
        <f>IF(OFERTA!$R145="","",OFERTA!$R145/OFERTA!$R$216)</f>
        <v>0</v>
      </c>
      <c r="X145" s="22">
        <f>IF(OFERTA!$S145="","",OFERTA!$S145/OFERTA!$S$216)</f>
        <v>0</v>
      </c>
      <c r="Y145" s="22">
        <f>IF(OFERTA!$T145="","",OFERTA!$T145/OFERTA!$T$216)</f>
        <v>0</v>
      </c>
      <c r="Z145" s="22">
        <f>IF(OFERTA!$U145="","",OFERTA!$U145/OFERTA!$U$216)</f>
        <v>0</v>
      </c>
      <c r="AA145" s="3"/>
      <c r="AB145" s="23" t="str">
        <f>IF(AI145="","",AI145*OFERTA!$Q145)</f>
        <v/>
      </c>
      <c r="AC145" s="23" t="str">
        <f>IF(AI145="","",OFERTA!$N145*AI145)</f>
        <v/>
      </c>
      <c r="AD145" s="23" t="str">
        <f>IF(AI145="","",OFERTA!$M145*AI145)</f>
        <v/>
      </c>
      <c r="AE145" s="23" t="str">
        <f>IF(AI145="","",OFERTA!$P145*AI145)</f>
        <v/>
      </c>
      <c r="AF145" s="23" t="str">
        <f>IF(AI145="","",OFERTA!$O145*AI145)</f>
        <v/>
      </c>
      <c r="AG145" s="21" t="str">
        <f t="shared" si="13"/>
        <v/>
      </c>
      <c r="AH145" s="216">
        <v>7.27</v>
      </c>
      <c r="AI145" s="216"/>
      <c r="AJ145" s="216" t="str">
        <f t="shared" si="14"/>
        <v/>
      </c>
      <c r="AK145" s="216" t="str">
        <f t="shared" si="15"/>
        <v/>
      </c>
      <c r="AL145" s="216" t="str">
        <f>IF(AJ145="","",OFERTA!$E145/AJ145)</f>
        <v/>
      </c>
      <c r="AR145" s="1"/>
    </row>
    <row r="146" spans="1:44" ht="17.25" hidden="1" thickBot="1" x14ac:dyDescent="0.35">
      <c r="A146" s="220"/>
      <c r="B146" s="227">
        <v>141</v>
      </c>
      <c r="C146" s="232"/>
      <c r="D146" s="21"/>
      <c r="E146" s="21"/>
      <c r="F146" s="23"/>
      <c r="G146" s="23" t="str">
        <f>IF(OFERTA!$C146="","",IF(OFERTA!$F146="","",OFERTA!$F146*OFERTA!$E146))</f>
        <v/>
      </c>
      <c r="H146" s="229" t="str">
        <f>+IF(OFERTA!$F146="","",OFERTA!$G146/OFERTA!$G$216)</f>
        <v/>
      </c>
      <c r="I146" s="230"/>
      <c r="J146" s="230"/>
      <c r="K146" s="230"/>
      <c r="L146" s="230" t="str">
        <f t="shared" si="12"/>
        <v/>
      </c>
      <c r="M146" s="231">
        <f>+'80'!$N$28+'80'!$N$47</f>
        <v>0</v>
      </c>
      <c r="N146" s="231">
        <f>+'80'!$M$28+'80'!$M$47</f>
        <v>0</v>
      </c>
      <c r="O146" s="231">
        <f>IF('80'!$G$39=0,0,'80'!$G$39)</f>
        <v>0</v>
      </c>
      <c r="P146" s="231">
        <f>IF('80'!$G$55=0,0,'80'!$G$55)</f>
        <v>0</v>
      </c>
      <c r="Q146" s="231">
        <f>+OFERTA!$M146+OFERTA!$N146+OFERTA!$O146+OFERTA!$P146</f>
        <v>0</v>
      </c>
      <c r="R146" s="23">
        <f>IF(OFERTA!$M146="","",OFERTA!$M146*OFERTA!$E146)</f>
        <v>0</v>
      </c>
      <c r="S146" s="23">
        <f>IF(OFERTA!$N146="","",OFERTA!$N146*OFERTA!$E146)</f>
        <v>0</v>
      </c>
      <c r="T146" s="23">
        <f>IF(OFERTA!$O146="","",OFERTA!$O146*OFERTA!$E146)</f>
        <v>0</v>
      </c>
      <c r="U146" s="23">
        <f>IF(OFERTA!$P146="","",OFERTA!$P146*OFERTA!$E146)</f>
        <v>0</v>
      </c>
      <c r="V146" s="23">
        <f>IF(OFERTA!$U146="","",OFERTA!$U146+OFERTA!$T146+OFERTA!$S146+OFERTA!$R146)</f>
        <v>0</v>
      </c>
      <c r="W146" s="22">
        <f>IF(OFERTA!$R146="","",OFERTA!$R146/OFERTA!$R$216)</f>
        <v>0</v>
      </c>
      <c r="X146" s="22">
        <f>IF(OFERTA!$S146="","",OFERTA!$S146/OFERTA!$S$216)</f>
        <v>0</v>
      </c>
      <c r="Y146" s="22">
        <f>IF(OFERTA!$T146="","",OFERTA!$T146/OFERTA!$T$216)</f>
        <v>0</v>
      </c>
      <c r="Z146" s="22">
        <f>IF(OFERTA!$U146="","",OFERTA!$U146/OFERTA!$U$216)</f>
        <v>0</v>
      </c>
      <c r="AA146" s="3"/>
      <c r="AB146" s="23" t="str">
        <f>IF(AI146="","",AI146*OFERTA!$Q146)</f>
        <v/>
      </c>
      <c r="AC146" s="23" t="str">
        <f>IF(AI146="","",OFERTA!$N146*AI146)</f>
        <v/>
      </c>
      <c r="AD146" s="23" t="str">
        <f>IF(AI146="","",OFERTA!$M146*AI146)</f>
        <v/>
      </c>
      <c r="AE146" s="23" t="str">
        <f>IF(AI146="","",OFERTA!$P146*AI146)</f>
        <v/>
      </c>
      <c r="AF146" s="23" t="str">
        <f>IF(AI146="","",OFERTA!$O146*AI146)</f>
        <v/>
      </c>
      <c r="AG146" s="21" t="str">
        <f t="shared" si="13"/>
        <v/>
      </c>
      <c r="AH146" s="216">
        <v>7.27</v>
      </c>
      <c r="AI146" s="216"/>
      <c r="AJ146" s="216" t="str">
        <f t="shared" si="14"/>
        <v/>
      </c>
      <c r="AK146" s="216" t="str">
        <f t="shared" si="15"/>
        <v/>
      </c>
      <c r="AL146" s="216" t="str">
        <f>IF(AJ146="","",OFERTA!$E146/AJ146)</f>
        <v/>
      </c>
      <c r="AR146" s="1"/>
    </row>
    <row r="147" spans="1:44" ht="17.25" hidden="1" thickBot="1" x14ac:dyDescent="0.35">
      <c r="A147" s="220"/>
      <c r="B147" s="227">
        <v>142</v>
      </c>
      <c r="C147" s="232"/>
      <c r="D147" s="21"/>
      <c r="E147" s="21"/>
      <c r="F147" s="23"/>
      <c r="G147" s="23" t="str">
        <f>IF(OFERTA!$C147="","",IF(OFERTA!$F147="","",OFERTA!$F147*OFERTA!$E147))</f>
        <v/>
      </c>
      <c r="H147" s="229" t="str">
        <f>+IF(OFERTA!$F147="","",OFERTA!$G147/OFERTA!$G$216)</f>
        <v/>
      </c>
      <c r="I147" s="230"/>
      <c r="J147" s="230"/>
      <c r="K147" s="230"/>
      <c r="L147" s="230" t="str">
        <f t="shared" si="12"/>
        <v/>
      </c>
      <c r="M147" s="231">
        <f>+'80'!$N$28+'80'!$N$47</f>
        <v>0</v>
      </c>
      <c r="N147" s="231">
        <f>+'80'!$M$28+'80'!$M$47</f>
        <v>0</v>
      </c>
      <c r="O147" s="231">
        <f>IF('80'!$G$39=0,0,'80'!$G$39)</f>
        <v>0</v>
      </c>
      <c r="P147" s="231">
        <f>IF('80'!$G$55=0,0,'80'!$G$55)</f>
        <v>0</v>
      </c>
      <c r="Q147" s="231">
        <f>+OFERTA!$M147+OFERTA!$N147+OFERTA!$O147+OFERTA!$P147</f>
        <v>0</v>
      </c>
      <c r="R147" s="23">
        <f>IF(OFERTA!$M147="","",OFERTA!$M147*OFERTA!$E147)</f>
        <v>0</v>
      </c>
      <c r="S147" s="23">
        <f>IF(OFERTA!$N147="","",OFERTA!$N147*OFERTA!$E147)</f>
        <v>0</v>
      </c>
      <c r="T147" s="23">
        <f>IF(OFERTA!$O147="","",OFERTA!$O147*OFERTA!$E147)</f>
        <v>0</v>
      </c>
      <c r="U147" s="23">
        <f>IF(OFERTA!$P147="","",OFERTA!$P147*OFERTA!$E147)</f>
        <v>0</v>
      </c>
      <c r="V147" s="23">
        <f>IF(OFERTA!$U147="","",OFERTA!$U147+OFERTA!$T147+OFERTA!$S147+OFERTA!$R147)</f>
        <v>0</v>
      </c>
      <c r="W147" s="22">
        <f>IF(OFERTA!$R147="","",OFERTA!$R147/OFERTA!$R$216)</f>
        <v>0</v>
      </c>
      <c r="X147" s="22">
        <f>IF(OFERTA!$S147="","",OFERTA!$S147/OFERTA!$S$216)</f>
        <v>0</v>
      </c>
      <c r="Y147" s="22">
        <f>IF(OFERTA!$T147="","",OFERTA!$T147/OFERTA!$T$216)</f>
        <v>0</v>
      </c>
      <c r="Z147" s="22">
        <f>IF(OFERTA!$U147="","",OFERTA!$U147/OFERTA!$U$216)</f>
        <v>0</v>
      </c>
      <c r="AA147" s="3"/>
      <c r="AB147" s="23" t="str">
        <f>IF(AI147="","",AI147*OFERTA!$Q147)</f>
        <v/>
      </c>
      <c r="AC147" s="23" t="str">
        <f>IF(AI147="","",OFERTA!$N147*AI147)</f>
        <v/>
      </c>
      <c r="AD147" s="23" t="str">
        <f>IF(AI147="","",OFERTA!$M147*AI147)</f>
        <v/>
      </c>
      <c r="AE147" s="23" t="str">
        <f>IF(AI147="","",OFERTA!$P147*AI147)</f>
        <v/>
      </c>
      <c r="AF147" s="23" t="str">
        <f>IF(AI147="","",OFERTA!$O147*AI147)</f>
        <v/>
      </c>
      <c r="AG147" s="21" t="str">
        <f t="shared" si="13"/>
        <v/>
      </c>
      <c r="AH147" s="216">
        <v>7.27</v>
      </c>
      <c r="AI147" s="216"/>
      <c r="AJ147" s="216" t="str">
        <f t="shared" si="14"/>
        <v/>
      </c>
      <c r="AK147" s="216" t="str">
        <f t="shared" si="15"/>
        <v/>
      </c>
      <c r="AL147" s="216" t="str">
        <f>IF(AJ147="","",OFERTA!$E147/AJ147)</f>
        <v/>
      </c>
      <c r="AR147" s="1"/>
    </row>
    <row r="148" spans="1:44" ht="17.25" hidden="1" thickBot="1" x14ac:dyDescent="0.35">
      <c r="A148" s="220"/>
      <c r="B148" s="227">
        <v>143</v>
      </c>
      <c r="C148" s="232"/>
      <c r="D148" s="21"/>
      <c r="E148" s="21"/>
      <c r="F148" s="23"/>
      <c r="G148" s="23" t="str">
        <f>IF(OFERTA!$C148="","",IF(OFERTA!$F148="","",OFERTA!$F148*OFERTA!$E148))</f>
        <v/>
      </c>
      <c r="H148" s="229" t="str">
        <f>+IF(OFERTA!$F148="","",OFERTA!$G148/OFERTA!$G$216)</f>
        <v/>
      </c>
      <c r="I148" s="230"/>
      <c r="J148" s="230"/>
      <c r="K148" s="230"/>
      <c r="L148" s="230" t="str">
        <f t="shared" si="12"/>
        <v/>
      </c>
      <c r="M148" s="231">
        <f>+'80'!$N$28+'80'!$N$47</f>
        <v>0</v>
      </c>
      <c r="N148" s="231">
        <f>+'80'!$M$28+'80'!$M$47</f>
        <v>0</v>
      </c>
      <c r="O148" s="231">
        <f>IF('80'!$G$39=0,0,'80'!$G$39)</f>
        <v>0</v>
      </c>
      <c r="P148" s="231">
        <f>IF('80'!$G$55=0,0,'80'!$G$55)</f>
        <v>0</v>
      </c>
      <c r="Q148" s="231">
        <f>+OFERTA!$M148+OFERTA!$N148+OFERTA!$O148+OFERTA!$P148</f>
        <v>0</v>
      </c>
      <c r="R148" s="23">
        <f>IF(OFERTA!$M148="","",OFERTA!$M148*OFERTA!$E148)</f>
        <v>0</v>
      </c>
      <c r="S148" s="23">
        <f>IF(OFERTA!$N148="","",OFERTA!$N148*OFERTA!$E148)</f>
        <v>0</v>
      </c>
      <c r="T148" s="23">
        <f>IF(OFERTA!$O148="","",OFERTA!$O148*OFERTA!$E148)</f>
        <v>0</v>
      </c>
      <c r="U148" s="23">
        <f>IF(OFERTA!$P148="","",OFERTA!$P148*OFERTA!$E148)</f>
        <v>0</v>
      </c>
      <c r="V148" s="23">
        <f>IF(OFERTA!$U148="","",OFERTA!$U148+OFERTA!$T148+OFERTA!$S148+OFERTA!$R148)</f>
        <v>0</v>
      </c>
      <c r="W148" s="22">
        <f>IF(OFERTA!$R148="","",OFERTA!$R148/OFERTA!$R$216)</f>
        <v>0</v>
      </c>
      <c r="X148" s="22">
        <f>IF(OFERTA!$S148="","",OFERTA!$S148/OFERTA!$S$216)</f>
        <v>0</v>
      </c>
      <c r="Y148" s="22">
        <f>IF(OFERTA!$T148="","",OFERTA!$T148/OFERTA!$T$216)</f>
        <v>0</v>
      </c>
      <c r="Z148" s="22">
        <f>IF(OFERTA!$U148="","",OFERTA!$U148/OFERTA!$U$216)</f>
        <v>0</v>
      </c>
      <c r="AA148" s="3"/>
      <c r="AB148" s="23" t="str">
        <f>IF(AI148="","",AI148*OFERTA!$Q148)</f>
        <v/>
      </c>
      <c r="AC148" s="23" t="str">
        <f>IF(AI148="","",OFERTA!$N148*AI148)</f>
        <v/>
      </c>
      <c r="AD148" s="23" t="str">
        <f>IF(AI148="","",OFERTA!$M148*AI148)</f>
        <v/>
      </c>
      <c r="AE148" s="23" t="str">
        <f>IF(AI148="","",OFERTA!$P148*AI148)</f>
        <v/>
      </c>
      <c r="AF148" s="23" t="str">
        <f>IF(AI148="","",OFERTA!$O148*AI148)</f>
        <v/>
      </c>
      <c r="AG148" s="21" t="str">
        <f t="shared" si="13"/>
        <v/>
      </c>
      <c r="AH148" s="216">
        <v>7.27</v>
      </c>
      <c r="AI148" s="216"/>
      <c r="AJ148" s="216" t="str">
        <f t="shared" si="14"/>
        <v/>
      </c>
      <c r="AK148" s="216" t="str">
        <f t="shared" si="15"/>
        <v/>
      </c>
      <c r="AL148" s="216" t="str">
        <f>IF(AJ148="","",OFERTA!$E148/AJ148)</f>
        <v/>
      </c>
      <c r="AR148" s="1"/>
    </row>
    <row r="149" spans="1:44" ht="17.25" hidden="1" thickBot="1" x14ac:dyDescent="0.35">
      <c r="A149" s="220"/>
      <c r="B149" s="227">
        <v>144</v>
      </c>
      <c r="C149" s="232"/>
      <c r="D149" s="21"/>
      <c r="E149" s="21"/>
      <c r="F149" s="23"/>
      <c r="G149" s="23" t="str">
        <f>IF(OFERTA!$C149="","",IF(OFERTA!$F149="","",OFERTA!$F149*OFERTA!$E149))</f>
        <v/>
      </c>
      <c r="H149" s="229" t="str">
        <f>+IF(OFERTA!$F149="","",OFERTA!$G149/OFERTA!$G$216)</f>
        <v/>
      </c>
      <c r="I149" s="230"/>
      <c r="J149" s="230"/>
      <c r="K149" s="230"/>
      <c r="L149" s="230" t="str">
        <f t="shared" si="12"/>
        <v/>
      </c>
      <c r="M149" s="231">
        <f>+'80'!$N$28+'80'!$N$47</f>
        <v>0</v>
      </c>
      <c r="N149" s="231">
        <f>+'80'!$M$28+'80'!$M$47</f>
        <v>0</v>
      </c>
      <c r="O149" s="231">
        <f>IF('80'!$G$39=0,0,'80'!$G$39)</f>
        <v>0</v>
      </c>
      <c r="P149" s="231">
        <f>IF('80'!$G$55=0,0,'80'!$G$55)</f>
        <v>0</v>
      </c>
      <c r="Q149" s="231">
        <f>+OFERTA!$M149+OFERTA!$N149+OFERTA!$O149+OFERTA!$P149</f>
        <v>0</v>
      </c>
      <c r="R149" s="23">
        <f>IF(OFERTA!$M149="","",OFERTA!$M149*OFERTA!$E149)</f>
        <v>0</v>
      </c>
      <c r="S149" s="23">
        <f>IF(OFERTA!$N149="","",OFERTA!$N149*OFERTA!$E149)</f>
        <v>0</v>
      </c>
      <c r="T149" s="23">
        <f>IF(OFERTA!$O149="","",OFERTA!$O149*OFERTA!$E149)</f>
        <v>0</v>
      </c>
      <c r="U149" s="23">
        <f>IF(OFERTA!$P149="","",OFERTA!$P149*OFERTA!$E149)</f>
        <v>0</v>
      </c>
      <c r="V149" s="23">
        <f>IF(OFERTA!$U149="","",OFERTA!$U149+OFERTA!$T149+OFERTA!$S149+OFERTA!$R149)</f>
        <v>0</v>
      </c>
      <c r="W149" s="22">
        <f>IF(OFERTA!$R149="","",OFERTA!$R149/OFERTA!$R$216)</f>
        <v>0</v>
      </c>
      <c r="X149" s="22">
        <f>IF(OFERTA!$S149="","",OFERTA!$S149/OFERTA!$S$216)</f>
        <v>0</v>
      </c>
      <c r="Y149" s="22">
        <f>IF(OFERTA!$T149="","",OFERTA!$T149/OFERTA!$T$216)</f>
        <v>0</v>
      </c>
      <c r="Z149" s="22">
        <f>IF(OFERTA!$U149="","",OFERTA!$U149/OFERTA!$U$216)</f>
        <v>0</v>
      </c>
      <c r="AA149" s="3"/>
      <c r="AB149" s="23" t="str">
        <f>IF(AI149="","",AI149*OFERTA!$Q149)</f>
        <v/>
      </c>
      <c r="AC149" s="23" t="str">
        <f>IF(AI149="","",OFERTA!$N149*AI149)</f>
        <v/>
      </c>
      <c r="AD149" s="23" t="str">
        <f>IF(AI149="","",OFERTA!$M149*AI149)</f>
        <v/>
      </c>
      <c r="AE149" s="23" t="str">
        <f>IF(AI149="","",OFERTA!$P149*AI149)</f>
        <v/>
      </c>
      <c r="AF149" s="23" t="str">
        <f>IF(AI149="","",OFERTA!$O149*AI149)</f>
        <v/>
      </c>
      <c r="AG149" s="21" t="str">
        <f t="shared" si="13"/>
        <v/>
      </c>
      <c r="AH149" s="216">
        <v>7.27</v>
      </c>
      <c r="AI149" s="216"/>
      <c r="AJ149" s="216" t="str">
        <f t="shared" si="14"/>
        <v/>
      </c>
      <c r="AK149" s="216" t="str">
        <f t="shared" si="15"/>
        <v/>
      </c>
      <c r="AL149" s="216" t="str">
        <f>IF(AJ149="","",OFERTA!$E149/AJ149)</f>
        <v/>
      </c>
      <c r="AR149" s="1"/>
    </row>
    <row r="150" spans="1:44" ht="17.25" hidden="1" thickBot="1" x14ac:dyDescent="0.35">
      <c r="A150" s="220"/>
      <c r="B150" s="227">
        <v>145</v>
      </c>
      <c r="C150" s="232"/>
      <c r="D150" s="21"/>
      <c r="E150" s="21"/>
      <c r="F150" s="23"/>
      <c r="G150" s="23" t="str">
        <f>IF(OFERTA!$C150="","",IF(OFERTA!$F150="","",OFERTA!$F150*OFERTA!$E150))</f>
        <v/>
      </c>
      <c r="H150" s="229" t="str">
        <f>+IF(OFERTA!$F150="","",OFERTA!$G150/OFERTA!$G$216)</f>
        <v/>
      </c>
      <c r="I150" s="230"/>
      <c r="J150" s="230"/>
      <c r="K150" s="230"/>
      <c r="L150" s="230" t="str">
        <f t="shared" ref="L150:L213" si="16">IF(E150="","",K150*E150)</f>
        <v/>
      </c>
      <c r="M150" s="231">
        <f>+'80'!$N$28+'80'!$N$47</f>
        <v>0</v>
      </c>
      <c r="N150" s="231">
        <f>+'80'!$M$28+'80'!$M$47</f>
        <v>0</v>
      </c>
      <c r="O150" s="231">
        <f>IF('80'!$G$39=0,0,'80'!$G$39)</f>
        <v>0</v>
      </c>
      <c r="P150" s="231">
        <f>IF('80'!$G$55=0,0,'80'!$G$55)</f>
        <v>0</v>
      </c>
      <c r="Q150" s="231">
        <f>+OFERTA!$M150+OFERTA!$N150+OFERTA!$O150+OFERTA!$P150</f>
        <v>0</v>
      </c>
      <c r="R150" s="23">
        <f>IF(OFERTA!$M150="","",OFERTA!$M150*OFERTA!$E150)</f>
        <v>0</v>
      </c>
      <c r="S150" s="23">
        <f>IF(OFERTA!$N150="","",OFERTA!$N150*OFERTA!$E150)</f>
        <v>0</v>
      </c>
      <c r="T150" s="23">
        <f>IF(OFERTA!$O150="","",OFERTA!$O150*OFERTA!$E150)</f>
        <v>0</v>
      </c>
      <c r="U150" s="23">
        <f>IF(OFERTA!$P150="","",OFERTA!$P150*OFERTA!$E150)</f>
        <v>0</v>
      </c>
      <c r="V150" s="23">
        <f>IF(OFERTA!$U150="","",OFERTA!$U150+OFERTA!$T150+OFERTA!$S150+OFERTA!$R150)</f>
        <v>0</v>
      </c>
      <c r="W150" s="22">
        <f>IF(OFERTA!$R150="","",OFERTA!$R150/OFERTA!$R$216)</f>
        <v>0</v>
      </c>
      <c r="X150" s="22">
        <f>IF(OFERTA!$S150="","",OFERTA!$S150/OFERTA!$S$216)</f>
        <v>0</v>
      </c>
      <c r="Y150" s="22">
        <f>IF(OFERTA!$T150="","",OFERTA!$T150/OFERTA!$T$216)</f>
        <v>0</v>
      </c>
      <c r="Z150" s="22">
        <f>IF(OFERTA!$U150="","",OFERTA!$U150/OFERTA!$U$216)</f>
        <v>0</v>
      </c>
      <c r="AA150" s="3"/>
      <c r="AB150" s="23" t="str">
        <f>IF(AI150="","",AI150*OFERTA!$Q150)</f>
        <v/>
      </c>
      <c r="AC150" s="23" t="str">
        <f>IF(AI150="","",OFERTA!$N150*AI150)</f>
        <v/>
      </c>
      <c r="AD150" s="23" t="str">
        <f>IF(AI150="","",OFERTA!$M150*AI150)</f>
        <v/>
      </c>
      <c r="AE150" s="23" t="str">
        <f>IF(AI150="","",OFERTA!$P150*AI150)</f>
        <v/>
      </c>
      <c r="AF150" s="23" t="str">
        <f>IF(AI150="","",OFERTA!$O150*AI150)</f>
        <v/>
      </c>
      <c r="AG150" s="21" t="str">
        <f t="shared" ref="AG150:AG213" si="17">IF(AL150="","",AL150*AH150)</f>
        <v/>
      </c>
      <c r="AH150" s="216">
        <v>7.27</v>
      </c>
      <c r="AI150" s="216"/>
      <c r="AJ150" s="216" t="str">
        <f t="shared" ref="AJ150:AJ213" si="18">IF(AI150="","",AI150*AH150)</f>
        <v/>
      </c>
      <c r="AK150" s="216" t="str">
        <f t="shared" ref="AK150:AK213" si="19">IF(AL150="","",AL150/30)</f>
        <v/>
      </c>
      <c r="AL150" s="216" t="str">
        <f>IF(AJ150="","",OFERTA!$E150/AJ150)</f>
        <v/>
      </c>
      <c r="AR150" s="1"/>
    </row>
    <row r="151" spans="1:44" ht="17.25" hidden="1" thickBot="1" x14ac:dyDescent="0.35">
      <c r="A151" s="220"/>
      <c r="B151" s="227">
        <v>146</v>
      </c>
      <c r="C151" s="232"/>
      <c r="D151" s="21"/>
      <c r="E151" s="21"/>
      <c r="F151" s="23"/>
      <c r="G151" s="23" t="str">
        <f>IF(OFERTA!$C151="","",IF(OFERTA!$F151="","",OFERTA!$F151*OFERTA!$E151))</f>
        <v/>
      </c>
      <c r="H151" s="229" t="str">
        <f>+IF(OFERTA!$F151="","",OFERTA!$G151/OFERTA!$G$216)</f>
        <v/>
      </c>
      <c r="I151" s="230"/>
      <c r="J151" s="230"/>
      <c r="K151" s="230"/>
      <c r="L151" s="230" t="str">
        <f t="shared" si="16"/>
        <v/>
      </c>
      <c r="M151" s="231">
        <f>+'80'!$N$28+'80'!$N$47</f>
        <v>0</v>
      </c>
      <c r="N151" s="231">
        <f>+'80'!$M$28+'80'!$M$47</f>
        <v>0</v>
      </c>
      <c r="O151" s="231">
        <f>IF('80'!$G$39=0,0,'80'!$G$39)</f>
        <v>0</v>
      </c>
      <c r="P151" s="231">
        <f>IF('80'!$G$55=0,0,'80'!$G$55)</f>
        <v>0</v>
      </c>
      <c r="Q151" s="231">
        <f>+OFERTA!$M151+OFERTA!$N151+OFERTA!$O151+OFERTA!$P151</f>
        <v>0</v>
      </c>
      <c r="R151" s="23">
        <f>IF(OFERTA!$M151="","",OFERTA!$M151*OFERTA!$E151)</f>
        <v>0</v>
      </c>
      <c r="S151" s="23">
        <f>IF(OFERTA!$N151="","",OFERTA!$N151*OFERTA!$E151)</f>
        <v>0</v>
      </c>
      <c r="T151" s="23">
        <f>IF(OFERTA!$O151="","",OFERTA!$O151*OFERTA!$E151)</f>
        <v>0</v>
      </c>
      <c r="U151" s="23">
        <f>IF(OFERTA!$P151="","",OFERTA!$P151*OFERTA!$E151)</f>
        <v>0</v>
      </c>
      <c r="V151" s="23">
        <f>IF(OFERTA!$U151="","",OFERTA!$U151+OFERTA!$T151+OFERTA!$S151+OFERTA!$R151)</f>
        <v>0</v>
      </c>
      <c r="W151" s="22">
        <f>IF(OFERTA!$R151="","",OFERTA!$R151/OFERTA!$R$216)</f>
        <v>0</v>
      </c>
      <c r="X151" s="22">
        <f>IF(OFERTA!$S151="","",OFERTA!$S151/OFERTA!$S$216)</f>
        <v>0</v>
      </c>
      <c r="Y151" s="22">
        <f>IF(OFERTA!$T151="","",OFERTA!$T151/OFERTA!$T$216)</f>
        <v>0</v>
      </c>
      <c r="Z151" s="22">
        <f>IF(OFERTA!$U151="","",OFERTA!$U151/OFERTA!$U$216)</f>
        <v>0</v>
      </c>
      <c r="AA151" s="3"/>
      <c r="AB151" s="23" t="str">
        <f>IF(AI151="","",AI151*OFERTA!$Q151)</f>
        <v/>
      </c>
      <c r="AC151" s="23" t="str">
        <f>IF(AI151="","",OFERTA!$N151*AI151)</f>
        <v/>
      </c>
      <c r="AD151" s="23" t="str">
        <f>IF(AI151="","",OFERTA!$M151*AI151)</f>
        <v/>
      </c>
      <c r="AE151" s="23" t="str">
        <f>IF(AI151="","",OFERTA!$P151*AI151)</f>
        <v/>
      </c>
      <c r="AF151" s="23" t="str">
        <f>IF(AI151="","",OFERTA!$O151*AI151)</f>
        <v/>
      </c>
      <c r="AG151" s="21" t="str">
        <f t="shared" si="17"/>
        <v/>
      </c>
      <c r="AH151" s="216">
        <v>7.27</v>
      </c>
      <c r="AI151" s="216"/>
      <c r="AJ151" s="216" t="str">
        <f t="shared" si="18"/>
        <v/>
      </c>
      <c r="AK151" s="216" t="str">
        <f t="shared" si="19"/>
        <v/>
      </c>
      <c r="AL151" s="216" t="str">
        <f>IF(AJ151="","",OFERTA!$E151/AJ151)</f>
        <v/>
      </c>
      <c r="AR151" s="1"/>
    </row>
    <row r="152" spans="1:44" ht="17.25" hidden="1" thickBot="1" x14ac:dyDescent="0.35">
      <c r="A152" s="220"/>
      <c r="B152" s="227">
        <v>147</v>
      </c>
      <c r="C152" s="232"/>
      <c r="D152" s="21"/>
      <c r="E152" s="21"/>
      <c r="F152" s="23"/>
      <c r="G152" s="23" t="str">
        <f>IF(OFERTA!$C152="","",IF(OFERTA!$F152="","",OFERTA!$F152*OFERTA!$E152))</f>
        <v/>
      </c>
      <c r="H152" s="229" t="str">
        <f>+IF(OFERTA!$F152="","",OFERTA!$G152/OFERTA!$G$216)</f>
        <v/>
      </c>
      <c r="I152" s="230"/>
      <c r="J152" s="230"/>
      <c r="K152" s="230"/>
      <c r="L152" s="230" t="str">
        <f t="shared" si="16"/>
        <v/>
      </c>
      <c r="M152" s="231">
        <f>+'80'!$N$28+'80'!$N$47</f>
        <v>0</v>
      </c>
      <c r="N152" s="231">
        <f>+'80'!$M$28+'80'!$M$47</f>
        <v>0</v>
      </c>
      <c r="O152" s="231">
        <f>IF('80'!$G$39=0,0,'80'!$G$39)</f>
        <v>0</v>
      </c>
      <c r="P152" s="231">
        <f>IF('80'!$G$55=0,0,'80'!$G$55)</f>
        <v>0</v>
      </c>
      <c r="Q152" s="231">
        <f>+OFERTA!$M152+OFERTA!$N152+OFERTA!$O152+OFERTA!$P152</f>
        <v>0</v>
      </c>
      <c r="R152" s="23">
        <f>IF(OFERTA!$M152="","",OFERTA!$M152*OFERTA!$E152)</f>
        <v>0</v>
      </c>
      <c r="S152" s="23">
        <f>IF(OFERTA!$N152="","",OFERTA!$N152*OFERTA!$E152)</f>
        <v>0</v>
      </c>
      <c r="T152" s="23">
        <f>IF(OFERTA!$O152="","",OFERTA!$O152*OFERTA!$E152)</f>
        <v>0</v>
      </c>
      <c r="U152" s="23">
        <f>IF(OFERTA!$P152="","",OFERTA!$P152*OFERTA!$E152)</f>
        <v>0</v>
      </c>
      <c r="V152" s="23">
        <f>IF(OFERTA!$U152="","",OFERTA!$U152+OFERTA!$T152+OFERTA!$S152+OFERTA!$R152)</f>
        <v>0</v>
      </c>
      <c r="W152" s="22">
        <f>IF(OFERTA!$R152="","",OFERTA!$R152/OFERTA!$R$216)</f>
        <v>0</v>
      </c>
      <c r="X152" s="22">
        <f>IF(OFERTA!$S152="","",OFERTA!$S152/OFERTA!$S$216)</f>
        <v>0</v>
      </c>
      <c r="Y152" s="22">
        <f>IF(OFERTA!$T152="","",OFERTA!$T152/OFERTA!$T$216)</f>
        <v>0</v>
      </c>
      <c r="Z152" s="22">
        <f>IF(OFERTA!$U152="","",OFERTA!$U152/OFERTA!$U$216)</f>
        <v>0</v>
      </c>
      <c r="AA152" s="3"/>
      <c r="AB152" s="23" t="str">
        <f>IF(AI152="","",AI152*OFERTA!$Q152)</f>
        <v/>
      </c>
      <c r="AC152" s="23" t="str">
        <f>IF(AI152="","",OFERTA!$N152*AI152)</f>
        <v/>
      </c>
      <c r="AD152" s="23" t="str">
        <f>IF(AI152="","",OFERTA!$M152*AI152)</f>
        <v/>
      </c>
      <c r="AE152" s="23" t="str">
        <f>IF(AI152="","",OFERTA!$P152*AI152)</f>
        <v/>
      </c>
      <c r="AF152" s="23" t="str">
        <f>IF(AI152="","",OFERTA!$O152*AI152)</f>
        <v/>
      </c>
      <c r="AG152" s="21" t="str">
        <f t="shared" si="17"/>
        <v/>
      </c>
      <c r="AH152" s="216">
        <v>7.27</v>
      </c>
      <c r="AI152" s="216"/>
      <c r="AJ152" s="216" t="str">
        <f t="shared" si="18"/>
        <v/>
      </c>
      <c r="AK152" s="216" t="str">
        <f t="shared" si="19"/>
        <v/>
      </c>
      <c r="AL152" s="216" t="str">
        <f>IF(AJ152="","",OFERTA!$E152/AJ152)</f>
        <v/>
      </c>
      <c r="AR152" s="1"/>
    </row>
    <row r="153" spans="1:44" ht="17.25" hidden="1" thickBot="1" x14ac:dyDescent="0.35">
      <c r="A153" s="220"/>
      <c r="B153" s="227">
        <v>148</v>
      </c>
      <c r="C153" s="232"/>
      <c r="D153" s="21"/>
      <c r="E153" s="21"/>
      <c r="F153" s="23"/>
      <c r="G153" s="23" t="str">
        <f>IF(OFERTA!$C153="","",IF(OFERTA!$F153="","",OFERTA!$F153*OFERTA!$E153))</f>
        <v/>
      </c>
      <c r="H153" s="229" t="str">
        <f>+IF(OFERTA!$F153="","",OFERTA!$G153/OFERTA!$G$216)</f>
        <v/>
      </c>
      <c r="I153" s="230"/>
      <c r="J153" s="230"/>
      <c r="K153" s="230"/>
      <c r="L153" s="230" t="str">
        <f t="shared" si="16"/>
        <v/>
      </c>
      <c r="M153" s="231">
        <f>+'80'!$N$28+'80'!$N$47</f>
        <v>0</v>
      </c>
      <c r="N153" s="231">
        <f>+'80'!$M$28+'80'!$M$47</f>
        <v>0</v>
      </c>
      <c r="O153" s="231">
        <f>IF('80'!$G$39=0,0,'80'!$G$39)</f>
        <v>0</v>
      </c>
      <c r="P153" s="231">
        <f>IF('80'!$G$55=0,0,'80'!$G$55)</f>
        <v>0</v>
      </c>
      <c r="Q153" s="231">
        <f>+OFERTA!$M153+OFERTA!$N153+OFERTA!$O153+OFERTA!$P153</f>
        <v>0</v>
      </c>
      <c r="R153" s="23">
        <f>IF(OFERTA!$M153="","",OFERTA!$M153*OFERTA!$E153)</f>
        <v>0</v>
      </c>
      <c r="S153" s="23">
        <f>IF(OFERTA!$N153="","",OFERTA!$N153*OFERTA!$E153)</f>
        <v>0</v>
      </c>
      <c r="T153" s="23">
        <f>IF(OFERTA!$O153="","",OFERTA!$O153*OFERTA!$E153)</f>
        <v>0</v>
      </c>
      <c r="U153" s="23">
        <f>IF(OFERTA!$P153="","",OFERTA!$P153*OFERTA!$E153)</f>
        <v>0</v>
      </c>
      <c r="V153" s="23">
        <f>IF(OFERTA!$U153="","",OFERTA!$U153+OFERTA!$T153+OFERTA!$S153+OFERTA!$R153)</f>
        <v>0</v>
      </c>
      <c r="W153" s="22">
        <f>IF(OFERTA!$R153="","",OFERTA!$R153/OFERTA!$R$216)</f>
        <v>0</v>
      </c>
      <c r="X153" s="22">
        <f>IF(OFERTA!$S153="","",OFERTA!$S153/OFERTA!$S$216)</f>
        <v>0</v>
      </c>
      <c r="Y153" s="22">
        <f>IF(OFERTA!$T153="","",OFERTA!$T153/OFERTA!$T$216)</f>
        <v>0</v>
      </c>
      <c r="Z153" s="22">
        <f>IF(OFERTA!$U153="","",OFERTA!$U153/OFERTA!$U$216)</f>
        <v>0</v>
      </c>
      <c r="AA153" s="3"/>
      <c r="AB153" s="23" t="str">
        <f>IF(AI153="","",AI153*OFERTA!$Q153)</f>
        <v/>
      </c>
      <c r="AC153" s="23" t="str">
        <f>IF(AI153="","",OFERTA!$N153*AI153)</f>
        <v/>
      </c>
      <c r="AD153" s="23" t="str">
        <f>IF(AI153="","",OFERTA!$M153*AI153)</f>
        <v/>
      </c>
      <c r="AE153" s="23" t="str">
        <f>IF(AI153="","",OFERTA!$P153*AI153)</f>
        <v/>
      </c>
      <c r="AF153" s="23" t="str">
        <f>IF(AI153="","",OFERTA!$O153*AI153)</f>
        <v/>
      </c>
      <c r="AG153" s="21" t="str">
        <f t="shared" si="17"/>
        <v/>
      </c>
      <c r="AH153" s="216">
        <v>7.27</v>
      </c>
      <c r="AI153" s="216"/>
      <c r="AJ153" s="216" t="str">
        <f t="shared" si="18"/>
        <v/>
      </c>
      <c r="AK153" s="216" t="str">
        <f t="shared" si="19"/>
        <v/>
      </c>
      <c r="AL153" s="216" t="str">
        <f>IF(AJ153="","",OFERTA!$E153/AJ153)</f>
        <v/>
      </c>
      <c r="AR153" s="1"/>
    </row>
    <row r="154" spans="1:44" ht="17.25" hidden="1" thickBot="1" x14ac:dyDescent="0.35">
      <c r="A154" s="220"/>
      <c r="B154" s="227">
        <v>149</v>
      </c>
      <c r="C154" s="232"/>
      <c r="D154" s="21"/>
      <c r="E154" s="21"/>
      <c r="F154" s="23"/>
      <c r="G154" s="23" t="str">
        <f>IF(OFERTA!$C154="","",IF(OFERTA!$F154="","",OFERTA!$F154*OFERTA!$E154))</f>
        <v/>
      </c>
      <c r="H154" s="229" t="str">
        <f>+IF(OFERTA!$F154="","",OFERTA!$G154/OFERTA!$G$216)</f>
        <v/>
      </c>
      <c r="I154" s="230"/>
      <c r="J154" s="230"/>
      <c r="K154" s="230"/>
      <c r="L154" s="230" t="str">
        <f t="shared" si="16"/>
        <v/>
      </c>
      <c r="M154" s="231">
        <f>+'80'!$N$28+'80'!$N$47</f>
        <v>0</v>
      </c>
      <c r="N154" s="231">
        <f>+'80'!$M$28+'80'!$M$47</f>
        <v>0</v>
      </c>
      <c r="O154" s="231">
        <f>IF('80'!$G$39=0,0,'80'!$G$39)</f>
        <v>0</v>
      </c>
      <c r="P154" s="231">
        <f>IF('80'!$G$55=0,0,'80'!$G$55)</f>
        <v>0</v>
      </c>
      <c r="Q154" s="231">
        <f>+OFERTA!$M154+OFERTA!$N154+OFERTA!$O154+OFERTA!$P154</f>
        <v>0</v>
      </c>
      <c r="R154" s="23">
        <f>IF(OFERTA!$M154="","",OFERTA!$M154*OFERTA!$E154)</f>
        <v>0</v>
      </c>
      <c r="S154" s="23">
        <f>IF(OFERTA!$N154="","",OFERTA!$N154*OFERTA!$E154)</f>
        <v>0</v>
      </c>
      <c r="T154" s="23">
        <f>IF(OFERTA!$O154="","",OFERTA!$O154*OFERTA!$E154)</f>
        <v>0</v>
      </c>
      <c r="U154" s="23">
        <f>IF(OFERTA!$P154="","",OFERTA!$P154*OFERTA!$E154)</f>
        <v>0</v>
      </c>
      <c r="V154" s="23">
        <f>IF(OFERTA!$U154="","",OFERTA!$U154+OFERTA!$T154+OFERTA!$S154+OFERTA!$R154)</f>
        <v>0</v>
      </c>
      <c r="W154" s="22">
        <f>IF(OFERTA!$R154="","",OFERTA!$R154/OFERTA!$R$216)</f>
        <v>0</v>
      </c>
      <c r="X154" s="22">
        <f>IF(OFERTA!$S154="","",OFERTA!$S154/OFERTA!$S$216)</f>
        <v>0</v>
      </c>
      <c r="Y154" s="22">
        <f>IF(OFERTA!$T154="","",OFERTA!$T154/OFERTA!$T$216)</f>
        <v>0</v>
      </c>
      <c r="Z154" s="22">
        <f>IF(OFERTA!$U154="","",OFERTA!$U154/OFERTA!$U$216)</f>
        <v>0</v>
      </c>
      <c r="AA154" s="3"/>
      <c r="AB154" s="23" t="str">
        <f>IF(AI154="","",AI154*OFERTA!$Q154)</f>
        <v/>
      </c>
      <c r="AC154" s="23" t="str">
        <f>IF(AI154="","",OFERTA!$N154*AI154)</f>
        <v/>
      </c>
      <c r="AD154" s="23" t="str">
        <f>IF(AI154="","",OFERTA!$M154*AI154)</f>
        <v/>
      </c>
      <c r="AE154" s="23" t="str">
        <f>IF(AI154="","",OFERTA!$P154*AI154)</f>
        <v/>
      </c>
      <c r="AF154" s="23" t="str">
        <f>IF(AI154="","",OFERTA!$O154*AI154)</f>
        <v/>
      </c>
      <c r="AG154" s="21" t="str">
        <f t="shared" si="17"/>
        <v/>
      </c>
      <c r="AH154" s="216">
        <v>7.27</v>
      </c>
      <c r="AI154" s="216"/>
      <c r="AJ154" s="216" t="str">
        <f t="shared" si="18"/>
        <v/>
      </c>
      <c r="AK154" s="216" t="str">
        <f t="shared" si="19"/>
        <v/>
      </c>
      <c r="AL154" s="216" t="str">
        <f>IF(AJ154="","",OFERTA!$E154/AJ154)</f>
        <v/>
      </c>
      <c r="AR154" s="1"/>
    </row>
    <row r="155" spans="1:44" ht="17.25" hidden="1" thickBot="1" x14ac:dyDescent="0.35">
      <c r="A155" s="220"/>
      <c r="B155" s="227">
        <v>150</v>
      </c>
      <c r="C155" s="232"/>
      <c r="D155" s="21"/>
      <c r="E155" s="21"/>
      <c r="F155" s="23"/>
      <c r="G155" s="23" t="str">
        <f>IF(OFERTA!$C155="","",IF(OFERTA!$F155="","",OFERTA!$F155*OFERTA!$E155))</f>
        <v/>
      </c>
      <c r="H155" s="229" t="str">
        <f>+IF(OFERTA!$F155="","",OFERTA!$G155/OFERTA!$G$216)</f>
        <v/>
      </c>
      <c r="I155" s="230"/>
      <c r="J155" s="230"/>
      <c r="K155" s="230"/>
      <c r="L155" s="230" t="str">
        <f t="shared" si="16"/>
        <v/>
      </c>
      <c r="M155" s="231">
        <f>+'80'!$N$28+'80'!$N$47</f>
        <v>0</v>
      </c>
      <c r="N155" s="231">
        <f>+'80'!$M$28+'80'!$M$47</f>
        <v>0</v>
      </c>
      <c r="O155" s="231">
        <f>IF('80'!$G$39=0,0,'80'!$G$39)</f>
        <v>0</v>
      </c>
      <c r="P155" s="231">
        <f>IF('80'!$G$55=0,0,'80'!$G$55)</f>
        <v>0</v>
      </c>
      <c r="Q155" s="231">
        <f>+OFERTA!$M155+OFERTA!$N155+OFERTA!$O155+OFERTA!$P155</f>
        <v>0</v>
      </c>
      <c r="R155" s="23">
        <f>IF(OFERTA!$M155="","",OFERTA!$M155*OFERTA!$E155)</f>
        <v>0</v>
      </c>
      <c r="S155" s="23">
        <f>IF(OFERTA!$N155="","",OFERTA!$N155*OFERTA!$E155)</f>
        <v>0</v>
      </c>
      <c r="T155" s="23">
        <f>IF(OFERTA!$O155="","",OFERTA!$O155*OFERTA!$E155)</f>
        <v>0</v>
      </c>
      <c r="U155" s="23">
        <f>IF(OFERTA!$P155="","",OFERTA!$P155*OFERTA!$E155)</f>
        <v>0</v>
      </c>
      <c r="V155" s="23">
        <f>IF(OFERTA!$U155="","",OFERTA!$U155+OFERTA!$T155+OFERTA!$S155+OFERTA!$R155)</f>
        <v>0</v>
      </c>
      <c r="W155" s="22">
        <f>IF(OFERTA!$R155="","",OFERTA!$R155/OFERTA!$R$216)</f>
        <v>0</v>
      </c>
      <c r="X155" s="22">
        <f>IF(OFERTA!$S155="","",OFERTA!$S155/OFERTA!$S$216)</f>
        <v>0</v>
      </c>
      <c r="Y155" s="22">
        <f>IF(OFERTA!$T155="","",OFERTA!$T155/OFERTA!$T$216)</f>
        <v>0</v>
      </c>
      <c r="Z155" s="22">
        <f>IF(OFERTA!$U155="","",OFERTA!$U155/OFERTA!$U$216)</f>
        <v>0</v>
      </c>
      <c r="AA155" s="3"/>
      <c r="AB155" s="23" t="str">
        <f>IF(AI155="","",AI155*OFERTA!$Q155)</f>
        <v/>
      </c>
      <c r="AC155" s="23" t="str">
        <f>IF(AI155="","",OFERTA!$N155*AI155)</f>
        <v/>
      </c>
      <c r="AD155" s="23" t="str">
        <f>IF(AI155="","",OFERTA!$M155*AI155)</f>
        <v/>
      </c>
      <c r="AE155" s="23" t="str">
        <f>IF(AI155="","",OFERTA!$P155*AI155)</f>
        <v/>
      </c>
      <c r="AF155" s="23" t="str">
        <f>IF(AI155="","",OFERTA!$O155*AI155)</f>
        <v/>
      </c>
      <c r="AG155" s="21" t="str">
        <f t="shared" si="17"/>
        <v/>
      </c>
      <c r="AH155" s="216">
        <v>7.27</v>
      </c>
      <c r="AI155" s="216"/>
      <c r="AJ155" s="216" t="str">
        <f t="shared" si="18"/>
        <v/>
      </c>
      <c r="AK155" s="216" t="str">
        <f t="shared" si="19"/>
        <v/>
      </c>
      <c r="AL155" s="216" t="str">
        <f>IF(AJ155="","",OFERTA!$E155/AJ155)</f>
        <v/>
      </c>
      <c r="AR155" s="1"/>
    </row>
    <row r="156" spans="1:44" ht="17.25" hidden="1" thickBot="1" x14ac:dyDescent="0.35">
      <c r="A156" s="220"/>
      <c r="B156" s="227">
        <v>151</v>
      </c>
      <c r="C156" s="232"/>
      <c r="D156" s="21"/>
      <c r="E156" s="21"/>
      <c r="F156" s="23"/>
      <c r="G156" s="23" t="str">
        <f>IF(OFERTA!$C156="","",IF(OFERTA!$F156="","",OFERTA!$F156*OFERTA!$E156))</f>
        <v/>
      </c>
      <c r="H156" s="229" t="str">
        <f>+IF(OFERTA!$F156="","",OFERTA!$G156/OFERTA!$G$216)</f>
        <v/>
      </c>
      <c r="I156" s="230"/>
      <c r="J156" s="230"/>
      <c r="K156" s="230"/>
      <c r="L156" s="230" t="str">
        <f t="shared" si="16"/>
        <v/>
      </c>
      <c r="M156" s="231">
        <f>+'80'!$N$28+'80'!$N$47</f>
        <v>0</v>
      </c>
      <c r="N156" s="231">
        <f>+'80'!$M$28+'80'!$M$47</f>
        <v>0</v>
      </c>
      <c r="O156" s="231">
        <f>IF('80'!$G$39=0,0,'80'!$G$39)</f>
        <v>0</v>
      </c>
      <c r="P156" s="231">
        <f>IF('80'!$G$55=0,0,'80'!$G$55)</f>
        <v>0</v>
      </c>
      <c r="Q156" s="231">
        <f>+OFERTA!$M156+OFERTA!$N156+OFERTA!$O156+OFERTA!$P156</f>
        <v>0</v>
      </c>
      <c r="R156" s="23">
        <f>IF(OFERTA!$M156="","",OFERTA!$M156*OFERTA!$E156)</f>
        <v>0</v>
      </c>
      <c r="S156" s="23">
        <f>IF(OFERTA!$N156="","",OFERTA!$N156*OFERTA!$E156)</f>
        <v>0</v>
      </c>
      <c r="T156" s="23">
        <f>IF(OFERTA!$O156="","",OFERTA!$O156*OFERTA!$E156)</f>
        <v>0</v>
      </c>
      <c r="U156" s="23">
        <f>IF(OFERTA!$P156="","",OFERTA!$P156*OFERTA!$E156)</f>
        <v>0</v>
      </c>
      <c r="V156" s="23">
        <f>IF(OFERTA!$U156="","",OFERTA!$U156+OFERTA!$T156+OFERTA!$S156+OFERTA!$R156)</f>
        <v>0</v>
      </c>
      <c r="W156" s="22">
        <f>IF(OFERTA!$R156="","",OFERTA!$R156/OFERTA!$R$216)</f>
        <v>0</v>
      </c>
      <c r="X156" s="22">
        <f>IF(OFERTA!$S156="","",OFERTA!$S156/OFERTA!$S$216)</f>
        <v>0</v>
      </c>
      <c r="Y156" s="22">
        <f>IF(OFERTA!$T156="","",OFERTA!$T156/OFERTA!$T$216)</f>
        <v>0</v>
      </c>
      <c r="Z156" s="22">
        <f>IF(OFERTA!$U156="","",OFERTA!$U156/OFERTA!$U$216)</f>
        <v>0</v>
      </c>
      <c r="AA156" s="3"/>
      <c r="AB156" s="23" t="str">
        <f>IF(AI156="","",AI156*OFERTA!$Q156)</f>
        <v/>
      </c>
      <c r="AC156" s="23" t="str">
        <f>IF(AI156="","",OFERTA!$N156*AI156)</f>
        <v/>
      </c>
      <c r="AD156" s="23" t="str">
        <f>IF(AI156="","",OFERTA!$M156*AI156)</f>
        <v/>
      </c>
      <c r="AE156" s="23" t="str">
        <f>IF(AI156="","",OFERTA!$P156*AI156)</f>
        <v/>
      </c>
      <c r="AF156" s="23" t="str">
        <f>IF(AI156="","",OFERTA!$O156*AI156)</f>
        <v/>
      </c>
      <c r="AG156" s="21" t="str">
        <f t="shared" si="17"/>
        <v/>
      </c>
      <c r="AH156" s="216">
        <v>7.27</v>
      </c>
      <c r="AI156" s="216"/>
      <c r="AJ156" s="216" t="str">
        <f t="shared" si="18"/>
        <v/>
      </c>
      <c r="AK156" s="216" t="str">
        <f t="shared" si="19"/>
        <v/>
      </c>
      <c r="AL156" s="216" t="str">
        <f>IF(AJ156="","",OFERTA!$E156/AJ156)</f>
        <v/>
      </c>
      <c r="AR156" s="1"/>
    </row>
    <row r="157" spans="1:44" ht="17.25" hidden="1" thickBot="1" x14ac:dyDescent="0.35">
      <c r="A157" s="220"/>
      <c r="B157" s="227">
        <v>152</v>
      </c>
      <c r="C157" s="232"/>
      <c r="D157" s="21"/>
      <c r="E157" s="21"/>
      <c r="F157" s="23"/>
      <c r="G157" s="23" t="str">
        <f>IF(OFERTA!$C157="","",IF(OFERTA!$F157="","",OFERTA!$F157*OFERTA!$E157))</f>
        <v/>
      </c>
      <c r="H157" s="229" t="str">
        <f>+IF(OFERTA!$F157="","",OFERTA!$G157/OFERTA!$G$216)</f>
        <v/>
      </c>
      <c r="I157" s="230"/>
      <c r="J157" s="230"/>
      <c r="K157" s="230"/>
      <c r="L157" s="230" t="str">
        <f t="shared" si="16"/>
        <v/>
      </c>
      <c r="M157" s="231">
        <f>+'80'!$N$28+'80'!$N$47</f>
        <v>0</v>
      </c>
      <c r="N157" s="231">
        <f>+'80'!$M$28+'80'!$M$47</f>
        <v>0</v>
      </c>
      <c r="O157" s="231">
        <f>IF('80'!$G$39=0,0,'80'!$G$39)</f>
        <v>0</v>
      </c>
      <c r="P157" s="231">
        <f>IF('80'!$G$55=0,0,'80'!$G$55)</f>
        <v>0</v>
      </c>
      <c r="Q157" s="231">
        <f>+OFERTA!$M157+OFERTA!$N157+OFERTA!$O157+OFERTA!$P157</f>
        <v>0</v>
      </c>
      <c r="R157" s="23">
        <f>IF(OFERTA!$M157="","",OFERTA!$M157*OFERTA!$E157)</f>
        <v>0</v>
      </c>
      <c r="S157" s="23">
        <f>IF(OFERTA!$N157="","",OFERTA!$N157*OFERTA!$E157)</f>
        <v>0</v>
      </c>
      <c r="T157" s="23">
        <f>IF(OFERTA!$O157="","",OFERTA!$O157*OFERTA!$E157)</f>
        <v>0</v>
      </c>
      <c r="U157" s="23">
        <f>IF(OFERTA!$P157="","",OFERTA!$P157*OFERTA!$E157)</f>
        <v>0</v>
      </c>
      <c r="V157" s="23">
        <f>IF(OFERTA!$U157="","",OFERTA!$U157+OFERTA!$T157+OFERTA!$S157+OFERTA!$R157)</f>
        <v>0</v>
      </c>
      <c r="W157" s="22">
        <f>IF(OFERTA!$R157="","",OFERTA!$R157/OFERTA!$R$216)</f>
        <v>0</v>
      </c>
      <c r="X157" s="22">
        <f>IF(OFERTA!$S157="","",OFERTA!$S157/OFERTA!$S$216)</f>
        <v>0</v>
      </c>
      <c r="Y157" s="22">
        <f>IF(OFERTA!$T157="","",OFERTA!$T157/OFERTA!$T$216)</f>
        <v>0</v>
      </c>
      <c r="Z157" s="22">
        <f>IF(OFERTA!$U157="","",OFERTA!$U157/OFERTA!$U$216)</f>
        <v>0</v>
      </c>
      <c r="AA157" s="3"/>
      <c r="AB157" s="23" t="str">
        <f>IF(AI157="","",AI157*OFERTA!$Q157)</f>
        <v/>
      </c>
      <c r="AC157" s="23" t="str">
        <f>IF(AI157="","",OFERTA!$N157*AI157)</f>
        <v/>
      </c>
      <c r="AD157" s="23" t="str">
        <f>IF(AI157="","",OFERTA!$M157*AI157)</f>
        <v/>
      </c>
      <c r="AE157" s="23" t="str">
        <f>IF(AI157="","",OFERTA!$P157*AI157)</f>
        <v/>
      </c>
      <c r="AF157" s="23" t="str">
        <f>IF(AI157="","",OFERTA!$O157*AI157)</f>
        <v/>
      </c>
      <c r="AG157" s="21" t="str">
        <f t="shared" si="17"/>
        <v/>
      </c>
      <c r="AH157" s="216">
        <v>7.27</v>
      </c>
      <c r="AI157" s="216"/>
      <c r="AJ157" s="216" t="str">
        <f t="shared" si="18"/>
        <v/>
      </c>
      <c r="AK157" s="216" t="str">
        <f t="shared" si="19"/>
        <v/>
      </c>
      <c r="AL157" s="216" t="str">
        <f>IF(AJ157="","",OFERTA!$E157/AJ157)</f>
        <v/>
      </c>
      <c r="AR157" s="1"/>
    </row>
    <row r="158" spans="1:44" ht="17.25" hidden="1" thickBot="1" x14ac:dyDescent="0.35">
      <c r="A158" s="220"/>
      <c r="B158" s="227">
        <v>153</v>
      </c>
      <c r="C158" s="232"/>
      <c r="D158" s="21"/>
      <c r="E158" s="21"/>
      <c r="F158" s="23"/>
      <c r="G158" s="23" t="str">
        <f>IF(OFERTA!$C158="","",IF(OFERTA!$F158="","",OFERTA!$F158*OFERTA!$E158))</f>
        <v/>
      </c>
      <c r="H158" s="229" t="str">
        <f>+IF(OFERTA!$F158="","",OFERTA!$G158/OFERTA!$G$216)</f>
        <v/>
      </c>
      <c r="I158" s="230"/>
      <c r="J158" s="230"/>
      <c r="K158" s="230"/>
      <c r="L158" s="230" t="str">
        <f t="shared" si="16"/>
        <v/>
      </c>
      <c r="M158" s="231">
        <f>+'80'!$N$28+'80'!$N$47</f>
        <v>0</v>
      </c>
      <c r="N158" s="231">
        <f>+'80'!$M$28+'80'!$M$47</f>
        <v>0</v>
      </c>
      <c r="O158" s="231">
        <f>IF('80'!$G$39=0,0,'80'!$G$39)</f>
        <v>0</v>
      </c>
      <c r="P158" s="231">
        <f>IF('80'!$G$55=0,0,'80'!$G$55)</f>
        <v>0</v>
      </c>
      <c r="Q158" s="231">
        <f>+OFERTA!$M158+OFERTA!$N158+OFERTA!$O158+OFERTA!$P158</f>
        <v>0</v>
      </c>
      <c r="R158" s="23">
        <f>IF(OFERTA!$M158="","",OFERTA!$M158*OFERTA!$E158)</f>
        <v>0</v>
      </c>
      <c r="S158" s="23">
        <f>IF(OFERTA!$N158="","",OFERTA!$N158*OFERTA!$E158)</f>
        <v>0</v>
      </c>
      <c r="T158" s="23">
        <f>IF(OFERTA!$O158="","",OFERTA!$O158*OFERTA!$E158)</f>
        <v>0</v>
      </c>
      <c r="U158" s="23">
        <f>IF(OFERTA!$P158="","",OFERTA!$P158*OFERTA!$E158)</f>
        <v>0</v>
      </c>
      <c r="V158" s="23">
        <f>IF(OFERTA!$U158="","",OFERTA!$U158+OFERTA!$T158+OFERTA!$S158+OFERTA!$R158)</f>
        <v>0</v>
      </c>
      <c r="W158" s="22">
        <f>IF(OFERTA!$R158="","",OFERTA!$R158/OFERTA!$R$216)</f>
        <v>0</v>
      </c>
      <c r="X158" s="22">
        <f>IF(OFERTA!$S158="","",OFERTA!$S158/OFERTA!$S$216)</f>
        <v>0</v>
      </c>
      <c r="Y158" s="22">
        <f>IF(OFERTA!$T158="","",OFERTA!$T158/OFERTA!$T$216)</f>
        <v>0</v>
      </c>
      <c r="Z158" s="22">
        <f>IF(OFERTA!$U158="","",OFERTA!$U158/OFERTA!$U$216)</f>
        <v>0</v>
      </c>
      <c r="AA158" s="3"/>
      <c r="AB158" s="23" t="str">
        <f>IF(AI158="","",AI158*OFERTA!$Q158)</f>
        <v/>
      </c>
      <c r="AC158" s="23" t="str">
        <f>IF(AI158="","",OFERTA!$N158*AI158)</f>
        <v/>
      </c>
      <c r="AD158" s="23" t="str">
        <f>IF(AI158="","",OFERTA!$M158*AI158)</f>
        <v/>
      </c>
      <c r="AE158" s="23" t="str">
        <f>IF(AI158="","",OFERTA!$P158*AI158)</f>
        <v/>
      </c>
      <c r="AF158" s="23" t="str">
        <f>IF(AI158="","",OFERTA!$O158*AI158)</f>
        <v/>
      </c>
      <c r="AG158" s="21" t="str">
        <f t="shared" si="17"/>
        <v/>
      </c>
      <c r="AH158" s="216">
        <v>7.27</v>
      </c>
      <c r="AI158" s="216"/>
      <c r="AJ158" s="216" t="str">
        <f t="shared" si="18"/>
        <v/>
      </c>
      <c r="AK158" s="216" t="str">
        <f t="shared" si="19"/>
        <v/>
      </c>
      <c r="AL158" s="216" t="str">
        <f>IF(AJ158="","",OFERTA!$E158/AJ158)</f>
        <v/>
      </c>
      <c r="AR158" s="1"/>
    </row>
    <row r="159" spans="1:44" ht="17.25" hidden="1" thickBot="1" x14ac:dyDescent="0.35">
      <c r="A159" s="220"/>
      <c r="B159" s="227">
        <v>154</v>
      </c>
      <c r="C159" s="232"/>
      <c r="D159" s="21"/>
      <c r="E159" s="21"/>
      <c r="F159" s="23"/>
      <c r="G159" s="23" t="str">
        <f>IF(OFERTA!$C159="","",IF(OFERTA!$F159="","",OFERTA!$F159*OFERTA!$E159))</f>
        <v/>
      </c>
      <c r="H159" s="229" t="str">
        <f>+IF(OFERTA!$F159="","",OFERTA!$G159/OFERTA!$G$216)</f>
        <v/>
      </c>
      <c r="I159" s="230"/>
      <c r="J159" s="230"/>
      <c r="K159" s="230"/>
      <c r="L159" s="230" t="str">
        <f t="shared" si="16"/>
        <v/>
      </c>
      <c r="M159" s="231">
        <f>+'80'!$N$28+'80'!$N$47</f>
        <v>0</v>
      </c>
      <c r="N159" s="231">
        <f>+'80'!$M$28+'80'!$M$47</f>
        <v>0</v>
      </c>
      <c r="O159" s="231">
        <f>IF('80'!$G$39=0,0,'80'!$G$39)</f>
        <v>0</v>
      </c>
      <c r="P159" s="231">
        <f>IF('80'!$G$55=0,0,'80'!$G$55)</f>
        <v>0</v>
      </c>
      <c r="Q159" s="231">
        <f>+OFERTA!$M159+OFERTA!$N159+OFERTA!$O159+OFERTA!$P159</f>
        <v>0</v>
      </c>
      <c r="R159" s="23">
        <f>IF(OFERTA!$M159="","",OFERTA!$M159*OFERTA!$E159)</f>
        <v>0</v>
      </c>
      <c r="S159" s="23">
        <f>IF(OFERTA!$N159="","",OFERTA!$N159*OFERTA!$E159)</f>
        <v>0</v>
      </c>
      <c r="T159" s="23">
        <f>IF(OFERTA!$O159="","",OFERTA!$O159*OFERTA!$E159)</f>
        <v>0</v>
      </c>
      <c r="U159" s="23">
        <f>IF(OFERTA!$P159="","",OFERTA!$P159*OFERTA!$E159)</f>
        <v>0</v>
      </c>
      <c r="V159" s="23">
        <f>IF(OFERTA!$U159="","",OFERTA!$U159+OFERTA!$T159+OFERTA!$S159+OFERTA!$R159)</f>
        <v>0</v>
      </c>
      <c r="W159" s="22">
        <f>IF(OFERTA!$R159="","",OFERTA!$R159/OFERTA!$R$216)</f>
        <v>0</v>
      </c>
      <c r="X159" s="22">
        <f>IF(OFERTA!$S159="","",OFERTA!$S159/OFERTA!$S$216)</f>
        <v>0</v>
      </c>
      <c r="Y159" s="22">
        <f>IF(OFERTA!$T159="","",OFERTA!$T159/OFERTA!$T$216)</f>
        <v>0</v>
      </c>
      <c r="Z159" s="22">
        <f>IF(OFERTA!$U159="","",OFERTA!$U159/OFERTA!$U$216)</f>
        <v>0</v>
      </c>
      <c r="AA159" s="3"/>
      <c r="AB159" s="23" t="str">
        <f>IF(AI159="","",AI159*OFERTA!$Q159)</f>
        <v/>
      </c>
      <c r="AC159" s="23" t="str">
        <f>IF(AI159="","",OFERTA!$N159*AI159)</f>
        <v/>
      </c>
      <c r="AD159" s="23" t="str">
        <f>IF(AI159="","",OFERTA!$M159*AI159)</f>
        <v/>
      </c>
      <c r="AE159" s="23" t="str">
        <f>IF(AI159="","",OFERTA!$P159*AI159)</f>
        <v/>
      </c>
      <c r="AF159" s="23" t="str">
        <f>IF(AI159="","",OFERTA!$O159*AI159)</f>
        <v/>
      </c>
      <c r="AG159" s="21" t="str">
        <f t="shared" si="17"/>
        <v/>
      </c>
      <c r="AH159" s="216">
        <v>7.27</v>
      </c>
      <c r="AI159" s="216"/>
      <c r="AJ159" s="216" t="str">
        <f t="shared" si="18"/>
        <v/>
      </c>
      <c r="AK159" s="216" t="str">
        <f t="shared" si="19"/>
        <v/>
      </c>
      <c r="AL159" s="216" t="str">
        <f>IF(AJ159="","",OFERTA!$E159/AJ159)</f>
        <v/>
      </c>
      <c r="AR159" s="1"/>
    </row>
    <row r="160" spans="1:44" ht="17.25" hidden="1" thickBot="1" x14ac:dyDescent="0.35">
      <c r="A160" s="220"/>
      <c r="B160" s="227">
        <v>155</v>
      </c>
      <c r="C160" s="232"/>
      <c r="D160" s="21"/>
      <c r="E160" s="21"/>
      <c r="F160" s="23"/>
      <c r="G160" s="23" t="str">
        <f>IF(OFERTA!$C160="","",IF(OFERTA!$F160="","",OFERTA!$F160*OFERTA!$E160))</f>
        <v/>
      </c>
      <c r="H160" s="229" t="str">
        <f>+IF(OFERTA!$F160="","",OFERTA!$G160/OFERTA!$G$216)</f>
        <v/>
      </c>
      <c r="I160" s="230"/>
      <c r="J160" s="230"/>
      <c r="K160" s="230"/>
      <c r="L160" s="230" t="str">
        <f t="shared" si="16"/>
        <v/>
      </c>
      <c r="M160" s="231">
        <f>+'80'!$N$28+'80'!$N$47</f>
        <v>0</v>
      </c>
      <c r="N160" s="231">
        <f>+'80'!$M$28+'80'!$M$47</f>
        <v>0</v>
      </c>
      <c r="O160" s="231">
        <f>IF('80'!$G$39=0,0,'80'!$G$39)</f>
        <v>0</v>
      </c>
      <c r="P160" s="231">
        <f>IF('80'!$G$55=0,0,'80'!$G$55)</f>
        <v>0</v>
      </c>
      <c r="Q160" s="231">
        <f>+OFERTA!$M160+OFERTA!$N160+OFERTA!$O160+OFERTA!$P160</f>
        <v>0</v>
      </c>
      <c r="R160" s="23">
        <f>IF(OFERTA!$M160="","",OFERTA!$M160*OFERTA!$E160)</f>
        <v>0</v>
      </c>
      <c r="S160" s="23">
        <f>IF(OFERTA!$N160="","",OFERTA!$N160*OFERTA!$E160)</f>
        <v>0</v>
      </c>
      <c r="T160" s="23">
        <f>IF(OFERTA!$O160="","",OFERTA!$O160*OFERTA!$E160)</f>
        <v>0</v>
      </c>
      <c r="U160" s="23">
        <f>IF(OFERTA!$P160="","",OFERTA!$P160*OFERTA!$E160)</f>
        <v>0</v>
      </c>
      <c r="V160" s="23">
        <f>IF(OFERTA!$U160="","",OFERTA!$U160+OFERTA!$T160+OFERTA!$S160+OFERTA!$R160)</f>
        <v>0</v>
      </c>
      <c r="W160" s="22">
        <f>IF(OFERTA!$R160="","",OFERTA!$R160/OFERTA!$R$216)</f>
        <v>0</v>
      </c>
      <c r="X160" s="22">
        <f>IF(OFERTA!$S160="","",OFERTA!$S160/OFERTA!$S$216)</f>
        <v>0</v>
      </c>
      <c r="Y160" s="22">
        <f>IF(OFERTA!$T160="","",OFERTA!$T160/OFERTA!$T$216)</f>
        <v>0</v>
      </c>
      <c r="Z160" s="22">
        <f>IF(OFERTA!$U160="","",OFERTA!$U160/OFERTA!$U$216)</f>
        <v>0</v>
      </c>
      <c r="AA160" s="3"/>
      <c r="AB160" s="23" t="str">
        <f>IF(AI160="","",AI160*OFERTA!$Q160)</f>
        <v/>
      </c>
      <c r="AC160" s="23" t="str">
        <f>IF(AI160="","",OFERTA!$N160*AI160)</f>
        <v/>
      </c>
      <c r="AD160" s="23" t="str">
        <f>IF(AI160="","",OFERTA!$M160*AI160)</f>
        <v/>
      </c>
      <c r="AE160" s="23" t="str">
        <f>IF(AI160="","",OFERTA!$P160*AI160)</f>
        <v/>
      </c>
      <c r="AF160" s="23" t="str">
        <f>IF(AI160="","",OFERTA!$O160*AI160)</f>
        <v/>
      </c>
      <c r="AG160" s="21" t="str">
        <f t="shared" si="17"/>
        <v/>
      </c>
      <c r="AH160" s="216">
        <v>7.27</v>
      </c>
      <c r="AI160" s="216"/>
      <c r="AJ160" s="216" t="str">
        <f t="shared" si="18"/>
        <v/>
      </c>
      <c r="AK160" s="216" t="str">
        <f t="shared" si="19"/>
        <v/>
      </c>
      <c r="AL160" s="216" t="str">
        <f>IF(AJ160="","",OFERTA!$E160/AJ160)</f>
        <v/>
      </c>
      <c r="AR160" s="1"/>
    </row>
    <row r="161" spans="1:44" ht="17.25" hidden="1" thickBot="1" x14ac:dyDescent="0.35">
      <c r="A161" s="220"/>
      <c r="B161" s="227">
        <v>156</v>
      </c>
      <c r="C161" s="232"/>
      <c r="D161" s="21"/>
      <c r="E161" s="21"/>
      <c r="F161" s="23"/>
      <c r="G161" s="23" t="str">
        <f>IF(OFERTA!$C161="","",IF(OFERTA!$F161="","",OFERTA!$F161*OFERTA!$E161))</f>
        <v/>
      </c>
      <c r="H161" s="229" t="str">
        <f>+IF(OFERTA!$F161="","",OFERTA!$G161/OFERTA!$G$216)</f>
        <v/>
      </c>
      <c r="I161" s="230"/>
      <c r="J161" s="230"/>
      <c r="K161" s="230"/>
      <c r="L161" s="230" t="str">
        <f t="shared" si="16"/>
        <v/>
      </c>
      <c r="M161" s="231">
        <f>+'80'!$N$28+'80'!$N$47</f>
        <v>0</v>
      </c>
      <c r="N161" s="231">
        <f>+'80'!$M$28+'80'!$M$47</f>
        <v>0</v>
      </c>
      <c r="O161" s="231">
        <f>IF('80'!$G$39=0,0,'80'!$G$39)</f>
        <v>0</v>
      </c>
      <c r="P161" s="231">
        <f>IF('80'!$G$55=0,0,'80'!$G$55)</f>
        <v>0</v>
      </c>
      <c r="Q161" s="231">
        <f>+OFERTA!$M161+OFERTA!$N161+OFERTA!$O161+OFERTA!$P161</f>
        <v>0</v>
      </c>
      <c r="R161" s="23">
        <f>IF(OFERTA!$M161="","",OFERTA!$M161*OFERTA!$E161)</f>
        <v>0</v>
      </c>
      <c r="S161" s="23">
        <f>IF(OFERTA!$N161="","",OFERTA!$N161*OFERTA!$E161)</f>
        <v>0</v>
      </c>
      <c r="T161" s="23">
        <f>IF(OFERTA!$O161="","",OFERTA!$O161*OFERTA!$E161)</f>
        <v>0</v>
      </c>
      <c r="U161" s="23">
        <f>IF(OFERTA!$P161="","",OFERTA!$P161*OFERTA!$E161)</f>
        <v>0</v>
      </c>
      <c r="V161" s="23">
        <f>IF(OFERTA!$U161="","",OFERTA!$U161+OFERTA!$T161+OFERTA!$S161+OFERTA!$R161)</f>
        <v>0</v>
      </c>
      <c r="W161" s="22">
        <f>IF(OFERTA!$R161="","",OFERTA!$R161/OFERTA!$R$216)</f>
        <v>0</v>
      </c>
      <c r="X161" s="22">
        <f>IF(OFERTA!$S161="","",OFERTA!$S161/OFERTA!$S$216)</f>
        <v>0</v>
      </c>
      <c r="Y161" s="22">
        <f>IF(OFERTA!$T161="","",OFERTA!$T161/OFERTA!$T$216)</f>
        <v>0</v>
      </c>
      <c r="Z161" s="22">
        <f>IF(OFERTA!$U161="","",OFERTA!$U161/OFERTA!$U$216)</f>
        <v>0</v>
      </c>
      <c r="AA161" s="3"/>
      <c r="AB161" s="23" t="str">
        <f>IF(AI161="","",AI161*OFERTA!$Q161)</f>
        <v/>
      </c>
      <c r="AC161" s="23" t="str">
        <f>IF(AI161="","",OFERTA!$N161*AI161)</f>
        <v/>
      </c>
      <c r="AD161" s="23" t="str">
        <f>IF(AI161="","",OFERTA!$M161*AI161)</f>
        <v/>
      </c>
      <c r="AE161" s="23" t="str">
        <f>IF(AI161="","",OFERTA!$P161*AI161)</f>
        <v/>
      </c>
      <c r="AF161" s="23" t="str">
        <f>IF(AI161="","",OFERTA!$O161*AI161)</f>
        <v/>
      </c>
      <c r="AG161" s="21" t="str">
        <f t="shared" si="17"/>
        <v/>
      </c>
      <c r="AH161" s="216">
        <v>7.27</v>
      </c>
      <c r="AI161" s="216"/>
      <c r="AJ161" s="216" t="str">
        <f t="shared" si="18"/>
        <v/>
      </c>
      <c r="AK161" s="216" t="str">
        <f t="shared" si="19"/>
        <v/>
      </c>
      <c r="AL161" s="216" t="str">
        <f>IF(AJ161="","",OFERTA!$E161/AJ161)</f>
        <v/>
      </c>
      <c r="AR161" s="1"/>
    </row>
    <row r="162" spans="1:44" ht="17.25" hidden="1" thickBot="1" x14ac:dyDescent="0.35">
      <c r="A162" s="220"/>
      <c r="B162" s="227">
        <v>157</v>
      </c>
      <c r="C162" s="232"/>
      <c r="D162" s="21"/>
      <c r="E162" s="21"/>
      <c r="F162" s="23"/>
      <c r="G162" s="23" t="str">
        <f>IF(OFERTA!$C162="","",IF(OFERTA!$F162="","",OFERTA!$F162*OFERTA!$E162))</f>
        <v/>
      </c>
      <c r="H162" s="229" t="str">
        <f>+IF(OFERTA!$F162="","",OFERTA!$G162/OFERTA!$G$216)</f>
        <v/>
      </c>
      <c r="I162" s="230"/>
      <c r="J162" s="230"/>
      <c r="K162" s="230"/>
      <c r="L162" s="230" t="str">
        <f t="shared" si="16"/>
        <v/>
      </c>
      <c r="M162" s="231">
        <f>+'80'!$N$28+'80'!$N$47</f>
        <v>0</v>
      </c>
      <c r="N162" s="231">
        <f>+'80'!$M$28+'80'!$M$47</f>
        <v>0</v>
      </c>
      <c r="O162" s="231">
        <f>IF('80'!$G$39=0,0,'80'!$G$39)</f>
        <v>0</v>
      </c>
      <c r="P162" s="231">
        <f>IF('80'!$G$55=0,0,'80'!$G$55)</f>
        <v>0</v>
      </c>
      <c r="Q162" s="231">
        <f>+OFERTA!$M162+OFERTA!$N162+OFERTA!$O162+OFERTA!$P162</f>
        <v>0</v>
      </c>
      <c r="R162" s="23">
        <f>IF(OFERTA!$M162="","",OFERTA!$M162*OFERTA!$E162)</f>
        <v>0</v>
      </c>
      <c r="S162" s="23">
        <f>IF(OFERTA!$N162="","",OFERTA!$N162*OFERTA!$E162)</f>
        <v>0</v>
      </c>
      <c r="T162" s="23">
        <f>IF(OFERTA!$O162="","",OFERTA!$O162*OFERTA!$E162)</f>
        <v>0</v>
      </c>
      <c r="U162" s="23">
        <f>IF(OFERTA!$P162="","",OFERTA!$P162*OFERTA!$E162)</f>
        <v>0</v>
      </c>
      <c r="V162" s="23">
        <f>IF(OFERTA!$U162="","",OFERTA!$U162+OFERTA!$T162+OFERTA!$S162+OFERTA!$R162)</f>
        <v>0</v>
      </c>
      <c r="W162" s="22">
        <f>IF(OFERTA!$R162="","",OFERTA!$R162/OFERTA!$R$216)</f>
        <v>0</v>
      </c>
      <c r="X162" s="22">
        <f>IF(OFERTA!$S162="","",OFERTA!$S162/OFERTA!$S$216)</f>
        <v>0</v>
      </c>
      <c r="Y162" s="22">
        <f>IF(OFERTA!$T162="","",OFERTA!$T162/OFERTA!$T$216)</f>
        <v>0</v>
      </c>
      <c r="Z162" s="22">
        <f>IF(OFERTA!$U162="","",OFERTA!$U162/OFERTA!$U$216)</f>
        <v>0</v>
      </c>
      <c r="AA162" s="3"/>
      <c r="AB162" s="23" t="str">
        <f>IF(AI162="","",AI162*OFERTA!$Q162)</f>
        <v/>
      </c>
      <c r="AC162" s="23" t="str">
        <f>IF(AI162="","",OFERTA!$N162*AI162)</f>
        <v/>
      </c>
      <c r="AD162" s="23" t="str">
        <f>IF(AI162="","",OFERTA!$M162*AI162)</f>
        <v/>
      </c>
      <c r="AE162" s="23" t="str">
        <f>IF(AI162="","",OFERTA!$P162*AI162)</f>
        <v/>
      </c>
      <c r="AF162" s="23" t="str">
        <f>IF(AI162="","",OFERTA!$O162*AI162)</f>
        <v/>
      </c>
      <c r="AG162" s="21" t="str">
        <f t="shared" si="17"/>
        <v/>
      </c>
      <c r="AH162" s="216">
        <v>7.27</v>
      </c>
      <c r="AI162" s="216"/>
      <c r="AJ162" s="216" t="str">
        <f t="shared" si="18"/>
        <v/>
      </c>
      <c r="AK162" s="216" t="str">
        <f t="shared" si="19"/>
        <v/>
      </c>
      <c r="AL162" s="216" t="str">
        <f>IF(AJ162="","",OFERTA!$E162/AJ162)</f>
        <v/>
      </c>
      <c r="AR162" s="1"/>
    </row>
    <row r="163" spans="1:44" ht="17.25" hidden="1" thickBot="1" x14ac:dyDescent="0.35">
      <c r="A163" s="220"/>
      <c r="B163" s="227">
        <v>158</v>
      </c>
      <c r="C163" s="232"/>
      <c r="D163" s="21"/>
      <c r="E163" s="21"/>
      <c r="F163" s="23"/>
      <c r="G163" s="23" t="str">
        <f>IF(OFERTA!$C163="","",IF(OFERTA!$F163="","",OFERTA!$F163*OFERTA!$E163))</f>
        <v/>
      </c>
      <c r="H163" s="229" t="str">
        <f>+IF(OFERTA!$F163="","",OFERTA!$G163/OFERTA!$G$216)</f>
        <v/>
      </c>
      <c r="I163" s="230"/>
      <c r="J163" s="230"/>
      <c r="K163" s="230"/>
      <c r="L163" s="230" t="str">
        <f t="shared" si="16"/>
        <v/>
      </c>
      <c r="M163" s="231">
        <f>+'80'!$N$28+'80'!$N$47</f>
        <v>0</v>
      </c>
      <c r="N163" s="231">
        <f>+'80'!$M$28+'80'!$M$47</f>
        <v>0</v>
      </c>
      <c r="O163" s="231">
        <f>IF('80'!$G$39=0,0,'80'!$G$39)</f>
        <v>0</v>
      </c>
      <c r="P163" s="231">
        <f>IF('80'!$G$55=0,0,'80'!$G$55)</f>
        <v>0</v>
      </c>
      <c r="Q163" s="231">
        <f>+OFERTA!$M163+OFERTA!$N163+OFERTA!$O163+OFERTA!$P163</f>
        <v>0</v>
      </c>
      <c r="R163" s="23">
        <f>IF(OFERTA!$M163="","",OFERTA!$M163*OFERTA!$E163)</f>
        <v>0</v>
      </c>
      <c r="S163" s="23">
        <f>IF(OFERTA!$N163="","",OFERTA!$N163*OFERTA!$E163)</f>
        <v>0</v>
      </c>
      <c r="T163" s="23">
        <f>IF(OFERTA!$O163="","",OFERTA!$O163*OFERTA!$E163)</f>
        <v>0</v>
      </c>
      <c r="U163" s="23">
        <f>IF(OFERTA!$P163="","",OFERTA!$P163*OFERTA!$E163)</f>
        <v>0</v>
      </c>
      <c r="V163" s="23">
        <f>IF(OFERTA!$U163="","",OFERTA!$U163+OFERTA!$T163+OFERTA!$S163+OFERTA!$R163)</f>
        <v>0</v>
      </c>
      <c r="W163" s="22">
        <f>IF(OFERTA!$R163="","",OFERTA!$R163/OFERTA!$R$216)</f>
        <v>0</v>
      </c>
      <c r="X163" s="22">
        <f>IF(OFERTA!$S163="","",OFERTA!$S163/OFERTA!$S$216)</f>
        <v>0</v>
      </c>
      <c r="Y163" s="22">
        <f>IF(OFERTA!$T163="","",OFERTA!$T163/OFERTA!$T$216)</f>
        <v>0</v>
      </c>
      <c r="Z163" s="22">
        <f>IF(OFERTA!$U163="","",OFERTA!$U163/OFERTA!$U$216)</f>
        <v>0</v>
      </c>
      <c r="AA163" s="3"/>
      <c r="AB163" s="23" t="str">
        <f>IF(AI163="","",AI163*OFERTA!$Q163)</f>
        <v/>
      </c>
      <c r="AC163" s="23" t="str">
        <f>IF(AI163="","",OFERTA!$N163*AI163)</f>
        <v/>
      </c>
      <c r="AD163" s="23" t="str">
        <f>IF(AI163="","",OFERTA!$M163*AI163)</f>
        <v/>
      </c>
      <c r="AE163" s="23" t="str">
        <f>IF(AI163="","",OFERTA!$P163*AI163)</f>
        <v/>
      </c>
      <c r="AF163" s="23" t="str">
        <f>IF(AI163="","",OFERTA!$O163*AI163)</f>
        <v/>
      </c>
      <c r="AG163" s="21" t="str">
        <f t="shared" si="17"/>
        <v/>
      </c>
      <c r="AH163" s="216">
        <v>7.27</v>
      </c>
      <c r="AI163" s="216"/>
      <c r="AJ163" s="216" t="str">
        <f t="shared" si="18"/>
        <v/>
      </c>
      <c r="AK163" s="216" t="str">
        <f t="shared" si="19"/>
        <v/>
      </c>
      <c r="AL163" s="216" t="str">
        <f>IF(AJ163="","",OFERTA!$E163/AJ163)</f>
        <v/>
      </c>
      <c r="AR163" s="1"/>
    </row>
    <row r="164" spans="1:44" ht="17.25" hidden="1" thickBot="1" x14ac:dyDescent="0.35">
      <c r="A164" s="220"/>
      <c r="B164" s="227">
        <v>159</v>
      </c>
      <c r="C164" s="232"/>
      <c r="D164" s="21"/>
      <c r="E164" s="21"/>
      <c r="F164" s="23"/>
      <c r="G164" s="23" t="str">
        <f>IF(OFERTA!$C164="","",IF(OFERTA!$F164="","",OFERTA!$F164*OFERTA!$E164))</f>
        <v/>
      </c>
      <c r="H164" s="229" t="str">
        <f>+IF(OFERTA!$F164="","",OFERTA!$G164/OFERTA!$G$216)</f>
        <v/>
      </c>
      <c r="I164" s="230"/>
      <c r="J164" s="230"/>
      <c r="K164" s="230"/>
      <c r="L164" s="230" t="str">
        <f t="shared" si="16"/>
        <v/>
      </c>
      <c r="M164" s="231">
        <f>+'80'!$N$28+'80'!$N$47</f>
        <v>0</v>
      </c>
      <c r="N164" s="231">
        <f>+'80'!$M$28+'80'!$M$47</f>
        <v>0</v>
      </c>
      <c r="O164" s="231">
        <f>IF('80'!$G$39=0,0,'80'!$G$39)</f>
        <v>0</v>
      </c>
      <c r="P164" s="231">
        <f>IF('80'!$G$55=0,0,'80'!$G$55)</f>
        <v>0</v>
      </c>
      <c r="Q164" s="231">
        <f>+OFERTA!$M164+OFERTA!$N164+OFERTA!$O164+OFERTA!$P164</f>
        <v>0</v>
      </c>
      <c r="R164" s="23">
        <f>IF(OFERTA!$M164="","",OFERTA!$M164*OFERTA!$E164)</f>
        <v>0</v>
      </c>
      <c r="S164" s="23">
        <f>IF(OFERTA!$N164="","",OFERTA!$N164*OFERTA!$E164)</f>
        <v>0</v>
      </c>
      <c r="T164" s="23">
        <f>IF(OFERTA!$O164="","",OFERTA!$O164*OFERTA!$E164)</f>
        <v>0</v>
      </c>
      <c r="U164" s="23">
        <f>IF(OFERTA!$P164="","",OFERTA!$P164*OFERTA!$E164)</f>
        <v>0</v>
      </c>
      <c r="V164" s="23">
        <f>IF(OFERTA!$U164="","",OFERTA!$U164+OFERTA!$T164+OFERTA!$S164+OFERTA!$R164)</f>
        <v>0</v>
      </c>
      <c r="W164" s="22">
        <f>IF(OFERTA!$R164="","",OFERTA!$R164/OFERTA!$R$216)</f>
        <v>0</v>
      </c>
      <c r="X164" s="22">
        <f>IF(OFERTA!$S164="","",OFERTA!$S164/OFERTA!$S$216)</f>
        <v>0</v>
      </c>
      <c r="Y164" s="22">
        <f>IF(OFERTA!$T164="","",OFERTA!$T164/OFERTA!$T$216)</f>
        <v>0</v>
      </c>
      <c r="Z164" s="22">
        <f>IF(OFERTA!$U164="","",OFERTA!$U164/OFERTA!$U$216)</f>
        <v>0</v>
      </c>
      <c r="AA164" s="3"/>
      <c r="AB164" s="23" t="str">
        <f>IF(AI164="","",AI164*OFERTA!$Q164)</f>
        <v/>
      </c>
      <c r="AC164" s="23" t="str">
        <f>IF(AI164="","",OFERTA!$N164*AI164)</f>
        <v/>
      </c>
      <c r="AD164" s="23" t="str">
        <f>IF(AI164="","",OFERTA!$M164*AI164)</f>
        <v/>
      </c>
      <c r="AE164" s="23" t="str">
        <f>IF(AI164="","",OFERTA!$P164*AI164)</f>
        <v/>
      </c>
      <c r="AF164" s="23" t="str">
        <f>IF(AI164="","",OFERTA!$O164*AI164)</f>
        <v/>
      </c>
      <c r="AG164" s="21" t="str">
        <f t="shared" si="17"/>
        <v/>
      </c>
      <c r="AH164" s="216">
        <v>7.27</v>
      </c>
      <c r="AI164" s="216"/>
      <c r="AJ164" s="216" t="str">
        <f t="shared" si="18"/>
        <v/>
      </c>
      <c r="AK164" s="216" t="str">
        <f t="shared" si="19"/>
        <v/>
      </c>
      <c r="AL164" s="216" t="str">
        <f>IF(AJ164="","",OFERTA!$E164/AJ164)</f>
        <v/>
      </c>
      <c r="AR164" s="1"/>
    </row>
    <row r="165" spans="1:44" ht="17.25" hidden="1" thickBot="1" x14ac:dyDescent="0.35">
      <c r="A165" s="220"/>
      <c r="B165" s="227">
        <v>160</v>
      </c>
      <c r="C165" s="232"/>
      <c r="D165" s="21"/>
      <c r="E165" s="21"/>
      <c r="F165" s="23"/>
      <c r="G165" s="23" t="str">
        <f>IF(OFERTA!$C165="","",IF(OFERTA!$F165="","",OFERTA!$F165*OFERTA!$E165))</f>
        <v/>
      </c>
      <c r="H165" s="229" t="str">
        <f>+IF(OFERTA!$F165="","",OFERTA!$G165/OFERTA!$G$216)</f>
        <v/>
      </c>
      <c r="I165" s="230"/>
      <c r="J165" s="230"/>
      <c r="K165" s="230"/>
      <c r="L165" s="230" t="str">
        <f t="shared" si="16"/>
        <v/>
      </c>
      <c r="M165" s="231">
        <f>+'80'!$N$28+'80'!$N$47</f>
        <v>0</v>
      </c>
      <c r="N165" s="231">
        <f>+'80'!$M$28+'80'!$M$47</f>
        <v>0</v>
      </c>
      <c r="O165" s="231">
        <f>IF('80'!$G$39=0,0,'80'!$G$39)</f>
        <v>0</v>
      </c>
      <c r="P165" s="231">
        <f>IF('80'!$G$55=0,0,'80'!$G$55)</f>
        <v>0</v>
      </c>
      <c r="Q165" s="231">
        <f>+OFERTA!$M165+OFERTA!$N165+OFERTA!$O165+OFERTA!$P165</f>
        <v>0</v>
      </c>
      <c r="R165" s="23">
        <f>IF(OFERTA!$M165="","",OFERTA!$M165*OFERTA!$E165)</f>
        <v>0</v>
      </c>
      <c r="S165" s="23">
        <f>IF(OFERTA!$N165="","",OFERTA!$N165*OFERTA!$E165)</f>
        <v>0</v>
      </c>
      <c r="T165" s="23">
        <f>IF(OFERTA!$O165="","",OFERTA!$O165*OFERTA!$E165)</f>
        <v>0</v>
      </c>
      <c r="U165" s="23">
        <f>IF(OFERTA!$P165="","",OFERTA!$P165*OFERTA!$E165)</f>
        <v>0</v>
      </c>
      <c r="V165" s="23">
        <f>IF(OFERTA!$U165="","",OFERTA!$U165+OFERTA!$T165+OFERTA!$S165+OFERTA!$R165)</f>
        <v>0</v>
      </c>
      <c r="W165" s="22">
        <f>IF(OFERTA!$R165="","",OFERTA!$R165/OFERTA!$R$216)</f>
        <v>0</v>
      </c>
      <c r="X165" s="22">
        <f>IF(OFERTA!$S165="","",OFERTA!$S165/OFERTA!$S$216)</f>
        <v>0</v>
      </c>
      <c r="Y165" s="22">
        <f>IF(OFERTA!$T165="","",OFERTA!$T165/OFERTA!$T$216)</f>
        <v>0</v>
      </c>
      <c r="Z165" s="22">
        <f>IF(OFERTA!$U165="","",OFERTA!$U165/OFERTA!$U$216)</f>
        <v>0</v>
      </c>
      <c r="AA165" s="3"/>
      <c r="AB165" s="23" t="str">
        <f>IF(AI165="","",AI165*OFERTA!$Q165)</f>
        <v/>
      </c>
      <c r="AC165" s="23" t="str">
        <f>IF(AI165="","",OFERTA!$N165*AI165)</f>
        <v/>
      </c>
      <c r="AD165" s="23" t="str">
        <f>IF(AI165="","",OFERTA!$M165*AI165)</f>
        <v/>
      </c>
      <c r="AE165" s="23" t="str">
        <f>IF(AI165="","",OFERTA!$P165*AI165)</f>
        <v/>
      </c>
      <c r="AF165" s="23" t="str">
        <f>IF(AI165="","",OFERTA!$O165*AI165)</f>
        <v/>
      </c>
      <c r="AG165" s="21" t="str">
        <f t="shared" si="17"/>
        <v/>
      </c>
      <c r="AH165" s="216">
        <v>7.27</v>
      </c>
      <c r="AI165" s="216"/>
      <c r="AJ165" s="216" t="str">
        <f t="shared" si="18"/>
        <v/>
      </c>
      <c r="AK165" s="216" t="str">
        <f t="shared" si="19"/>
        <v/>
      </c>
      <c r="AL165" s="216" t="str">
        <f>IF(AJ165="","",OFERTA!$E165/AJ165)</f>
        <v/>
      </c>
      <c r="AR165" s="1"/>
    </row>
    <row r="166" spans="1:44" ht="17.25" hidden="1" thickBot="1" x14ac:dyDescent="0.35">
      <c r="A166" s="220"/>
      <c r="B166" s="227">
        <v>161</v>
      </c>
      <c r="C166" s="232"/>
      <c r="D166" s="21"/>
      <c r="E166" s="21"/>
      <c r="F166" s="23"/>
      <c r="G166" s="23" t="str">
        <f>IF(OFERTA!$C166="","",IF(OFERTA!$F166="","",OFERTA!$F166*OFERTA!$E166))</f>
        <v/>
      </c>
      <c r="H166" s="229" t="str">
        <f>+IF(OFERTA!$F166="","",OFERTA!$G166/OFERTA!$G$216)</f>
        <v/>
      </c>
      <c r="I166" s="230"/>
      <c r="J166" s="230"/>
      <c r="K166" s="230"/>
      <c r="L166" s="230" t="str">
        <f t="shared" si="16"/>
        <v/>
      </c>
      <c r="M166" s="231">
        <f>+'80'!$N$28+'80'!$N$47</f>
        <v>0</v>
      </c>
      <c r="N166" s="231">
        <f>+'80'!$M$28+'80'!$M$47</f>
        <v>0</v>
      </c>
      <c r="O166" s="231">
        <f>IF('80'!$G$39=0,0,'80'!$G$39)</f>
        <v>0</v>
      </c>
      <c r="P166" s="231">
        <f>IF('80'!$G$55=0,0,'80'!$G$55)</f>
        <v>0</v>
      </c>
      <c r="Q166" s="231">
        <f>+OFERTA!$M166+OFERTA!$N166+OFERTA!$O166+OFERTA!$P166</f>
        <v>0</v>
      </c>
      <c r="R166" s="23">
        <f>IF(OFERTA!$M166="","",OFERTA!$M166*OFERTA!$E166)</f>
        <v>0</v>
      </c>
      <c r="S166" s="23">
        <f>IF(OFERTA!$N166="","",OFERTA!$N166*OFERTA!$E166)</f>
        <v>0</v>
      </c>
      <c r="T166" s="23">
        <f>IF(OFERTA!$O166="","",OFERTA!$O166*OFERTA!$E166)</f>
        <v>0</v>
      </c>
      <c r="U166" s="23">
        <f>IF(OFERTA!$P166="","",OFERTA!$P166*OFERTA!$E166)</f>
        <v>0</v>
      </c>
      <c r="V166" s="23">
        <f>IF(OFERTA!$U166="","",OFERTA!$U166+OFERTA!$T166+OFERTA!$S166+OFERTA!$R166)</f>
        <v>0</v>
      </c>
      <c r="W166" s="22">
        <f>IF(OFERTA!$R166="","",OFERTA!$R166/OFERTA!$R$216)</f>
        <v>0</v>
      </c>
      <c r="X166" s="22">
        <f>IF(OFERTA!$S166="","",OFERTA!$S166/OFERTA!$S$216)</f>
        <v>0</v>
      </c>
      <c r="Y166" s="22">
        <f>IF(OFERTA!$T166="","",OFERTA!$T166/OFERTA!$T$216)</f>
        <v>0</v>
      </c>
      <c r="Z166" s="22">
        <f>IF(OFERTA!$U166="","",OFERTA!$U166/OFERTA!$U$216)</f>
        <v>0</v>
      </c>
      <c r="AA166" s="3"/>
      <c r="AB166" s="23" t="str">
        <f>IF(AI166="","",AI166*OFERTA!$Q166)</f>
        <v/>
      </c>
      <c r="AC166" s="23" t="str">
        <f>IF(AI166="","",OFERTA!$N166*AI166)</f>
        <v/>
      </c>
      <c r="AD166" s="23" t="str">
        <f>IF(AI166="","",OFERTA!$M166*AI166)</f>
        <v/>
      </c>
      <c r="AE166" s="23" t="str">
        <f>IF(AI166="","",OFERTA!$P166*AI166)</f>
        <v/>
      </c>
      <c r="AF166" s="23" t="str">
        <f>IF(AI166="","",OFERTA!$O166*AI166)</f>
        <v/>
      </c>
      <c r="AG166" s="21" t="str">
        <f t="shared" si="17"/>
        <v/>
      </c>
      <c r="AH166" s="216">
        <v>7.27</v>
      </c>
      <c r="AI166" s="216"/>
      <c r="AJ166" s="216" t="str">
        <f t="shared" si="18"/>
        <v/>
      </c>
      <c r="AK166" s="216" t="str">
        <f t="shared" si="19"/>
        <v/>
      </c>
      <c r="AL166" s="216" t="str">
        <f>IF(AJ166="","",OFERTA!$E166/AJ166)</f>
        <v/>
      </c>
      <c r="AR166" s="1"/>
    </row>
    <row r="167" spans="1:44" ht="17.25" hidden="1" thickBot="1" x14ac:dyDescent="0.35">
      <c r="A167" s="220"/>
      <c r="B167" s="227">
        <v>162</v>
      </c>
      <c r="C167" s="232"/>
      <c r="D167" s="21"/>
      <c r="E167" s="21"/>
      <c r="F167" s="23"/>
      <c r="G167" s="23" t="str">
        <f>IF(OFERTA!$C167="","",IF(OFERTA!$F167="","",OFERTA!$F167*OFERTA!$E167))</f>
        <v/>
      </c>
      <c r="H167" s="229" t="str">
        <f>+IF(OFERTA!$F167="","",OFERTA!$G167/OFERTA!$G$216)</f>
        <v/>
      </c>
      <c r="I167" s="230"/>
      <c r="J167" s="230"/>
      <c r="K167" s="230"/>
      <c r="L167" s="230" t="str">
        <f t="shared" si="16"/>
        <v/>
      </c>
      <c r="M167" s="231">
        <f>+'80'!$N$28+'80'!$N$47</f>
        <v>0</v>
      </c>
      <c r="N167" s="231">
        <f>+'80'!$M$28+'80'!$M$47</f>
        <v>0</v>
      </c>
      <c r="O167" s="231">
        <f>IF('80'!$G$39=0,0,'80'!$G$39)</f>
        <v>0</v>
      </c>
      <c r="P167" s="231">
        <f>IF('80'!$G$55=0,0,'80'!$G$55)</f>
        <v>0</v>
      </c>
      <c r="Q167" s="231">
        <f>+OFERTA!$M167+OFERTA!$N167+OFERTA!$O167+OFERTA!$P167</f>
        <v>0</v>
      </c>
      <c r="R167" s="23">
        <f>IF(OFERTA!$M167="","",OFERTA!$M167*OFERTA!$E167)</f>
        <v>0</v>
      </c>
      <c r="S167" s="23">
        <f>IF(OFERTA!$N167="","",OFERTA!$N167*OFERTA!$E167)</f>
        <v>0</v>
      </c>
      <c r="T167" s="23">
        <f>IF(OFERTA!$O167="","",OFERTA!$O167*OFERTA!$E167)</f>
        <v>0</v>
      </c>
      <c r="U167" s="23">
        <f>IF(OFERTA!$P167="","",OFERTA!$P167*OFERTA!$E167)</f>
        <v>0</v>
      </c>
      <c r="V167" s="23">
        <f>IF(OFERTA!$U167="","",OFERTA!$U167+OFERTA!$T167+OFERTA!$S167+OFERTA!$R167)</f>
        <v>0</v>
      </c>
      <c r="W167" s="22">
        <f>IF(OFERTA!$R167="","",OFERTA!$R167/OFERTA!$R$216)</f>
        <v>0</v>
      </c>
      <c r="X167" s="22">
        <f>IF(OFERTA!$S167="","",OFERTA!$S167/OFERTA!$S$216)</f>
        <v>0</v>
      </c>
      <c r="Y167" s="22">
        <f>IF(OFERTA!$T167="","",OFERTA!$T167/OFERTA!$T$216)</f>
        <v>0</v>
      </c>
      <c r="Z167" s="22">
        <f>IF(OFERTA!$U167="","",OFERTA!$U167/OFERTA!$U$216)</f>
        <v>0</v>
      </c>
      <c r="AA167" s="3"/>
      <c r="AB167" s="23" t="str">
        <f>IF(AI167="","",AI167*OFERTA!$Q167)</f>
        <v/>
      </c>
      <c r="AC167" s="23" t="str">
        <f>IF(AI167="","",OFERTA!$N167*AI167)</f>
        <v/>
      </c>
      <c r="AD167" s="23" t="str">
        <f>IF(AI167="","",OFERTA!$M167*AI167)</f>
        <v/>
      </c>
      <c r="AE167" s="23" t="str">
        <f>IF(AI167="","",OFERTA!$P167*AI167)</f>
        <v/>
      </c>
      <c r="AF167" s="23" t="str">
        <f>IF(AI167="","",OFERTA!$O167*AI167)</f>
        <v/>
      </c>
      <c r="AG167" s="21" t="str">
        <f t="shared" si="17"/>
        <v/>
      </c>
      <c r="AH167" s="216">
        <v>7.27</v>
      </c>
      <c r="AI167" s="216"/>
      <c r="AJ167" s="216" t="str">
        <f t="shared" si="18"/>
        <v/>
      </c>
      <c r="AK167" s="216" t="str">
        <f t="shared" si="19"/>
        <v/>
      </c>
      <c r="AL167" s="216" t="str">
        <f>IF(AJ167="","",OFERTA!$E167/AJ167)</f>
        <v/>
      </c>
      <c r="AR167" s="1"/>
    </row>
    <row r="168" spans="1:44" ht="17.25" hidden="1" thickBot="1" x14ac:dyDescent="0.35">
      <c r="A168" s="220"/>
      <c r="B168" s="227">
        <v>163</v>
      </c>
      <c r="C168" s="232"/>
      <c r="D168" s="21"/>
      <c r="E168" s="21"/>
      <c r="F168" s="23"/>
      <c r="G168" s="23" t="str">
        <f>IF(OFERTA!$C168="","",IF(OFERTA!$F168="","",OFERTA!$F168*OFERTA!$E168))</f>
        <v/>
      </c>
      <c r="H168" s="229" t="str">
        <f>+IF(OFERTA!$F168="","",OFERTA!$G168/OFERTA!$G$216)</f>
        <v/>
      </c>
      <c r="I168" s="230"/>
      <c r="J168" s="230"/>
      <c r="K168" s="230"/>
      <c r="L168" s="230" t="str">
        <f t="shared" si="16"/>
        <v/>
      </c>
      <c r="M168" s="231">
        <f>+'80'!$N$28+'80'!$N$47</f>
        <v>0</v>
      </c>
      <c r="N168" s="231">
        <f>+'80'!$M$28+'80'!$M$47</f>
        <v>0</v>
      </c>
      <c r="O168" s="231">
        <f>IF('80'!$G$39=0,0,'80'!$G$39)</f>
        <v>0</v>
      </c>
      <c r="P168" s="231">
        <f>IF('80'!$G$55=0,0,'80'!$G$55)</f>
        <v>0</v>
      </c>
      <c r="Q168" s="231">
        <f>+OFERTA!$M168+OFERTA!$N168+OFERTA!$O168+OFERTA!$P168</f>
        <v>0</v>
      </c>
      <c r="R168" s="23">
        <f>IF(OFERTA!$M168="","",OFERTA!$M168*OFERTA!$E168)</f>
        <v>0</v>
      </c>
      <c r="S168" s="23">
        <f>IF(OFERTA!$N168="","",OFERTA!$N168*OFERTA!$E168)</f>
        <v>0</v>
      </c>
      <c r="T168" s="23">
        <f>IF(OFERTA!$O168="","",OFERTA!$O168*OFERTA!$E168)</f>
        <v>0</v>
      </c>
      <c r="U168" s="23">
        <f>IF(OFERTA!$P168="","",OFERTA!$P168*OFERTA!$E168)</f>
        <v>0</v>
      </c>
      <c r="V168" s="23">
        <f>IF(OFERTA!$U168="","",OFERTA!$U168+OFERTA!$T168+OFERTA!$S168+OFERTA!$R168)</f>
        <v>0</v>
      </c>
      <c r="W168" s="22">
        <f>IF(OFERTA!$R168="","",OFERTA!$R168/OFERTA!$R$216)</f>
        <v>0</v>
      </c>
      <c r="X168" s="22">
        <f>IF(OFERTA!$S168="","",OFERTA!$S168/OFERTA!$S$216)</f>
        <v>0</v>
      </c>
      <c r="Y168" s="22">
        <f>IF(OFERTA!$T168="","",OFERTA!$T168/OFERTA!$T$216)</f>
        <v>0</v>
      </c>
      <c r="Z168" s="22">
        <f>IF(OFERTA!$U168="","",OFERTA!$U168/OFERTA!$U$216)</f>
        <v>0</v>
      </c>
      <c r="AA168" s="3"/>
      <c r="AB168" s="23" t="str">
        <f>IF(AI168="","",AI168*OFERTA!$Q168)</f>
        <v/>
      </c>
      <c r="AC168" s="23" t="str">
        <f>IF(AI168="","",OFERTA!$N168*AI168)</f>
        <v/>
      </c>
      <c r="AD168" s="23" t="str">
        <f>IF(AI168="","",OFERTA!$M168*AI168)</f>
        <v/>
      </c>
      <c r="AE168" s="23" t="str">
        <f>IF(AI168="","",OFERTA!$P168*AI168)</f>
        <v/>
      </c>
      <c r="AF168" s="23" t="str">
        <f>IF(AI168="","",OFERTA!$O168*AI168)</f>
        <v/>
      </c>
      <c r="AG168" s="21" t="str">
        <f t="shared" si="17"/>
        <v/>
      </c>
      <c r="AH168" s="216">
        <v>7.27</v>
      </c>
      <c r="AI168" s="216"/>
      <c r="AJ168" s="216" t="str">
        <f t="shared" si="18"/>
        <v/>
      </c>
      <c r="AK168" s="216" t="str">
        <f t="shared" si="19"/>
        <v/>
      </c>
      <c r="AL168" s="216" t="str">
        <f>IF(AJ168="","",OFERTA!$E168/AJ168)</f>
        <v/>
      </c>
      <c r="AR168" s="1"/>
    </row>
    <row r="169" spans="1:44" ht="17.25" hidden="1" thickBot="1" x14ac:dyDescent="0.35">
      <c r="A169" s="220"/>
      <c r="B169" s="227">
        <v>164</v>
      </c>
      <c r="C169" s="232"/>
      <c r="D169" s="21"/>
      <c r="E169" s="21"/>
      <c r="F169" s="23"/>
      <c r="G169" s="23" t="str">
        <f>IF(OFERTA!$C169="","",IF(OFERTA!$F169="","",OFERTA!$F169*OFERTA!$E169))</f>
        <v/>
      </c>
      <c r="H169" s="229" t="str">
        <f>+IF(OFERTA!$F169="","",OFERTA!$G169/OFERTA!$G$216)</f>
        <v/>
      </c>
      <c r="I169" s="230"/>
      <c r="J169" s="230"/>
      <c r="K169" s="230"/>
      <c r="L169" s="230" t="str">
        <f t="shared" si="16"/>
        <v/>
      </c>
      <c r="M169" s="231">
        <f>+'80'!$N$28+'80'!$N$47</f>
        <v>0</v>
      </c>
      <c r="N169" s="231">
        <f>+'80'!$M$28+'80'!$M$47</f>
        <v>0</v>
      </c>
      <c r="O169" s="231">
        <f>IF('80'!$G$39=0,0,'80'!$G$39)</f>
        <v>0</v>
      </c>
      <c r="P169" s="231">
        <f>IF('80'!$G$55=0,0,'80'!$G$55)</f>
        <v>0</v>
      </c>
      <c r="Q169" s="231">
        <f>+OFERTA!$M169+OFERTA!$N169+OFERTA!$O169+OFERTA!$P169</f>
        <v>0</v>
      </c>
      <c r="R169" s="23">
        <f>IF(OFERTA!$M169="","",OFERTA!$M169*OFERTA!$E169)</f>
        <v>0</v>
      </c>
      <c r="S169" s="23">
        <f>IF(OFERTA!$N169="","",OFERTA!$N169*OFERTA!$E169)</f>
        <v>0</v>
      </c>
      <c r="T169" s="23">
        <f>IF(OFERTA!$O169="","",OFERTA!$O169*OFERTA!$E169)</f>
        <v>0</v>
      </c>
      <c r="U169" s="23">
        <f>IF(OFERTA!$P169="","",OFERTA!$P169*OFERTA!$E169)</f>
        <v>0</v>
      </c>
      <c r="V169" s="23">
        <f>IF(OFERTA!$U169="","",OFERTA!$U169+OFERTA!$T169+OFERTA!$S169+OFERTA!$R169)</f>
        <v>0</v>
      </c>
      <c r="W169" s="22">
        <f>IF(OFERTA!$R169="","",OFERTA!$R169/OFERTA!$R$216)</f>
        <v>0</v>
      </c>
      <c r="X169" s="22">
        <f>IF(OFERTA!$S169="","",OFERTA!$S169/OFERTA!$S$216)</f>
        <v>0</v>
      </c>
      <c r="Y169" s="22">
        <f>IF(OFERTA!$T169="","",OFERTA!$T169/OFERTA!$T$216)</f>
        <v>0</v>
      </c>
      <c r="Z169" s="22">
        <f>IF(OFERTA!$U169="","",OFERTA!$U169/OFERTA!$U$216)</f>
        <v>0</v>
      </c>
      <c r="AA169" s="3"/>
      <c r="AB169" s="23" t="str">
        <f>IF(AI169="","",AI169*OFERTA!$Q169)</f>
        <v/>
      </c>
      <c r="AC169" s="23" t="str">
        <f>IF(AI169="","",OFERTA!$N169*AI169)</f>
        <v/>
      </c>
      <c r="AD169" s="23" t="str">
        <f>IF(AI169="","",OFERTA!$M169*AI169)</f>
        <v/>
      </c>
      <c r="AE169" s="23" t="str">
        <f>IF(AI169="","",OFERTA!$P169*AI169)</f>
        <v/>
      </c>
      <c r="AF169" s="23" t="str">
        <f>IF(AI169="","",OFERTA!$O169*AI169)</f>
        <v/>
      </c>
      <c r="AG169" s="21" t="str">
        <f t="shared" si="17"/>
        <v/>
      </c>
      <c r="AH169" s="216">
        <v>7.27</v>
      </c>
      <c r="AI169" s="216"/>
      <c r="AJ169" s="216" t="str">
        <f t="shared" si="18"/>
        <v/>
      </c>
      <c r="AK169" s="216" t="str">
        <f t="shared" si="19"/>
        <v/>
      </c>
      <c r="AL169" s="216" t="str">
        <f>IF(AJ169="","",OFERTA!$E169/AJ169)</f>
        <v/>
      </c>
      <c r="AR169" s="1"/>
    </row>
    <row r="170" spans="1:44" ht="17.25" hidden="1" thickBot="1" x14ac:dyDescent="0.35">
      <c r="A170" s="220"/>
      <c r="B170" s="227">
        <v>165</v>
      </c>
      <c r="C170" s="232"/>
      <c r="D170" s="21"/>
      <c r="E170" s="21"/>
      <c r="F170" s="23"/>
      <c r="G170" s="23" t="str">
        <f>IF(OFERTA!$C170="","",IF(OFERTA!$F170="","",OFERTA!$F170*OFERTA!$E170))</f>
        <v/>
      </c>
      <c r="H170" s="229" t="str">
        <f>+IF(OFERTA!$F170="","",OFERTA!$G170/OFERTA!$G$216)</f>
        <v/>
      </c>
      <c r="I170" s="230"/>
      <c r="J170" s="230"/>
      <c r="K170" s="230"/>
      <c r="L170" s="230" t="str">
        <f t="shared" si="16"/>
        <v/>
      </c>
      <c r="M170" s="231">
        <f>+'80'!$N$28+'80'!$N$47</f>
        <v>0</v>
      </c>
      <c r="N170" s="231">
        <f>+'80'!$M$28+'80'!$M$47</f>
        <v>0</v>
      </c>
      <c r="O170" s="231">
        <f>IF('80'!$G$39=0,0,'80'!$G$39)</f>
        <v>0</v>
      </c>
      <c r="P170" s="231">
        <f>IF('80'!$G$55=0,0,'80'!$G$55)</f>
        <v>0</v>
      </c>
      <c r="Q170" s="231">
        <f>+OFERTA!$M170+OFERTA!$N170+OFERTA!$O170+OFERTA!$P170</f>
        <v>0</v>
      </c>
      <c r="R170" s="23">
        <f>IF(OFERTA!$M170="","",OFERTA!$M170*OFERTA!$E170)</f>
        <v>0</v>
      </c>
      <c r="S170" s="23">
        <f>IF(OFERTA!$N170="","",OFERTA!$N170*OFERTA!$E170)</f>
        <v>0</v>
      </c>
      <c r="T170" s="23">
        <f>IF(OFERTA!$O170="","",OFERTA!$O170*OFERTA!$E170)</f>
        <v>0</v>
      </c>
      <c r="U170" s="23">
        <f>IF(OFERTA!$P170="","",OFERTA!$P170*OFERTA!$E170)</f>
        <v>0</v>
      </c>
      <c r="V170" s="23">
        <f>IF(OFERTA!$U170="","",OFERTA!$U170+OFERTA!$T170+OFERTA!$S170+OFERTA!$R170)</f>
        <v>0</v>
      </c>
      <c r="W170" s="22">
        <f>IF(OFERTA!$R170="","",OFERTA!$R170/OFERTA!$R$216)</f>
        <v>0</v>
      </c>
      <c r="X170" s="22">
        <f>IF(OFERTA!$S170="","",OFERTA!$S170/OFERTA!$S$216)</f>
        <v>0</v>
      </c>
      <c r="Y170" s="22">
        <f>IF(OFERTA!$T170="","",OFERTA!$T170/OFERTA!$T$216)</f>
        <v>0</v>
      </c>
      <c r="Z170" s="22">
        <f>IF(OFERTA!$U170="","",OFERTA!$U170/OFERTA!$U$216)</f>
        <v>0</v>
      </c>
      <c r="AA170" s="3"/>
      <c r="AB170" s="23" t="str">
        <f>IF(AI170="","",AI170*OFERTA!$Q170)</f>
        <v/>
      </c>
      <c r="AC170" s="23" t="str">
        <f>IF(AI170="","",OFERTA!$N170*AI170)</f>
        <v/>
      </c>
      <c r="AD170" s="23" t="str">
        <f>IF(AI170="","",OFERTA!$M170*AI170)</f>
        <v/>
      </c>
      <c r="AE170" s="23" t="str">
        <f>IF(AI170="","",OFERTA!$P170*AI170)</f>
        <v/>
      </c>
      <c r="AF170" s="23" t="str">
        <f>IF(AI170="","",OFERTA!$O170*AI170)</f>
        <v/>
      </c>
      <c r="AG170" s="21" t="str">
        <f t="shared" si="17"/>
        <v/>
      </c>
      <c r="AH170" s="216">
        <v>7.27</v>
      </c>
      <c r="AI170" s="216"/>
      <c r="AJ170" s="216" t="str">
        <f t="shared" si="18"/>
        <v/>
      </c>
      <c r="AK170" s="216" t="str">
        <f t="shared" si="19"/>
        <v/>
      </c>
      <c r="AL170" s="216" t="str">
        <f>IF(AJ170="","",OFERTA!$E170/AJ170)</f>
        <v/>
      </c>
      <c r="AR170" s="1"/>
    </row>
    <row r="171" spans="1:44" ht="17.25" hidden="1" thickBot="1" x14ac:dyDescent="0.35">
      <c r="A171" s="220"/>
      <c r="B171" s="227">
        <v>166</v>
      </c>
      <c r="C171" s="232"/>
      <c r="D171" s="21"/>
      <c r="E171" s="21"/>
      <c r="F171" s="23"/>
      <c r="G171" s="23" t="str">
        <f>IF(OFERTA!$C171="","",IF(OFERTA!$F171="","",OFERTA!$F171*OFERTA!$E171))</f>
        <v/>
      </c>
      <c r="H171" s="229" t="str">
        <f>+IF(OFERTA!$F171="","",OFERTA!$G171/OFERTA!$G$216)</f>
        <v/>
      </c>
      <c r="I171" s="230"/>
      <c r="J171" s="230"/>
      <c r="K171" s="230"/>
      <c r="L171" s="230" t="str">
        <f t="shared" si="16"/>
        <v/>
      </c>
      <c r="M171" s="231">
        <f>+'80'!$N$28+'80'!$N$47</f>
        <v>0</v>
      </c>
      <c r="N171" s="231">
        <f>+'80'!$M$28+'80'!$M$47</f>
        <v>0</v>
      </c>
      <c r="O171" s="231">
        <f>IF('80'!$G$39=0,0,'80'!$G$39)</f>
        <v>0</v>
      </c>
      <c r="P171" s="231">
        <f>IF('80'!$G$55=0,0,'80'!$G$55)</f>
        <v>0</v>
      </c>
      <c r="Q171" s="231">
        <f>+OFERTA!$M171+OFERTA!$N171+OFERTA!$O171+OFERTA!$P171</f>
        <v>0</v>
      </c>
      <c r="R171" s="23">
        <f>IF(OFERTA!$M171="","",OFERTA!$M171*OFERTA!$E171)</f>
        <v>0</v>
      </c>
      <c r="S171" s="23">
        <f>IF(OFERTA!$N171="","",OFERTA!$N171*OFERTA!$E171)</f>
        <v>0</v>
      </c>
      <c r="T171" s="23">
        <f>IF(OFERTA!$O171="","",OFERTA!$O171*OFERTA!$E171)</f>
        <v>0</v>
      </c>
      <c r="U171" s="23">
        <f>IF(OFERTA!$P171="","",OFERTA!$P171*OFERTA!$E171)</f>
        <v>0</v>
      </c>
      <c r="V171" s="23">
        <f>IF(OFERTA!$U171="","",OFERTA!$U171+OFERTA!$T171+OFERTA!$S171+OFERTA!$R171)</f>
        <v>0</v>
      </c>
      <c r="W171" s="22">
        <f>IF(OFERTA!$R171="","",OFERTA!$R171/OFERTA!$R$216)</f>
        <v>0</v>
      </c>
      <c r="X171" s="22">
        <f>IF(OFERTA!$S171="","",OFERTA!$S171/OFERTA!$S$216)</f>
        <v>0</v>
      </c>
      <c r="Y171" s="22">
        <f>IF(OFERTA!$T171="","",OFERTA!$T171/OFERTA!$T$216)</f>
        <v>0</v>
      </c>
      <c r="Z171" s="22">
        <f>IF(OFERTA!$U171="","",OFERTA!$U171/OFERTA!$U$216)</f>
        <v>0</v>
      </c>
      <c r="AA171" s="3"/>
      <c r="AB171" s="23" t="str">
        <f>IF(AI171="","",AI171*OFERTA!$Q171)</f>
        <v/>
      </c>
      <c r="AC171" s="23" t="str">
        <f>IF(AI171="","",OFERTA!$N171*AI171)</f>
        <v/>
      </c>
      <c r="AD171" s="23" t="str">
        <f>IF(AI171="","",OFERTA!$M171*AI171)</f>
        <v/>
      </c>
      <c r="AE171" s="23" t="str">
        <f>IF(AI171="","",OFERTA!$P171*AI171)</f>
        <v/>
      </c>
      <c r="AF171" s="23" t="str">
        <f>IF(AI171="","",OFERTA!$O171*AI171)</f>
        <v/>
      </c>
      <c r="AG171" s="21" t="str">
        <f t="shared" si="17"/>
        <v/>
      </c>
      <c r="AH171" s="216">
        <v>7.27</v>
      </c>
      <c r="AI171" s="216"/>
      <c r="AJ171" s="216" t="str">
        <f t="shared" si="18"/>
        <v/>
      </c>
      <c r="AK171" s="216" t="str">
        <f t="shared" si="19"/>
        <v/>
      </c>
      <c r="AL171" s="216" t="str">
        <f>IF(AJ171="","",OFERTA!$E171/AJ171)</f>
        <v/>
      </c>
      <c r="AR171" s="1"/>
    </row>
    <row r="172" spans="1:44" ht="17.25" hidden="1" thickBot="1" x14ac:dyDescent="0.35">
      <c r="A172" s="220"/>
      <c r="B172" s="227">
        <v>167</v>
      </c>
      <c r="C172" s="232"/>
      <c r="D172" s="21"/>
      <c r="E172" s="21"/>
      <c r="F172" s="23"/>
      <c r="G172" s="23" t="str">
        <f>IF(OFERTA!$C172="","",IF(OFERTA!$F172="","",OFERTA!$F172*OFERTA!$E172))</f>
        <v/>
      </c>
      <c r="H172" s="229" t="str">
        <f>+IF(OFERTA!$F172="","",OFERTA!$G172/OFERTA!$G$216)</f>
        <v/>
      </c>
      <c r="I172" s="230"/>
      <c r="J172" s="230"/>
      <c r="K172" s="230"/>
      <c r="L172" s="230" t="str">
        <f t="shared" si="16"/>
        <v/>
      </c>
      <c r="M172" s="231">
        <f>+'80'!$N$28+'80'!$N$47</f>
        <v>0</v>
      </c>
      <c r="N172" s="231">
        <f>+'80'!$M$28+'80'!$M$47</f>
        <v>0</v>
      </c>
      <c r="O172" s="231">
        <f>IF('80'!$G$39=0,0,'80'!$G$39)</f>
        <v>0</v>
      </c>
      <c r="P172" s="231">
        <f>IF('80'!$G$55=0,0,'80'!$G$55)</f>
        <v>0</v>
      </c>
      <c r="Q172" s="231">
        <f>+OFERTA!$M172+OFERTA!$N172+OFERTA!$O172+OFERTA!$P172</f>
        <v>0</v>
      </c>
      <c r="R172" s="23">
        <f>IF(OFERTA!$M172="","",OFERTA!$M172*OFERTA!$E172)</f>
        <v>0</v>
      </c>
      <c r="S172" s="23">
        <f>IF(OFERTA!$N172="","",OFERTA!$N172*OFERTA!$E172)</f>
        <v>0</v>
      </c>
      <c r="T172" s="23">
        <f>IF(OFERTA!$O172="","",OFERTA!$O172*OFERTA!$E172)</f>
        <v>0</v>
      </c>
      <c r="U172" s="23">
        <f>IF(OFERTA!$P172="","",OFERTA!$P172*OFERTA!$E172)</f>
        <v>0</v>
      </c>
      <c r="V172" s="23">
        <f>IF(OFERTA!$U172="","",OFERTA!$U172+OFERTA!$T172+OFERTA!$S172+OFERTA!$R172)</f>
        <v>0</v>
      </c>
      <c r="W172" s="22">
        <f>IF(OFERTA!$R172="","",OFERTA!$R172/OFERTA!$R$216)</f>
        <v>0</v>
      </c>
      <c r="X172" s="22">
        <f>IF(OFERTA!$S172="","",OFERTA!$S172/OFERTA!$S$216)</f>
        <v>0</v>
      </c>
      <c r="Y172" s="22">
        <f>IF(OFERTA!$T172="","",OFERTA!$T172/OFERTA!$T$216)</f>
        <v>0</v>
      </c>
      <c r="Z172" s="22">
        <f>IF(OFERTA!$U172="","",OFERTA!$U172/OFERTA!$U$216)</f>
        <v>0</v>
      </c>
      <c r="AA172" s="3"/>
      <c r="AB172" s="23" t="str">
        <f>IF(AI172="","",AI172*OFERTA!$Q172)</f>
        <v/>
      </c>
      <c r="AC172" s="23" t="str">
        <f>IF(AI172="","",OFERTA!$N172*AI172)</f>
        <v/>
      </c>
      <c r="AD172" s="23" t="str">
        <f>IF(AI172="","",OFERTA!$M172*AI172)</f>
        <v/>
      </c>
      <c r="AE172" s="23" t="str">
        <f>IF(AI172="","",OFERTA!$P172*AI172)</f>
        <v/>
      </c>
      <c r="AF172" s="23" t="str">
        <f>IF(AI172="","",OFERTA!$O172*AI172)</f>
        <v/>
      </c>
      <c r="AG172" s="21" t="str">
        <f t="shared" si="17"/>
        <v/>
      </c>
      <c r="AH172" s="216">
        <v>7.27</v>
      </c>
      <c r="AI172" s="216"/>
      <c r="AJ172" s="216" t="str">
        <f t="shared" si="18"/>
        <v/>
      </c>
      <c r="AK172" s="216" t="str">
        <f t="shared" si="19"/>
        <v/>
      </c>
      <c r="AL172" s="216" t="str">
        <f>IF(AJ172="","",OFERTA!$E172/AJ172)</f>
        <v/>
      </c>
      <c r="AR172" s="1"/>
    </row>
    <row r="173" spans="1:44" ht="17.25" hidden="1" thickBot="1" x14ac:dyDescent="0.35">
      <c r="A173" s="220"/>
      <c r="B173" s="227">
        <v>168</v>
      </c>
      <c r="C173" s="232"/>
      <c r="D173" s="21"/>
      <c r="E173" s="21"/>
      <c r="F173" s="23"/>
      <c r="G173" s="23" t="str">
        <f>IF(OFERTA!$C173="","",IF(OFERTA!$F173="","",OFERTA!$F173*OFERTA!$E173))</f>
        <v/>
      </c>
      <c r="H173" s="229" t="str">
        <f>+IF(OFERTA!$F173="","",OFERTA!$G173/OFERTA!$G$216)</f>
        <v/>
      </c>
      <c r="I173" s="230"/>
      <c r="J173" s="230"/>
      <c r="K173" s="230"/>
      <c r="L173" s="230" t="str">
        <f t="shared" si="16"/>
        <v/>
      </c>
      <c r="M173" s="231">
        <f>+'80'!$N$28+'80'!$N$47</f>
        <v>0</v>
      </c>
      <c r="N173" s="231">
        <f>+'80'!$M$28+'80'!$M$47</f>
        <v>0</v>
      </c>
      <c r="O173" s="231">
        <f>IF('80'!$G$39=0,0,'80'!$G$39)</f>
        <v>0</v>
      </c>
      <c r="P173" s="231">
        <f>IF('80'!$G$55=0,0,'80'!$G$55)</f>
        <v>0</v>
      </c>
      <c r="Q173" s="231">
        <f>+OFERTA!$M173+OFERTA!$N173+OFERTA!$O173+OFERTA!$P173</f>
        <v>0</v>
      </c>
      <c r="R173" s="23">
        <f>IF(OFERTA!$M173="","",OFERTA!$M173*OFERTA!$E173)</f>
        <v>0</v>
      </c>
      <c r="S173" s="23">
        <f>IF(OFERTA!$N173="","",OFERTA!$N173*OFERTA!$E173)</f>
        <v>0</v>
      </c>
      <c r="T173" s="23">
        <f>IF(OFERTA!$O173="","",OFERTA!$O173*OFERTA!$E173)</f>
        <v>0</v>
      </c>
      <c r="U173" s="23">
        <f>IF(OFERTA!$P173="","",OFERTA!$P173*OFERTA!$E173)</f>
        <v>0</v>
      </c>
      <c r="V173" s="23">
        <f>IF(OFERTA!$U173="","",OFERTA!$U173+OFERTA!$T173+OFERTA!$S173+OFERTA!$R173)</f>
        <v>0</v>
      </c>
      <c r="W173" s="22">
        <f>IF(OFERTA!$R173="","",OFERTA!$R173/OFERTA!$R$216)</f>
        <v>0</v>
      </c>
      <c r="X173" s="22">
        <f>IF(OFERTA!$S173="","",OFERTA!$S173/OFERTA!$S$216)</f>
        <v>0</v>
      </c>
      <c r="Y173" s="22">
        <f>IF(OFERTA!$T173="","",OFERTA!$T173/OFERTA!$T$216)</f>
        <v>0</v>
      </c>
      <c r="Z173" s="22">
        <f>IF(OFERTA!$U173="","",OFERTA!$U173/OFERTA!$U$216)</f>
        <v>0</v>
      </c>
      <c r="AA173" s="3"/>
      <c r="AB173" s="23" t="str">
        <f>IF(AI173="","",AI173*OFERTA!$Q173)</f>
        <v/>
      </c>
      <c r="AC173" s="23" t="str">
        <f>IF(AI173="","",OFERTA!$N173*AI173)</f>
        <v/>
      </c>
      <c r="AD173" s="23" t="str">
        <f>IF(AI173="","",OFERTA!$M173*AI173)</f>
        <v/>
      </c>
      <c r="AE173" s="23" t="str">
        <f>IF(AI173="","",OFERTA!$P173*AI173)</f>
        <v/>
      </c>
      <c r="AF173" s="23" t="str">
        <f>IF(AI173="","",OFERTA!$O173*AI173)</f>
        <v/>
      </c>
      <c r="AG173" s="21" t="str">
        <f t="shared" si="17"/>
        <v/>
      </c>
      <c r="AH173" s="216">
        <v>7.27</v>
      </c>
      <c r="AI173" s="216"/>
      <c r="AJ173" s="216" t="str">
        <f t="shared" si="18"/>
        <v/>
      </c>
      <c r="AK173" s="216" t="str">
        <f t="shared" si="19"/>
        <v/>
      </c>
      <c r="AL173" s="216" t="str">
        <f>IF(AJ173="","",OFERTA!$E173/AJ173)</f>
        <v/>
      </c>
      <c r="AR173" s="1"/>
    </row>
    <row r="174" spans="1:44" ht="17.25" hidden="1" thickBot="1" x14ac:dyDescent="0.35">
      <c r="A174" s="220"/>
      <c r="B174" s="227">
        <v>169</v>
      </c>
      <c r="C174" s="232"/>
      <c r="D174" s="21"/>
      <c r="E174" s="21"/>
      <c r="F174" s="23"/>
      <c r="G174" s="23" t="str">
        <f>IF(OFERTA!$C174="","",IF(OFERTA!$F174="","",OFERTA!$F174*OFERTA!$E174))</f>
        <v/>
      </c>
      <c r="H174" s="229" t="str">
        <f>+IF(OFERTA!$F174="","",OFERTA!$G174/OFERTA!$G$216)</f>
        <v/>
      </c>
      <c r="I174" s="230"/>
      <c r="J174" s="230"/>
      <c r="K174" s="230"/>
      <c r="L174" s="230" t="str">
        <f t="shared" si="16"/>
        <v/>
      </c>
      <c r="M174" s="231">
        <f>+'80'!$N$28+'80'!$N$47</f>
        <v>0</v>
      </c>
      <c r="N174" s="231">
        <f>+'80'!$M$28+'80'!$M$47</f>
        <v>0</v>
      </c>
      <c r="O174" s="231">
        <f>IF('80'!$G$39=0,0,'80'!$G$39)</f>
        <v>0</v>
      </c>
      <c r="P174" s="231">
        <f>IF('80'!$G$55=0,0,'80'!$G$55)</f>
        <v>0</v>
      </c>
      <c r="Q174" s="231">
        <f>+OFERTA!$M174+OFERTA!$N174+OFERTA!$O174+OFERTA!$P174</f>
        <v>0</v>
      </c>
      <c r="R174" s="23">
        <f>IF(OFERTA!$M174="","",OFERTA!$M174*OFERTA!$E174)</f>
        <v>0</v>
      </c>
      <c r="S174" s="23">
        <f>IF(OFERTA!$N174="","",OFERTA!$N174*OFERTA!$E174)</f>
        <v>0</v>
      </c>
      <c r="T174" s="23">
        <f>IF(OFERTA!$O174="","",OFERTA!$O174*OFERTA!$E174)</f>
        <v>0</v>
      </c>
      <c r="U174" s="23">
        <f>IF(OFERTA!$P174="","",OFERTA!$P174*OFERTA!$E174)</f>
        <v>0</v>
      </c>
      <c r="V174" s="23">
        <f>IF(OFERTA!$U174="","",OFERTA!$U174+OFERTA!$T174+OFERTA!$S174+OFERTA!$R174)</f>
        <v>0</v>
      </c>
      <c r="W174" s="22">
        <f>IF(OFERTA!$R174="","",OFERTA!$R174/OFERTA!$R$216)</f>
        <v>0</v>
      </c>
      <c r="X174" s="22">
        <f>IF(OFERTA!$S174="","",OFERTA!$S174/OFERTA!$S$216)</f>
        <v>0</v>
      </c>
      <c r="Y174" s="22">
        <f>IF(OFERTA!$T174="","",OFERTA!$T174/OFERTA!$T$216)</f>
        <v>0</v>
      </c>
      <c r="Z174" s="22">
        <f>IF(OFERTA!$U174="","",OFERTA!$U174/OFERTA!$U$216)</f>
        <v>0</v>
      </c>
      <c r="AA174" s="3"/>
      <c r="AB174" s="23" t="str">
        <f>IF(AI174="","",AI174*OFERTA!$Q174)</f>
        <v/>
      </c>
      <c r="AC174" s="23" t="str">
        <f>IF(AI174="","",OFERTA!$N174*AI174)</f>
        <v/>
      </c>
      <c r="AD174" s="23" t="str">
        <f>IF(AI174="","",OFERTA!$M174*AI174)</f>
        <v/>
      </c>
      <c r="AE174" s="23" t="str">
        <f>IF(AI174="","",OFERTA!$P174*AI174)</f>
        <v/>
      </c>
      <c r="AF174" s="23" t="str">
        <f>IF(AI174="","",OFERTA!$O174*AI174)</f>
        <v/>
      </c>
      <c r="AG174" s="21" t="str">
        <f t="shared" si="17"/>
        <v/>
      </c>
      <c r="AH174" s="216">
        <v>7.27</v>
      </c>
      <c r="AI174" s="216"/>
      <c r="AJ174" s="216" t="str">
        <f t="shared" si="18"/>
        <v/>
      </c>
      <c r="AK174" s="216" t="str">
        <f t="shared" si="19"/>
        <v/>
      </c>
      <c r="AL174" s="216" t="str">
        <f>IF(AJ174="","",OFERTA!$E174/AJ174)</f>
        <v/>
      </c>
      <c r="AR174" s="1"/>
    </row>
    <row r="175" spans="1:44" ht="17.25" hidden="1" thickBot="1" x14ac:dyDescent="0.35">
      <c r="A175" s="220"/>
      <c r="B175" s="227">
        <v>170</v>
      </c>
      <c r="C175" s="232"/>
      <c r="D175" s="21"/>
      <c r="E175" s="21"/>
      <c r="F175" s="23"/>
      <c r="G175" s="23" t="str">
        <f>IF(OFERTA!$C175="","",IF(OFERTA!$F175="","",OFERTA!$F175*OFERTA!$E175))</f>
        <v/>
      </c>
      <c r="H175" s="229" t="str">
        <f>+IF(OFERTA!$F175="","",OFERTA!$G175/OFERTA!$G$216)</f>
        <v/>
      </c>
      <c r="I175" s="230"/>
      <c r="J175" s="230"/>
      <c r="K175" s="230"/>
      <c r="L175" s="230" t="str">
        <f t="shared" si="16"/>
        <v/>
      </c>
      <c r="M175" s="231">
        <f>+'80'!$N$28+'80'!$N$47</f>
        <v>0</v>
      </c>
      <c r="N175" s="231">
        <f>+'80'!$M$28+'80'!$M$47</f>
        <v>0</v>
      </c>
      <c r="O175" s="231">
        <f>IF('80'!$G$39=0,0,'80'!$G$39)</f>
        <v>0</v>
      </c>
      <c r="P175" s="231">
        <f>IF('80'!$G$55=0,0,'80'!$G$55)</f>
        <v>0</v>
      </c>
      <c r="Q175" s="231">
        <f>+OFERTA!$M175+OFERTA!$N175+OFERTA!$O175+OFERTA!$P175</f>
        <v>0</v>
      </c>
      <c r="R175" s="23">
        <f>IF(OFERTA!$M175="","",OFERTA!$M175*OFERTA!$E175)</f>
        <v>0</v>
      </c>
      <c r="S175" s="23">
        <f>IF(OFERTA!$N175="","",OFERTA!$N175*OFERTA!$E175)</f>
        <v>0</v>
      </c>
      <c r="T175" s="23">
        <f>IF(OFERTA!$O175="","",OFERTA!$O175*OFERTA!$E175)</f>
        <v>0</v>
      </c>
      <c r="U175" s="23">
        <f>IF(OFERTA!$P175="","",OFERTA!$P175*OFERTA!$E175)</f>
        <v>0</v>
      </c>
      <c r="V175" s="23">
        <f>IF(OFERTA!$U175="","",OFERTA!$U175+OFERTA!$T175+OFERTA!$S175+OFERTA!$R175)</f>
        <v>0</v>
      </c>
      <c r="W175" s="22">
        <f>IF(OFERTA!$R175="","",OFERTA!$R175/OFERTA!$R$216)</f>
        <v>0</v>
      </c>
      <c r="X175" s="22">
        <f>IF(OFERTA!$S175="","",OFERTA!$S175/OFERTA!$S$216)</f>
        <v>0</v>
      </c>
      <c r="Y175" s="22">
        <f>IF(OFERTA!$T175="","",OFERTA!$T175/OFERTA!$T$216)</f>
        <v>0</v>
      </c>
      <c r="Z175" s="22">
        <f>IF(OFERTA!$U175="","",OFERTA!$U175/OFERTA!$U$216)</f>
        <v>0</v>
      </c>
      <c r="AA175" s="3"/>
      <c r="AB175" s="23" t="str">
        <f>IF(AI175="","",AI175*OFERTA!$Q175)</f>
        <v/>
      </c>
      <c r="AC175" s="23" t="str">
        <f>IF(AI175="","",OFERTA!$N175*AI175)</f>
        <v/>
      </c>
      <c r="AD175" s="23" t="str">
        <f>IF(AI175="","",OFERTA!$M175*AI175)</f>
        <v/>
      </c>
      <c r="AE175" s="23" t="str">
        <f>IF(AI175="","",OFERTA!$P175*AI175)</f>
        <v/>
      </c>
      <c r="AF175" s="23" t="str">
        <f>IF(AI175="","",OFERTA!$O175*AI175)</f>
        <v/>
      </c>
      <c r="AG175" s="21" t="str">
        <f t="shared" si="17"/>
        <v/>
      </c>
      <c r="AH175" s="216">
        <v>7.27</v>
      </c>
      <c r="AI175" s="216"/>
      <c r="AJ175" s="216" t="str">
        <f t="shared" si="18"/>
        <v/>
      </c>
      <c r="AK175" s="216" t="str">
        <f t="shared" si="19"/>
        <v/>
      </c>
      <c r="AL175" s="216" t="str">
        <f>IF(AJ175="","",OFERTA!$E175/AJ175)</f>
        <v/>
      </c>
      <c r="AR175" s="1"/>
    </row>
    <row r="176" spans="1:44" ht="17.25" hidden="1" thickBot="1" x14ac:dyDescent="0.35">
      <c r="A176" s="220"/>
      <c r="B176" s="227">
        <v>171</v>
      </c>
      <c r="C176" s="232"/>
      <c r="D176" s="21"/>
      <c r="E176" s="21"/>
      <c r="F176" s="23"/>
      <c r="G176" s="23" t="str">
        <f>IF(OFERTA!$C176="","",IF(OFERTA!$F176="","",OFERTA!$F176*OFERTA!$E176))</f>
        <v/>
      </c>
      <c r="H176" s="229" t="str">
        <f>+IF(OFERTA!$F176="","",OFERTA!$G176/OFERTA!$G$216)</f>
        <v/>
      </c>
      <c r="I176" s="230"/>
      <c r="J176" s="230"/>
      <c r="K176" s="230"/>
      <c r="L176" s="230" t="str">
        <f t="shared" si="16"/>
        <v/>
      </c>
      <c r="M176" s="231">
        <f>+'80'!$N$28+'80'!$N$47</f>
        <v>0</v>
      </c>
      <c r="N176" s="231">
        <f>+'80'!$M$28+'80'!$M$47</f>
        <v>0</v>
      </c>
      <c r="O176" s="231">
        <f>IF('80'!$G$39=0,0,'80'!$G$39)</f>
        <v>0</v>
      </c>
      <c r="P176" s="231">
        <f>IF('80'!$G$55=0,0,'80'!$G$55)</f>
        <v>0</v>
      </c>
      <c r="Q176" s="231">
        <f>+OFERTA!$M176+OFERTA!$N176+OFERTA!$O176+OFERTA!$P176</f>
        <v>0</v>
      </c>
      <c r="R176" s="23">
        <f>IF(OFERTA!$M176="","",OFERTA!$M176*OFERTA!$E176)</f>
        <v>0</v>
      </c>
      <c r="S176" s="23">
        <f>IF(OFERTA!$N176="","",OFERTA!$N176*OFERTA!$E176)</f>
        <v>0</v>
      </c>
      <c r="T176" s="23">
        <f>IF(OFERTA!$O176="","",OFERTA!$O176*OFERTA!$E176)</f>
        <v>0</v>
      </c>
      <c r="U176" s="23">
        <f>IF(OFERTA!$P176="","",OFERTA!$P176*OFERTA!$E176)</f>
        <v>0</v>
      </c>
      <c r="V176" s="23">
        <f>IF(OFERTA!$U176="","",OFERTA!$U176+OFERTA!$T176+OFERTA!$S176+OFERTA!$R176)</f>
        <v>0</v>
      </c>
      <c r="W176" s="22">
        <f>IF(OFERTA!$R176="","",OFERTA!$R176/OFERTA!$R$216)</f>
        <v>0</v>
      </c>
      <c r="X176" s="22">
        <f>IF(OFERTA!$S176="","",OFERTA!$S176/OFERTA!$S$216)</f>
        <v>0</v>
      </c>
      <c r="Y176" s="22">
        <f>IF(OFERTA!$T176="","",OFERTA!$T176/OFERTA!$T$216)</f>
        <v>0</v>
      </c>
      <c r="Z176" s="22">
        <f>IF(OFERTA!$U176="","",OFERTA!$U176/OFERTA!$U$216)</f>
        <v>0</v>
      </c>
      <c r="AA176" s="3"/>
      <c r="AB176" s="23" t="str">
        <f>IF(AI176="","",AI176*OFERTA!$Q176)</f>
        <v/>
      </c>
      <c r="AC176" s="23" t="str">
        <f>IF(AI176="","",OFERTA!$N176*AI176)</f>
        <v/>
      </c>
      <c r="AD176" s="23" t="str">
        <f>IF(AI176="","",OFERTA!$M176*AI176)</f>
        <v/>
      </c>
      <c r="AE176" s="23" t="str">
        <f>IF(AI176="","",OFERTA!$P176*AI176)</f>
        <v/>
      </c>
      <c r="AF176" s="23" t="str">
        <f>IF(AI176="","",OFERTA!$O176*AI176)</f>
        <v/>
      </c>
      <c r="AG176" s="21" t="str">
        <f t="shared" si="17"/>
        <v/>
      </c>
      <c r="AH176" s="216">
        <v>7.27</v>
      </c>
      <c r="AI176" s="216"/>
      <c r="AJ176" s="216" t="str">
        <f t="shared" si="18"/>
        <v/>
      </c>
      <c r="AK176" s="216" t="str">
        <f t="shared" si="19"/>
        <v/>
      </c>
      <c r="AL176" s="216" t="str">
        <f>IF(AJ176="","",OFERTA!$E176/AJ176)</f>
        <v/>
      </c>
      <c r="AR176" s="1"/>
    </row>
    <row r="177" spans="1:44" ht="17.25" hidden="1" thickBot="1" x14ac:dyDescent="0.35">
      <c r="A177" s="220"/>
      <c r="B177" s="227">
        <v>172</v>
      </c>
      <c r="C177" s="232"/>
      <c r="D177" s="21"/>
      <c r="E177" s="21"/>
      <c r="F177" s="23"/>
      <c r="G177" s="23" t="str">
        <f>IF(OFERTA!$C177="","",IF(OFERTA!$F177="","",OFERTA!$F177*OFERTA!$E177))</f>
        <v/>
      </c>
      <c r="H177" s="229" t="str">
        <f>+IF(OFERTA!$F177="","",OFERTA!$G177/OFERTA!$G$216)</f>
        <v/>
      </c>
      <c r="I177" s="230"/>
      <c r="J177" s="230"/>
      <c r="K177" s="230"/>
      <c r="L177" s="230" t="str">
        <f t="shared" si="16"/>
        <v/>
      </c>
      <c r="M177" s="231">
        <f>+'80'!$N$28+'80'!$N$47</f>
        <v>0</v>
      </c>
      <c r="N177" s="231">
        <f>+'80'!$M$28+'80'!$M$47</f>
        <v>0</v>
      </c>
      <c r="O177" s="231">
        <f>IF('80'!$G$39=0,0,'80'!$G$39)</f>
        <v>0</v>
      </c>
      <c r="P177" s="231">
        <f>IF('80'!$G$55=0,0,'80'!$G$55)</f>
        <v>0</v>
      </c>
      <c r="Q177" s="231">
        <f>+OFERTA!$M177+OFERTA!$N177+OFERTA!$O177+OFERTA!$P177</f>
        <v>0</v>
      </c>
      <c r="R177" s="23">
        <f>IF(OFERTA!$M177="","",OFERTA!$M177*OFERTA!$E177)</f>
        <v>0</v>
      </c>
      <c r="S177" s="23">
        <f>IF(OFERTA!$N177="","",OFERTA!$N177*OFERTA!$E177)</f>
        <v>0</v>
      </c>
      <c r="T177" s="23">
        <f>IF(OFERTA!$O177="","",OFERTA!$O177*OFERTA!$E177)</f>
        <v>0</v>
      </c>
      <c r="U177" s="23">
        <f>IF(OFERTA!$P177="","",OFERTA!$P177*OFERTA!$E177)</f>
        <v>0</v>
      </c>
      <c r="V177" s="23">
        <f>IF(OFERTA!$U177="","",OFERTA!$U177+OFERTA!$T177+OFERTA!$S177+OFERTA!$R177)</f>
        <v>0</v>
      </c>
      <c r="W177" s="22">
        <f>IF(OFERTA!$R177="","",OFERTA!$R177/OFERTA!$R$216)</f>
        <v>0</v>
      </c>
      <c r="X177" s="22">
        <f>IF(OFERTA!$S177="","",OFERTA!$S177/OFERTA!$S$216)</f>
        <v>0</v>
      </c>
      <c r="Y177" s="22">
        <f>IF(OFERTA!$T177="","",OFERTA!$T177/OFERTA!$T$216)</f>
        <v>0</v>
      </c>
      <c r="Z177" s="22">
        <f>IF(OFERTA!$U177="","",OFERTA!$U177/OFERTA!$U$216)</f>
        <v>0</v>
      </c>
      <c r="AA177" s="3"/>
      <c r="AB177" s="23" t="str">
        <f>IF(AI177="","",AI177*OFERTA!$Q177)</f>
        <v/>
      </c>
      <c r="AC177" s="23" t="str">
        <f>IF(AI177="","",OFERTA!$N177*AI177)</f>
        <v/>
      </c>
      <c r="AD177" s="23" t="str">
        <f>IF(AI177="","",OFERTA!$M177*AI177)</f>
        <v/>
      </c>
      <c r="AE177" s="23" t="str">
        <f>IF(AI177="","",OFERTA!$P177*AI177)</f>
        <v/>
      </c>
      <c r="AF177" s="23" t="str">
        <f>IF(AI177="","",OFERTA!$O177*AI177)</f>
        <v/>
      </c>
      <c r="AG177" s="21" t="str">
        <f t="shared" si="17"/>
        <v/>
      </c>
      <c r="AH177" s="216">
        <v>7.27</v>
      </c>
      <c r="AI177" s="216"/>
      <c r="AJ177" s="216" t="str">
        <f t="shared" si="18"/>
        <v/>
      </c>
      <c r="AK177" s="216" t="str">
        <f t="shared" si="19"/>
        <v/>
      </c>
      <c r="AL177" s="216" t="str">
        <f>IF(AJ177="","",OFERTA!$E177/AJ177)</f>
        <v/>
      </c>
      <c r="AR177" s="1"/>
    </row>
    <row r="178" spans="1:44" ht="17.25" hidden="1" thickBot="1" x14ac:dyDescent="0.35">
      <c r="A178" s="220"/>
      <c r="B178" s="227">
        <v>173</v>
      </c>
      <c r="C178" s="232"/>
      <c r="D178" s="21"/>
      <c r="E178" s="21"/>
      <c r="F178" s="23"/>
      <c r="G178" s="23" t="str">
        <f>IF(OFERTA!$C178="","",IF(OFERTA!$F178="","",OFERTA!$F178*OFERTA!$E178))</f>
        <v/>
      </c>
      <c r="H178" s="229" t="str">
        <f>+IF(OFERTA!$F178="","",OFERTA!$G178/OFERTA!$G$216)</f>
        <v/>
      </c>
      <c r="I178" s="230"/>
      <c r="J178" s="230"/>
      <c r="K178" s="230"/>
      <c r="L178" s="230" t="str">
        <f t="shared" si="16"/>
        <v/>
      </c>
      <c r="M178" s="231">
        <f>+'80'!$N$28+'80'!$N$47</f>
        <v>0</v>
      </c>
      <c r="N178" s="231">
        <f>+'80'!$M$28+'80'!$M$47</f>
        <v>0</v>
      </c>
      <c r="O178" s="231">
        <f>IF('80'!$G$39=0,0,'80'!$G$39)</f>
        <v>0</v>
      </c>
      <c r="P178" s="231">
        <f>IF('80'!$G$55=0,0,'80'!$G$55)</f>
        <v>0</v>
      </c>
      <c r="Q178" s="231">
        <f>+OFERTA!$M178+OFERTA!$N178+OFERTA!$O178+OFERTA!$P178</f>
        <v>0</v>
      </c>
      <c r="R178" s="23">
        <f>IF(OFERTA!$M178="","",OFERTA!$M178*OFERTA!$E178)</f>
        <v>0</v>
      </c>
      <c r="S178" s="23">
        <f>IF(OFERTA!$N178="","",OFERTA!$N178*OFERTA!$E178)</f>
        <v>0</v>
      </c>
      <c r="T178" s="23">
        <f>IF(OFERTA!$O178="","",OFERTA!$O178*OFERTA!$E178)</f>
        <v>0</v>
      </c>
      <c r="U178" s="23">
        <f>IF(OFERTA!$P178="","",OFERTA!$P178*OFERTA!$E178)</f>
        <v>0</v>
      </c>
      <c r="V178" s="23">
        <f>IF(OFERTA!$U178="","",OFERTA!$U178+OFERTA!$T178+OFERTA!$S178+OFERTA!$R178)</f>
        <v>0</v>
      </c>
      <c r="W178" s="22">
        <f>IF(OFERTA!$R178="","",OFERTA!$R178/OFERTA!$R$216)</f>
        <v>0</v>
      </c>
      <c r="X178" s="22">
        <f>IF(OFERTA!$S178="","",OFERTA!$S178/OFERTA!$S$216)</f>
        <v>0</v>
      </c>
      <c r="Y178" s="22">
        <f>IF(OFERTA!$T178="","",OFERTA!$T178/OFERTA!$T$216)</f>
        <v>0</v>
      </c>
      <c r="Z178" s="22">
        <f>IF(OFERTA!$U178="","",OFERTA!$U178/OFERTA!$U$216)</f>
        <v>0</v>
      </c>
      <c r="AA178" s="3"/>
      <c r="AB178" s="23" t="str">
        <f>IF(AI178="","",AI178*OFERTA!$Q178)</f>
        <v/>
      </c>
      <c r="AC178" s="23" t="str">
        <f>IF(AI178="","",OFERTA!$N178*AI178)</f>
        <v/>
      </c>
      <c r="AD178" s="23" t="str">
        <f>IF(AI178="","",OFERTA!$M178*AI178)</f>
        <v/>
      </c>
      <c r="AE178" s="23" t="str">
        <f>IF(AI178="","",OFERTA!$P178*AI178)</f>
        <v/>
      </c>
      <c r="AF178" s="23" t="str">
        <f>IF(AI178="","",OFERTA!$O178*AI178)</f>
        <v/>
      </c>
      <c r="AG178" s="21" t="str">
        <f t="shared" si="17"/>
        <v/>
      </c>
      <c r="AH178" s="216">
        <v>7.27</v>
      </c>
      <c r="AI178" s="216"/>
      <c r="AJ178" s="216" t="str">
        <f t="shared" si="18"/>
        <v/>
      </c>
      <c r="AK178" s="216" t="str">
        <f t="shared" si="19"/>
        <v/>
      </c>
      <c r="AL178" s="216" t="str">
        <f>IF(AJ178="","",OFERTA!$E178/AJ178)</f>
        <v/>
      </c>
      <c r="AR178" s="1"/>
    </row>
    <row r="179" spans="1:44" ht="17.25" hidden="1" thickBot="1" x14ac:dyDescent="0.35">
      <c r="A179" s="220"/>
      <c r="B179" s="227">
        <v>174</v>
      </c>
      <c r="C179" s="232"/>
      <c r="D179" s="21"/>
      <c r="E179" s="21"/>
      <c r="F179" s="23"/>
      <c r="G179" s="23" t="str">
        <f>IF(OFERTA!$C179="","",IF(OFERTA!$F179="","",OFERTA!$F179*OFERTA!$E179))</f>
        <v/>
      </c>
      <c r="H179" s="229" t="str">
        <f>+IF(OFERTA!$F179="","",OFERTA!$G179/OFERTA!$G$216)</f>
        <v/>
      </c>
      <c r="I179" s="230"/>
      <c r="J179" s="230"/>
      <c r="K179" s="230"/>
      <c r="L179" s="230" t="str">
        <f t="shared" si="16"/>
        <v/>
      </c>
      <c r="M179" s="231">
        <f>+'80'!$N$28+'80'!$N$47</f>
        <v>0</v>
      </c>
      <c r="N179" s="231">
        <f>+'80'!$M$28+'80'!$M$47</f>
        <v>0</v>
      </c>
      <c r="O179" s="231">
        <f>IF('80'!$G$39=0,0,'80'!$G$39)</f>
        <v>0</v>
      </c>
      <c r="P179" s="231">
        <f>IF('80'!$G$55=0,0,'80'!$G$55)</f>
        <v>0</v>
      </c>
      <c r="Q179" s="231">
        <f>+OFERTA!$M179+OFERTA!$N179+OFERTA!$O179+OFERTA!$P179</f>
        <v>0</v>
      </c>
      <c r="R179" s="23">
        <f>IF(OFERTA!$M179="","",OFERTA!$M179*OFERTA!$E179)</f>
        <v>0</v>
      </c>
      <c r="S179" s="23">
        <f>IF(OFERTA!$N179="","",OFERTA!$N179*OFERTA!$E179)</f>
        <v>0</v>
      </c>
      <c r="T179" s="23">
        <f>IF(OFERTA!$O179="","",OFERTA!$O179*OFERTA!$E179)</f>
        <v>0</v>
      </c>
      <c r="U179" s="23">
        <f>IF(OFERTA!$P179="","",OFERTA!$P179*OFERTA!$E179)</f>
        <v>0</v>
      </c>
      <c r="V179" s="23">
        <f>IF(OFERTA!$U179="","",OFERTA!$U179+OFERTA!$T179+OFERTA!$S179+OFERTA!$R179)</f>
        <v>0</v>
      </c>
      <c r="W179" s="22">
        <f>IF(OFERTA!$R179="","",OFERTA!$R179/OFERTA!$R$216)</f>
        <v>0</v>
      </c>
      <c r="X179" s="22">
        <f>IF(OFERTA!$S179="","",OFERTA!$S179/OFERTA!$S$216)</f>
        <v>0</v>
      </c>
      <c r="Y179" s="22">
        <f>IF(OFERTA!$T179="","",OFERTA!$T179/OFERTA!$T$216)</f>
        <v>0</v>
      </c>
      <c r="Z179" s="22">
        <f>IF(OFERTA!$U179="","",OFERTA!$U179/OFERTA!$U$216)</f>
        <v>0</v>
      </c>
      <c r="AA179" s="3"/>
      <c r="AB179" s="23" t="str">
        <f>IF(AI179="","",AI179*OFERTA!$Q179)</f>
        <v/>
      </c>
      <c r="AC179" s="23" t="str">
        <f>IF(AI179="","",OFERTA!$N179*AI179)</f>
        <v/>
      </c>
      <c r="AD179" s="23" t="str">
        <f>IF(AI179="","",OFERTA!$M179*AI179)</f>
        <v/>
      </c>
      <c r="AE179" s="23" t="str">
        <f>IF(AI179="","",OFERTA!$P179*AI179)</f>
        <v/>
      </c>
      <c r="AF179" s="23" t="str">
        <f>IF(AI179="","",OFERTA!$O179*AI179)</f>
        <v/>
      </c>
      <c r="AG179" s="21" t="str">
        <f t="shared" si="17"/>
        <v/>
      </c>
      <c r="AH179" s="216">
        <v>7.27</v>
      </c>
      <c r="AI179" s="216"/>
      <c r="AJ179" s="216" t="str">
        <f t="shared" si="18"/>
        <v/>
      </c>
      <c r="AK179" s="216" t="str">
        <f t="shared" si="19"/>
        <v/>
      </c>
      <c r="AL179" s="216" t="str">
        <f>IF(AJ179="","",OFERTA!$E179/AJ179)</f>
        <v/>
      </c>
      <c r="AR179" s="1"/>
    </row>
    <row r="180" spans="1:44" ht="17.25" hidden="1" thickBot="1" x14ac:dyDescent="0.35">
      <c r="A180" s="220"/>
      <c r="B180" s="227">
        <v>175</v>
      </c>
      <c r="C180" s="232"/>
      <c r="D180" s="21"/>
      <c r="E180" s="21"/>
      <c r="F180" s="23"/>
      <c r="G180" s="23" t="str">
        <f>IF(OFERTA!$C180="","",IF(OFERTA!$F180="","",OFERTA!$F180*OFERTA!$E180))</f>
        <v/>
      </c>
      <c r="H180" s="229" t="str">
        <f>+IF(OFERTA!$F180="","",OFERTA!$G180/OFERTA!$G$216)</f>
        <v/>
      </c>
      <c r="I180" s="230"/>
      <c r="J180" s="230"/>
      <c r="K180" s="230"/>
      <c r="L180" s="230" t="str">
        <f t="shared" si="16"/>
        <v/>
      </c>
      <c r="M180" s="231">
        <f>+'80'!$N$28+'80'!$N$47</f>
        <v>0</v>
      </c>
      <c r="N180" s="231">
        <f>+'80'!$M$28+'80'!$M$47</f>
        <v>0</v>
      </c>
      <c r="O180" s="231">
        <f>IF('80'!$G$39=0,0,'80'!$G$39)</f>
        <v>0</v>
      </c>
      <c r="P180" s="231">
        <f>IF('80'!$G$55=0,0,'80'!$G$55)</f>
        <v>0</v>
      </c>
      <c r="Q180" s="231">
        <f>+OFERTA!$M180+OFERTA!$N180+OFERTA!$O180+OFERTA!$P180</f>
        <v>0</v>
      </c>
      <c r="R180" s="23">
        <f>IF(OFERTA!$M180="","",OFERTA!$M180*OFERTA!$E180)</f>
        <v>0</v>
      </c>
      <c r="S180" s="23">
        <f>IF(OFERTA!$N180="","",OFERTA!$N180*OFERTA!$E180)</f>
        <v>0</v>
      </c>
      <c r="T180" s="23">
        <f>IF(OFERTA!$O180="","",OFERTA!$O180*OFERTA!$E180)</f>
        <v>0</v>
      </c>
      <c r="U180" s="23">
        <f>IF(OFERTA!$P180="","",OFERTA!$P180*OFERTA!$E180)</f>
        <v>0</v>
      </c>
      <c r="V180" s="23">
        <f>IF(OFERTA!$U180="","",OFERTA!$U180+OFERTA!$T180+OFERTA!$S180+OFERTA!$R180)</f>
        <v>0</v>
      </c>
      <c r="W180" s="22">
        <f>IF(OFERTA!$R180="","",OFERTA!$R180/OFERTA!$R$216)</f>
        <v>0</v>
      </c>
      <c r="X180" s="22">
        <f>IF(OFERTA!$S180="","",OFERTA!$S180/OFERTA!$S$216)</f>
        <v>0</v>
      </c>
      <c r="Y180" s="22">
        <f>IF(OFERTA!$T180="","",OFERTA!$T180/OFERTA!$T$216)</f>
        <v>0</v>
      </c>
      <c r="Z180" s="22">
        <f>IF(OFERTA!$U180="","",OFERTA!$U180/OFERTA!$U$216)</f>
        <v>0</v>
      </c>
      <c r="AA180" s="3"/>
      <c r="AB180" s="23" t="str">
        <f>IF(AI180="","",AI180*OFERTA!$Q180)</f>
        <v/>
      </c>
      <c r="AC180" s="23" t="str">
        <f>IF(AI180="","",OFERTA!$N180*AI180)</f>
        <v/>
      </c>
      <c r="AD180" s="23" t="str">
        <f>IF(AI180="","",OFERTA!$M180*AI180)</f>
        <v/>
      </c>
      <c r="AE180" s="23" t="str">
        <f>IF(AI180="","",OFERTA!$P180*AI180)</f>
        <v/>
      </c>
      <c r="AF180" s="23" t="str">
        <f>IF(AI180="","",OFERTA!$O180*AI180)</f>
        <v/>
      </c>
      <c r="AG180" s="21" t="str">
        <f t="shared" si="17"/>
        <v/>
      </c>
      <c r="AH180" s="216">
        <v>7.27</v>
      </c>
      <c r="AI180" s="216"/>
      <c r="AJ180" s="216" t="str">
        <f t="shared" si="18"/>
        <v/>
      </c>
      <c r="AK180" s="216" t="str">
        <f t="shared" si="19"/>
        <v/>
      </c>
      <c r="AL180" s="216" t="str">
        <f>IF(AJ180="","",OFERTA!$E180/AJ180)</f>
        <v/>
      </c>
      <c r="AR180" s="1"/>
    </row>
    <row r="181" spans="1:44" ht="17.25" hidden="1" thickBot="1" x14ac:dyDescent="0.35">
      <c r="A181" s="220"/>
      <c r="B181" s="227">
        <v>176</v>
      </c>
      <c r="C181" s="232"/>
      <c r="D181" s="21"/>
      <c r="E181" s="21"/>
      <c r="F181" s="23"/>
      <c r="G181" s="23" t="str">
        <f>IF(OFERTA!$C181="","",IF(OFERTA!$F181="","",OFERTA!$F181*OFERTA!$E181))</f>
        <v/>
      </c>
      <c r="H181" s="229" t="str">
        <f>+IF(OFERTA!$F181="","",OFERTA!$G181/OFERTA!$G$216)</f>
        <v/>
      </c>
      <c r="I181" s="230"/>
      <c r="J181" s="230"/>
      <c r="K181" s="230"/>
      <c r="L181" s="230" t="str">
        <f t="shared" si="16"/>
        <v/>
      </c>
      <c r="M181" s="231">
        <f>+'80'!$N$28+'80'!$N$47</f>
        <v>0</v>
      </c>
      <c r="N181" s="231">
        <f>+'80'!$M$28+'80'!$M$47</f>
        <v>0</v>
      </c>
      <c r="O181" s="231">
        <f>IF('80'!$G$39=0,0,'80'!$G$39)</f>
        <v>0</v>
      </c>
      <c r="P181" s="231">
        <f>IF('80'!$G$55=0,0,'80'!$G$55)</f>
        <v>0</v>
      </c>
      <c r="Q181" s="231">
        <f>+OFERTA!$M181+OFERTA!$N181+OFERTA!$O181+OFERTA!$P181</f>
        <v>0</v>
      </c>
      <c r="R181" s="23">
        <f>IF(OFERTA!$M181="","",OFERTA!$M181*OFERTA!$E181)</f>
        <v>0</v>
      </c>
      <c r="S181" s="23">
        <f>IF(OFERTA!$N181="","",OFERTA!$N181*OFERTA!$E181)</f>
        <v>0</v>
      </c>
      <c r="T181" s="23">
        <f>IF(OFERTA!$O181="","",OFERTA!$O181*OFERTA!$E181)</f>
        <v>0</v>
      </c>
      <c r="U181" s="23">
        <f>IF(OFERTA!$P181="","",OFERTA!$P181*OFERTA!$E181)</f>
        <v>0</v>
      </c>
      <c r="V181" s="23">
        <f>IF(OFERTA!$U181="","",OFERTA!$U181+OFERTA!$T181+OFERTA!$S181+OFERTA!$R181)</f>
        <v>0</v>
      </c>
      <c r="W181" s="22">
        <f>IF(OFERTA!$R181="","",OFERTA!$R181/OFERTA!$R$216)</f>
        <v>0</v>
      </c>
      <c r="X181" s="22">
        <f>IF(OFERTA!$S181="","",OFERTA!$S181/OFERTA!$S$216)</f>
        <v>0</v>
      </c>
      <c r="Y181" s="22">
        <f>IF(OFERTA!$T181="","",OFERTA!$T181/OFERTA!$T$216)</f>
        <v>0</v>
      </c>
      <c r="Z181" s="22">
        <f>IF(OFERTA!$U181="","",OFERTA!$U181/OFERTA!$U$216)</f>
        <v>0</v>
      </c>
      <c r="AA181" s="3"/>
      <c r="AB181" s="23" t="str">
        <f>IF(AI181="","",AI181*OFERTA!$Q181)</f>
        <v/>
      </c>
      <c r="AC181" s="23" t="str">
        <f>IF(AI181="","",OFERTA!$N181*AI181)</f>
        <v/>
      </c>
      <c r="AD181" s="23" t="str">
        <f>IF(AI181="","",OFERTA!$M181*AI181)</f>
        <v/>
      </c>
      <c r="AE181" s="23" t="str">
        <f>IF(AI181="","",OFERTA!$P181*AI181)</f>
        <v/>
      </c>
      <c r="AF181" s="23" t="str">
        <f>IF(AI181="","",OFERTA!$O181*AI181)</f>
        <v/>
      </c>
      <c r="AG181" s="21" t="str">
        <f t="shared" si="17"/>
        <v/>
      </c>
      <c r="AH181" s="216">
        <v>7.27</v>
      </c>
      <c r="AI181" s="216"/>
      <c r="AJ181" s="216" t="str">
        <f t="shared" si="18"/>
        <v/>
      </c>
      <c r="AK181" s="216" t="str">
        <f t="shared" si="19"/>
        <v/>
      </c>
      <c r="AL181" s="216" t="str">
        <f>IF(AJ181="","",OFERTA!$E181/AJ181)</f>
        <v/>
      </c>
      <c r="AR181" s="1"/>
    </row>
    <row r="182" spans="1:44" ht="17.25" hidden="1" thickBot="1" x14ac:dyDescent="0.35">
      <c r="A182" s="220"/>
      <c r="B182" s="227">
        <v>177</v>
      </c>
      <c r="C182" s="232"/>
      <c r="D182" s="21"/>
      <c r="E182" s="21"/>
      <c r="F182" s="23"/>
      <c r="G182" s="23" t="str">
        <f>IF(OFERTA!$C182="","",IF(OFERTA!$F182="","",OFERTA!$F182*OFERTA!$E182))</f>
        <v/>
      </c>
      <c r="H182" s="229" t="str">
        <f>+IF(OFERTA!$F182="","",OFERTA!$G182/OFERTA!$G$216)</f>
        <v/>
      </c>
      <c r="I182" s="230"/>
      <c r="J182" s="230"/>
      <c r="K182" s="230"/>
      <c r="L182" s="230" t="str">
        <f t="shared" si="16"/>
        <v/>
      </c>
      <c r="M182" s="231">
        <f>+'80'!$N$28+'80'!$N$47</f>
        <v>0</v>
      </c>
      <c r="N182" s="231">
        <f>+'80'!$M$28+'80'!$M$47</f>
        <v>0</v>
      </c>
      <c r="O182" s="231">
        <f>IF('80'!$G$39=0,0,'80'!$G$39)</f>
        <v>0</v>
      </c>
      <c r="P182" s="231">
        <f>IF('80'!$G$55=0,0,'80'!$G$55)</f>
        <v>0</v>
      </c>
      <c r="Q182" s="231">
        <f>+OFERTA!$M182+OFERTA!$N182+OFERTA!$O182+OFERTA!$P182</f>
        <v>0</v>
      </c>
      <c r="R182" s="23">
        <f>IF(OFERTA!$M182="","",OFERTA!$M182*OFERTA!$E182)</f>
        <v>0</v>
      </c>
      <c r="S182" s="23">
        <f>IF(OFERTA!$N182="","",OFERTA!$N182*OFERTA!$E182)</f>
        <v>0</v>
      </c>
      <c r="T182" s="23">
        <f>IF(OFERTA!$O182="","",OFERTA!$O182*OFERTA!$E182)</f>
        <v>0</v>
      </c>
      <c r="U182" s="23">
        <f>IF(OFERTA!$P182="","",OFERTA!$P182*OFERTA!$E182)</f>
        <v>0</v>
      </c>
      <c r="V182" s="23">
        <f>IF(OFERTA!$U182="","",OFERTA!$U182+OFERTA!$T182+OFERTA!$S182+OFERTA!$R182)</f>
        <v>0</v>
      </c>
      <c r="W182" s="22">
        <f>IF(OFERTA!$R182="","",OFERTA!$R182/OFERTA!$R$216)</f>
        <v>0</v>
      </c>
      <c r="X182" s="22">
        <f>IF(OFERTA!$S182="","",OFERTA!$S182/OFERTA!$S$216)</f>
        <v>0</v>
      </c>
      <c r="Y182" s="22">
        <f>IF(OFERTA!$T182="","",OFERTA!$T182/OFERTA!$T$216)</f>
        <v>0</v>
      </c>
      <c r="Z182" s="22">
        <f>IF(OFERTA!$U182="","",OFERTA!$U182/OFERTA!$U$216)</f>
        <v>0</v>
      </c>
      <c r="AA182" s="3"/>
      <c r="AB182" s="23" t="str">
        <f>IF(AI182="","",AI182*OFERTA!$Q182)</f>
        <v/>
      </c>
      <c r="AC182" s="23" t="str">
        <f>IF(AI182="","",OFERTA!$N182*AI182)</f>
        <v/>
      </c>
      <c r="AD182" s="23" t="str">
        <f>IF(AI182="","",OFERTA!$M182*AI182)</f>
        <v/>
      </c>
      <c r="AE182" s="23" t="str">
        <f>IF(AI182="","",OFERTA!$P182*AI182)</f>
        <v/>
      </c>
      <c r="AF182" s="23" t="str">
        <f>IF(AI182="","",OFERTA!$O182*AI182)</f>
        <v/>
      </c>
      <c r="AG182" s="21" t="str">
        <f t="shared" si="17"/>
        <v/>
      </c>
      <c r="AH182" s="216">
        <v>7.27</v>
      </c>
      <c r="AI182" s="216"/>
      <c r="AJ182" s="216" t="str">
        <f t="shared" si="18"/>
        <v/>
      </c>
      <c r="AK182" s="216" t="str">
        <f t="shared" si="19"/>
        <v/>
      </c>
      <c r="AL182" s="216" t="str">
        <f>IF(AJ182="","",OFERTA!$E182/AJ182)</f>
        <v/>
      </c>
      <c r="AR182" s="1"/>
    </row>
    <row r="183" spans="1:44" ht="17.25" hidden="1" thickBot="1" x14ac:dyDescent="0.35">
      <c r="A183" s="220"/>
      <c r="B183" s="227">
        <v>178</v>
      </c>
      <c r="C183" s="232"/>
      <c r="D183" s="21"/>
      <c r="E183" s="21"/>
      <c r="F183" s="23"/>
      <c r="G183" s="23" t="str">
        <f>IF(OFERTA!$C183="","",IF(OFERTA!$F183="","",OFERTA!$F183*OFERTA!$E183))</f>
        <v/>
      </c>
      <c r="H183" s="229" t="str">
        <f>+IF(OFERTA!$F183="","",OFERTA!$G183/OFERTA!$G$216)</f>
        <v/>
      </c>
      <c r="I183" s="230"/>
      <c r="J183" s="230"/>
      <c r="K183" s="230"/>
      <c r="L183" s="230" t="str">
        <f t="shared" si="16"/>
        <v/>
      </c>
      <c r="M183" s="231">
        <f>+'80'!$N$28+'80'!$N$47</f>
        <v>0</v>
      </c>
      <c r="N183" s="231">
        <f>+'80'!$M$28+'80'!$M$47</f>
        <v>0</v>
      </c>
      <c r="O183" s="231">
        <f>IF('80'!$G$39=0,0,'80'!$G$39)</f>
        <v>0</v>
      </c>
      <c r="P183" s="231">
        <f>IF('80'!$G$55=0,0,'80'!$G$55)</f>
        <v>0</v>
      </c>
      <c r="Q183" s="231">
        <f>+OFERTA!$M183+OFERTA!$N183+OFERTA!$O183+OFERTA!$P183</f>
        <v>0</v>
      </c>
      <c r="R183" s="23">
        <f>IF(OFERTA!$M183="","",OFERTA!$M183*OFERTA!$E183)</f>
        <v>0</v>
      </c>
      <c r="S183" s="23">
        <f>IF(OFERTA!$N183="","",OFERTA!$N183*OFERTA!$E183)</f>
        <v>0</v>
      </c>
      <c r="T183" s="23">
        <f>IF(OFERTA!$O183="","",OFERTA!$O183*OFERTA!$E183)</f>
        <v>0</v>
      </c>
      <c r="U183" s="23">
        <f>IF(OFERTA!$P183="","",OFERTA!$P183*OFERTA!$E183)</f>
        <v>0</v>
      </c>
      <c r="V183" s="23">
        <f>IF(OFERTA!$U183="","",OFERTA!$U183+OFERTA!$T183+OFERTA!$S183+OFERTA!$R183)</f>
        <v>0</v>
      </c>
      <c r="W183" s="22">
        <f>IF(OFERTA!$R183="","",OFERTA!$R183/OFERTA!$R$216)</f>
        <v>0</v>
      </c>
      <c r="X183" s="22">
        <f>IF(OFERTA!$S183="","",OFERTA!$S183/OFERTA!$S$216)</f>
        <v>0</v>
      </c>
      <c r="Y183" s="22">
        <f>IF(OFERTA!$T183="","",OFERTA!$T183/OFERTA!$T$216)</f>
        <v>0</v>
      </c>
      <c r="Z183" s="22">
        <f>IF(OFERTA!$U183="","",OFERTA!$U183/OFERTA!$U$216)</f>
        <v>0</v>
      </c>
      <c r="AA183" s="3"/>
      <c r="AB183" s="23" t="str">
        <f>IF(AI183="","",AI183*OFERTA!$Q183)</f>
        <v/>
      </c>
      <c r="AC183" s="23" t="str">
        <f>IF(AI183="","",OFERTA!$N183*AI183)</f>
        <v/>
      </c>
      <c r="AD183" s="23" t="str">
        <f>IF(AI183="","",OFERTA!$M183*AI183)</f>
        <v/>
      </c>
      <c r="AE183" s="23" t="str">
        <f>IF(AI183="","",OFERTA!$P183*AI183)</f>
        <v/>
      </c>
      <c r="AF183" s="23" t="str">
        <f>IF(AI183="","",OFERTA!$O183*AI183)</f>
        <v/>
      </c>
      <c r="AG183" s="21" t="str">
        <f t="shared" si="17"/>
        <v/>
      </c>
      <c r="AH183" s="216">
        <v>7.27</v>
      </c>
      <c r="AI183" s="216"/>
      <c r="AJ183" s="216" t="str">
        <f t="shared" si="18"/>
        <v/>
      </c>
      <c r="AK183" s="216" t="str">
        <f t="shared" si="19"/>
        <v/>
      </c>
      <c r="AL183" s="216" t="str">
        <f>IF(AJ183="","",OFERTA!$E183/AJ183)</f>
        <v/>
      </c>
      <c r="AR183" s="1"/>
    </row>
    <row r="184" spans="1:44" ht="17.25" hidden="1" thickBot="1" x14ac:dyDescent="0.35">
      <c r="A184" s="220"/>
      <c r="B184" s="227">
        <v>179</v>
      </c>
      <c r="C184" s="232"/>
      <c r="D184" s="21"/>
      <c r="E184" s="21"/>
      <c r="F184" s="23"/>
      <c r="G184" s="23" t="str">
        <f>IF(OFERTA!$C184="","",IF(OFERTA!$F184="","",OFERTA!$F184*OFERTA!$E184))</f>
        <v/>
      </c>
      <c r="H184" s="229" t="str">
        <f>+IF(OFERTA!$F184="","",OFERTA!$G184/OFERTA!$G$216)</f>
        <v/>
      </c>
      <c r="I184" s="230"/>
      <c r="J184" s="230"/>
      <c r="K184" s="230"/>
      <c r="L184" s="230" t="str">
        <f t="shared" si="16"/>
        <v/>
      </c>
      <c r="M184" s="231">
        <f>+'80'!$N$28+'80'!$N$47</f>
        <v>0</v>
      </c>
      <c r="N184" s="231">
        <f>+'80'!$M$28+'80'!$M$47</f>
        <v>0</v>
      </c>
      <c r="O184" s="231">
        <f>IF('80'!$G$39=0,0,'80'!$G$39)</f>
        <v>0</v>
      </c>
      <c r="P184" s="231">
        <f>IF('80'!$G$55=0,0,'80'!$G$55)</f>
        <v>0</v>
      </c>
      <c r="Q184" s="231">
        <f>+OFERTA!$M184+OFERTA!$N184+OFERTA!$O184+OFERTA!$P184</f>
        <v>0</v>
      </c>
      <c r="R184" s="23">
        <f>IF(OFERTA!$M184="","",OFERTA!$M184*OFERTA!$E184)</f>
        <v>0</v>
      </c>
      <c r="S184" s="23">
        <f>IF(OFERTA!$N184="","",OFERTA!$N184*OFERTA!$E184)</f>
        <v>0</v>
      </c>
      <c r="T184" s="23">
        <f>IF(OFERTA!$O184="","",OFERTA!$O184*OFERTA!$E184)</f>
        <v>0</v>
      </c>
      <c r="U184" s="23">
        <f>IF(OFERTA!$P184="","",OFERTA!$P184*OFERTA!$E184)</f>
        <v>0</v>
      </c>
      <c r="V184" s="23">
        <f>IF(OFERTA!$U184="","",OFERTA!$U184+OFERTA!$T184+OFERTA!$S184+OFERTA!$R184)</f>
        <v>0</v>
      </c>
      <c r="W184" s="22">
        <f>IF(OFERTA!$R184="","",OFERTA!$R184/OFERTA!$R$216)</f>
        <v>0</v>
      </c>
      <c r="X184" s="22">
        <f>IF(OFERTA!$S184="","",OFERTA!$S184/OFERTA!$S$216)</f>
        <v>0</v>
      </c>
      <c r="Y184" s="22">
        <f>IF(OFERTA!$T184="","",OFERTA!$T184/OFERTA!$T$216)</f>
        <v>0</v>
      </c>
      <c r="Z184" s="22">
        <f>IF(OFERTA!$U184="","",OFERTA!$U184/OFERTA!$U$216)</f>
        <v>0</v>
      </c>
      <c r="AA184" s="3"/>
      <c r="AB184" s="23" t="str">
        <f>IF(AI184="","",AI184*OFERTA!$Q184)</f>
        <v/>
      </c>
      <c r="AC184" s="23" t="str">
        <f>IF(AI184="","",OFERTA!$N184*AI184)</f>
        <v/>
      </c>
      <c r="AD184" s="23" t="str">
        <f>IF(AI184="","",OFERTA!$M184*AI184)</f>
        <v/>
      </c>
      <c r="AE184" s="23" t="str">
        <f>IF(AI184="","",OFERTA!$P184*AI184)</f>
        <v/>
      </c>
      <c r="AF184" s="23" t="str">
        <f>IF(AI184="","",OFERTA!$O184*AI184)</f>
        <v/>
      </c>
      <c r="AG184" s="21" t="str">
        <f t="shared" si="17"/>
        <v/>
      </c>
      <c r="AH184" s="216">
        <v>7.27</v>
      </c>
      <c r="AI184" s="216"/>
      <c r="AJ184" s="216" t="str">
        <f t="shared" si="18"/>
        <v/>
      </c>
      <c r="AK184" s="216" t="str">
        <f t="shared" si="19"/>
        <v/>
      </c>
      <c r="AL184" s="216" t="str">
        <f>IF(AJ184="","",OFERTA!$E184/AJ184)</f>
        <v/>
      </c>
      <c r="AR184" s="1"/>
    </row>
    <row r="185" spans="1:44" ht="17.25" hidden="1" thickBot="1" x14ac:dyDescent="0.35">
      <c r="A185" s="220"/>
      <c r="B185" s="227">
        <v>180</v>
      </c>
      <c r="C185" s="232"/>
      <c r="D185" s="21"/>
      <c r="E185" s="21"/>
      <c r="F185" s="23"/>
      <c r="G185" s="23" t="str">
        <f>IF(OFERTA!$C185="","",IF(OFERTA!$F185="","",OFERTA!$F185*OFERTA!$E185))</f>
        <v/>
      </c>
      <c r="H185" s="229" t="str">
        <f>+IF(OFERTA!$F185="","",OFERTA!$G185/OFERTA!$G$216)</f>
        <v/>
      </c>
      <c r="I185" s="230"/>
      <c r="J185" s="230"/>
      <c r="K185" s="230"/>
      <c r="L185" s="230" t="str">
        <f t="shared" si="16"/>
        <v/>
      </c>
      <c r="M185" s="231">
        <f>+'80'!$N$28+'80'!$N$47</f>
        <v>0</v>
      </c>
      <c r="N185" s="231">
        <f>+'80'!$M$28+'80'!$M$47</f>
        <v>0</v>
      </c>
      <c r="O185" s="231">
        <f>IF('80'!$G$39=0,0,'80'!$G$39)</f>
        <v>0</v>
      </c>
      <c r="P185" s="231">
        <f>IF('80'!$G$55=0,0,'80'!$G$55)</f>
        <v>0</v>
      </c>
      <c r="Q185" s="231">
        <f>+OFERTA!$M185+OFERTA!$N185+OFERTA!$O185+OFERTA!$P185</f>
        <v>0</v>
      </c>
      <c r="R185" s="23">
        <f>IF(OFERTA!$M185="","",OFERTA!$M185*OFERTA!$E185)</f>
        <v>0</v>
      </c>
      <c r="S185" s="23">
        <f>IF(OFERTA!$N185="","",OFERTA!$N185*OFERTA!$E185)</f>
        <v>0</v>
      </c>
      <c r="T185" s="23">
        <f>IF(OFERTA!$O185="","",OFERTA!$O185*OFERTA!$E185)</f>
        <v>0</v>
      </c>
      <c r="U185" s="23">
        <f>IF(OFERTA!$P185="","",OFERTA!$P185*OFERTA!$E185)</f>
        <v>0</v>
      </c>
      <c r="V185" s="23">
        <f>IF(OFERTA!$U185="","",OFERTA!$U185+OFERTA!$T185+OFERTA!$S185+OFERTA!$R185)</f>
        <v>0</v>
      </c>
      <c r="W185" s="22">
        <f>IF(OFERTA!$R185="","",OFERTA!$R185/OFERTA!$R$216)</f>
        <v>0</v>
      </c>
      <c r="X185" s="22">
        <f>IF(OFERTA!$S185="","",OFERTA!$S185/OFERTA!$S$216)</f>
        <v>0</v>
      </c>
      <c r="Y185" s="22">
        <f>IF(OFERTA!$T185="","",OFERTA!$T185/OFERTA!$T$216)</f>
        <v>0</v>
      </c>
      <c r="Z185" s="22">
        <f>IF(OFERTA!$U185="","",OFERTA!$U185/OFERTA!$U$216)</f>
        <v>0</v>
      </c>
      <c r="AA185" s="3"/>
      <c r="AB185" s="23" t="str">
        <f>IF(AI185="","",AI185*OFERTA!$Q185)</f>
        <v/>
      </c>
      <c r="AC185" s="23" t="str">
        <f>IF(AI185="","",OFERTA!$N185*AI185)</f>
        <v/>
      </c>
      <c r="AD185" s="23" t="str">
        <f>IF(AI185="","",OFERTA!$M185*AI185)</f>
        <v/>
      </c>
      <c r="AE185" s="23" t="str">
        <f>IF(AI185="","",OFERTA!$P185*AI185)</f>
        <v/>
      </c>
      <c r="AF185" s="23" t="str">
        <f>IF(AI185="","",OFERTA!$O185*AI185)</f>
        <v/>
      </c>
      <c r="AG185" s="21" t="str">
        <f t="shared" si="17"/>
        <v/>
      </c>
      <c r="AH185" s="216">
        <v>7.27</v>
      </c>
      <c r="AI185" s="216"/>
      <c r="AJ185" s="216" t="str">
        <f t="shared" si="18"/>
        <v/>
      </c>
      <c r="AK185" s="216" t="str">
        <f t="shared" si="19"/>
        <v/>
      </c>
      <c r="AL185" s="216" t="str">
        <f>IF(AJ185="","",OFERTA!$E185/AJ185)</f>
        <v/>
      </c>
      <c r="AR185" s="1"/>
    </row>
    <row r="186" spans="1:44" ht="17.25" hidden="1" thickBot="1" x14ac:dyDescent="0.35">
      <c r="A186" s="220"/>
      <c r="B186" s="227">
        <v>181</v>
      </c>
      <c r="C186" s="232"/>
      <c r="D186" s="21"/>
      <c r="E186" s="21"/>
      <c r="F186" s="23"/>
      <c r="G186" s="23" t="str">
        <f>IF(OFERTA!$C186="","",IF(OFERTA!$F186="","",OFERTA!$F186*OFERTA!$E186))</f>
        <v/>
      </c>
      <c r="H186" s="229" t="str">
        <f>+IF(OFERTA!$F186="","",OFERTA!$G186/OFERTA!$G$216)</f>
        <v/>
      </c>
      <c r="I186" s="230"/>
      <c r="J186" s="230"/>
      <c r="K186" s="230"/>
      <c r="L186" s="230" t="str">
        <f t="shared" si="16"/>
        <v/>
      </c>
      <c r="M186" s="231">
        <f>+'80'!$N$28+'80'!$N$47</f>
        <v>0</v>
      </c>
      <c r="N186" s="231">
        <f>+'80'!$M$28+'80'!$M$47</f>
        <v>0</v>
      </c>
      <c r="O186" s="231">
        <f>IF('80'!$G$39=0,0,'80'!$G$39)</f>
        <v>0</v>
      </c>
      <c r="P186" s="231">
        <f>IF('80'!$G$55=0,0,'80'!$G$55)</f>
        <v>0</v>
      </c>
      <c r="Q186" s="231">
        <f>+OFERTA!$M186+OFERTA!$N186+OFERTA!$O186+OFERTA!$P186</f>
        <v>0</v>
      </c>
      <c r="R186" s="23">
        <f>IF(OFERTA!$M186="","",OFERTA!$M186*OFERTA!$E186)</f>
        <v>0</v>
      </c>
      <c r="S186" s="23">
        <f>IF(OFERTA!$N186="","",OFERTA!$N186*OFERTA!$E186)</f>
        <v>0</v>
      </c>
      <c r="T186" s="23">
        <f>IF(OFERTA!$O186="","",OFERTA!$O186*OFERTA!$E186)</f>
        <v>0</v>
      </c>
      <c r="U186" s="23">
        <f>IF(OFERTA!$P186="","",OFERTA!$P186*OFERTA!$E186)</f>
        <v>0</v>
      </c>
      <c r="V186" s="23">
        <f>IF(OFERTA!$U186="","",OFERTA!$U186+OFERTA!$T186+OFERTA!$S186+OFERTA!$R186)</f>
        <v>0</v>
      </c>
      <c r="W186" s="22">
        <f>IF(OFERTA!$R186="","",OFERTA!$R186/OFERTA!$R$216)</f>
        <v>0</v>
      </c>
      <c r="X186" s="22">
        <f>IF(OFERTA!$S186="","",OFERTA!$S186/OFERTA!$S$216)</f>
        <v>0</v>
      </c>
      <c r="Y186" s="22">
        <f>IF(OFERTA!$T186="","",OFERTA!$T186/OFERTA!$T$216)</f>
        <v>0</v>
      </c>
      <c r="Z186" s="22">
        <f>IF(OFERTA!$U186="","",OFERTA!$U186/OFERTA!$U$216)</f>
        <v>0</v>
      </c>
      <c r="AA186" s="3"/>
      <c r="AB186" s="23" t="str">
        <f>IF(AI186="","",AI186*OFERTA!$Q186)</f>
        <v/>
      </c>
      <c r="AC186" s="23" t="str">
        <f>IF(AI186="","",OFERTA!$N186*AI186)</f>
        <v/>
      </c>
      <c r="AD186" s="23" t="str">
        <f>IF(AI186="","",OFERTA!$M186*AI186)</f>
        <v/>
      </c>
      <c r="AE186" s="23" t="str">
        <f>IF(AI186="","",OFERTA!$P186*AI186)</f>
        <v/>
      </c>
      <c r="AF186" s="23" t="str">
        <f>IF(AI186="","",OFERTA!$O186*AI186)</f>
        <v/>
      </c>
      <c r="AG186" s="21" t="str">
        <f t="shared" si="17"/>
        <v/>
      </c>
      <c r="AH186" s="216">
        <v>7.27</v>
      </c>
      <c r="AI186" s="216"/>
      <c r="AJ186" s="216" t="str">
        <f t="shared" si="18"/>
        <v/>
      </c>
      <c r="AK186" s="216" t="str">
        <f t="shared" si="19"/>
        <v/>
      </c>
      <c r="AL186" s="216" t="str">
        <f>IF(AJ186="","",OFERTA!$E186/AJ186)</f>
        <v/>
      </c>
      <c r="AR186" s="1"/>
    </row>
    <row r="187" spans="1:44" ht="17.25" hidden="1" thickBot="1" x14ac:dyDescent="0.35">
      <c r="A187" s="220"/>
      <c r="B187" s="227">
        <v>182</v>
      </c>
      <c r="C187" s="232"/>
      <c r="D187" s="21"/>
      <c r="E187" s="21"/>
      <c r="F187" s="23"/>
      <c r="G187" s="23" t="str">
        <f>IF(OFERTA!$C187="","",IF(OFERTA!$F187="","",OFERTA!$F187*OFERTA!$E187))</f>
        <v/>
      </c>
      <c r="H187" s="229" t="str">
        <f>+IF(OFERTA!$F187="","",OFERTA!$G187/OFERTA!$G$216)</f>
        <v/>
      </c>
      <c r="I187" s="230"/>
      <c r="J187" s="230"/>
      <c r="K187" s="230"/>
      <c r="L187" s="230" t="str">
        <f t="shared" si="16"/>
        <v/>
      </c>
      <c r="M187" s="231">
        <f>+'80'!$N$28+'80'!$N$47</f>
        <v>0</v>
      </c>
      <c r="N187" s="231">
        <f>+'80'!$M$28+'80'!$M$47</f>
        <v>0</v>
      </c>
      <c r="O187" s="231">
        <f>IF('80'!$G$39=0,0,'80'!$G$39)</f>
        <v>0</v>
      </c>
      <c r="P187" s="231">
        <f>IF('80'!$G$55=0,0,'80'!$G$55)</f>
        <v>0</v>
      </c>
      <c r="Q187" s="231">
        <f>+OFERTA!$M187+OFERTA!$N187+OFERTA!$O187+OFERTA!$P187</f>
        <v>0</v>
      </c>
      <c r="R187" s="23">
        <f>IF(OFERTA!$M187="","",OFERTA!$M187*OFERTA!$E187)</f>
        <v>0</v>
      </c>
      <c r="S187" s="23">
        <f>IF(OFERTA!$N187="","",OFERTA!$N187*OFERTA!$E187)</f>
        <v>0</v>
      </c>
      <c r="T187" s="23">
        <f>IF(OFERTA!$O187="","",OFERTA!$O187*OFERTA!$E187)</f>
        <v>0</v>
      </c>
      <c r="U187" s="23">
        <f>IF(OFERTA!$P187="","",OFERTA!$P187*OFERTA!$E187)</f>
        <v>0</v>
      </c>
      <c r="V187" s="23">
        <f>IF(OFERTA!$U187="","",OFERTA!$U187+OFERTA!$T187+OFERTA!$S187+OFERTA!$R187)</f>
        <v>0</v>
      </c>
      <c r="W187" s="22">
        <f>IF(OFERTA!$R187="","",OFERTA!$R187/OFERTA!$R$216)</f>
        <v>0</v>
      </c>
      <c r="X187" s="22">
        <f>IF(OFERTA!$S187="","",OFERTA!$S187/OFERTA!$S$216)</f>
        <v>0</v>
      </c>
      <c r="Y187" s="22">
        <f>IF(OFERTA!$T187="","",OFERTA!$T187/OFERTA!$T$216)</f>
        <v>0</v>
      </c>
      <c r="Z187" s="22">
        <f>IF(OFERTA!$U187="","",OFERTA!$U187/OFERTA!$U$216)</f>
        <v>0</v>
      </c>
      <c r="AA187" s="3"/>
      <c r="AB187" s="23" t="str">
        <f>IF(AI187="","",AI187*OFERTA!$Q187)</f>
        <v/>
      </c>
      <c r="AC187" s="23" t="str">
        <f>IF(AI187="","",OFERTA!$N187*AI187)</f>
        <v/>
      </c>
      <c r="AD187" s="23" t="str">
        <f>IF(AI187="","",OFERTA!$M187*AI187)</f>
        <v/>
      </c>
      <c r="AE187" s="23" t="str">
        <f>IF(AI187="","",OFERTA!$P187*AI187)</f>
        <v/>
      </c>
      <c r="AF187" s="23" t="str">
        <f>IF(AI187="","",OFERTA!$O187*AI187)</f>
        <v/>
      </c>
      <c r="AG187" s="21" t="str">
        <f t="shared" si="17"/>
        <v/>
      </c>
      <c r="AH187" s="216">
        <v>7.27</v>
      </c>
      <c r="AI187" s="216"/>
      <c r="AJ187" s="216" t="str">
        <f t="shared" si="18"/>
        <v/>
      </c>
      <c r="AK187" s="216" t="str">
        <f t="shared" si="19"/>
        <v/>
      </c>
      <c r="AL187" s="216" t="str">
        <f>IF(AJ187="","",OFERTA!$E187/AJ187)</f>
        <v/>
      </c>
      <c r="AR187" s="1"/>
    </row>
    <row r="188" spans="1:44" ht="17.25" hidden="1" thickBot="1" x14ac:dyDescent="0.35">
      <c r="A188" s="220"/>
      <c r="B188" s="227">
        <v>183</v>
      </c>
      <c r="C188" s="232"/>
      <c r="D188" s="21"/>
      <c r="E188" s="21"/>
      <c r="F188" s="23"/>
      <c r="G188" s="23" t="str">
        <f>IF(OFERTA!$C188="","",IF(OFERTA!$F188="","",OFERTA!$F188*OFERTA!$E188))</f>
        <v/>
      </c>
      <c r="H188" s="229" t="str">
        <f>+IF(OFERTA!$F188="","",OFERTA!$G188/OFERTA!$G$216)</f>
        <v/>
      </c>
      <c r="I188" s="230"/>
      <c r="J188" s="230"/>
      <c r="K188" s="230"/>
      <c r="L188" s="230" t="str">
        <f t="shared" si="16"/>
        <v/>
      </c>
      <c r="M188" s="231">
        <f>+'80'!$N$28+'80'!$N$47</f>
        <v>0</v>
      </c>
      <c r="N188" s="231">
        <f>+'80'!$M$28+'80'!$M$47</f>
        <v>0</v>
      </c>
      <c r="O188" s="231">
        <f>IF('80'!$G$39=0,0,'80'!$G$39)</f>
        <v>0</v>
      </c>
      <c r="P188" s="231">
        <f>IF('80'!$G$55=0,0,'80'!$G$55)</f>
        <v>0</v>
      </c>
      <c r="Q188" s="231">
        <f>+OFERTA!$M188+OFERTA!$N188+OFERTA!$O188+OFERTA!$P188</f>
        <v>0</v>
      </c>
      <c r="R188" s="23">
        <f>IF(OFERTA!$M188="","",OFERTA!$M188*OFERTA!$E188)</f>
        <v>0</v>
      </c>
      <c r="S188" s="23">
        <f>IF(OFERTA!$N188="","",OFERTA!$N188*OFERTA!$E188)</f>
        <v>0</v>
      </c>
      <c r="T188" s="23">
        <f>IF(OFERTA!$O188="","",OFERTA!$O188*OFERTA!$E188)</f>
        <v>0</v>
      </c>
      <c r="U188" s="23">
        <f>IF(OFERTA!$P188="","",OFERTA!$P188*OFERTA!$E188)</f>
        <v>0</v>
      </c>
      <c r="V188" s="23">
        <f>IF(OFERTA!$U188="","",OFERTA!$U188+OFERTA!$T188+OFERTA!$S188+OFERTA!$R188)</f>
        <v>0</v>
      </c>
      <c r="W188" s="22">
        <f>IF(OFERTA!$R188="","",OFERTA!$R188/OFERTA!$R$216)</f>
        <v>0</v>
      </c>
      <c r="X188" s="22">
        <f>IF(OFERTA!$S188="","",OFERTA!$S188/OFERTA!$S$216)</f>
        <v>0</v>
      </c>
      <c r="Y188" s="22">
        <f>IF(OFERTA!$T188="","",OFERTA!$T188/OFERTA!$T$216)</f>
        <v>0</v>
      </c>
      <c r="Z188" s="22">
        <f>IF(OFERTA!$U188="","",OFERTA!$U188/OFERTA!$U$216)</f>
        <v>0</v>
      </c>
      <c r="AA188" s="3"/>
      <c r="AB188" s="23" t="str">
        <f>IF(AI188="","",AI188*OFERTA!$Q188)</f>
        <v/>
      </c>
      <c r="AC188" s="23" t="str">
        <f>IF(AI188="","",OFERTA!$N188*AI188)</f>
        <v/>
      </c>
      <c r="AD188" s="23" t="str">
        <f>IF(AI188="","",OFERTA!$M188*AI188)</f>
        <v/>
      </c>
      <c r="AE188" s="23" t="str">
        <f>IF(AI188="","",OFERTA!$P188*AI188)</f>
        <v/>
      </c>
      <c r="AF188" s="23" t="str">
        <f>IF(AI188="","",OFERTA!$O188*AI188)</f>
        <v/>
      </c>
      <c r="AG188" s="21" t="str">
        <f t="shared" si="17"/>
        <v/>
      </c>
      <c r="AH188" s="216">
        <v>7.27</v>
      </c>
      <c r="AI188" s="216"/>
      <c r="AJ188" s="216" t="str">
        <f t="shared" si="18"/>
        <v/>
      </c>
      <c r="AK188" s="216" t="str">
        <f t="shared" si="19"/>
        <v/>
      </c>
      <c r="AL188" s="216" t="str">
        <f>IF(AJ188="","",OFERTA!$E188/AJ188)</f>
        <v/>
      </c>
      <c r="AR188" s="1"/>
    </row>
    <row r="189" spans="1:44" ht="17.25" hidden="1" thickBot="1" x14ac:dyDescent="0.35">
      <c r="A189" s="220"/>
      <c r="B189" s="227">
        <v>184</v>
      </c>
      <c r="C189" s="232"/>
      <c r="D189" s="21"/>
      <c r="E189" s="21"/>
      <c r="F189" s="23"/>
      <c r="G189" s="23" t="str">
        <f>IF(OFERTA!$C189="","",IF(OFERTA!$F189="","",OFERTA!$F189*OFERTA!$E189))</f>
        <v/>
      </c>
      <c r="H189" s="229" t="str">
        <f>+IF(OFERTA!$F189="","",OFERTA!$G189/OFERTA!$G$216)</f>
        <v/>
      </c>
      <c r="I189" s="230"/>
      <c r="J189" s="230"/>
      <c r="K189" s="230"/>
      <c r="L189" s="230" t="str">
        <f t="shared" si="16"/>
        <v/>
      </c>
      <c r="M189" s="231">
        <f>+'80'!$N$28+'80'!$N$47</f>
        <v>0</v>
      </c>
      <c r="N189" s="231">
        <f>+'80'!$M$28+'80'!$M$47</f>
        <v>0</v>
      </c>
      <c r="O189" s="231">
        <f>IF('80'!$G$39=0,0,'80'!$G$39)</f>
        <v>0</v>
      </c>
      <c r="P189" s="231">
        <f>IF('80'!$G$55=0,0,'80'!$G$55)</f>
        <v>0</v>
      </c>
      <c r="Q189" s="231">
        <f>+OFERTA!$M189+OFERTA!$N189+OFERTA!$O189+OFERTA!$P189</f>
        <v>0</v>
      </c>
      <c r="R189" s="23">
        <f>IF(OFERTA!$M189="","",OFERTA!$M189*OFERTA!$E189)</f>
        <v>0</v>
      </c>
      <c r="S189" s="23">
        <f>IF(OFERTA!$N189="","",OFERTA!$N189*OFERTA!$E189)</f>
        <v>0</v>
      </c>
      <c r="T189" s="23">
        <f>IF(OFERTA!$O189="","",OFERTA!$O189*OFERTA!$E189)</f>
        <v>0</v>
      </c>
      <c r="U189" s="23">
        <f>IF(OFERTA!$P189="","",OFERTA!$P189*OFERTA!$E189)</f>
        <v>0</v>
      </c>
      <c r="V189" s="23">
        <f>IF(OFERTA!$U189="","",OFERTA!$U189+OFERTA!$T189+OFERTA!$S189+OFERTA!$R189)</f>
        <v>0</v>
      </c>
      <c r="W189" s="22">
        <f>IF(OFERTA!$R189="","",OFERTA!$R189/OFERTA!$R$216)</f>
        <v>0</v>
      </c>
      <c r="X189" s="22">
        <f>IF(OFERTA!$S189="","",OFERTA!$S189/OFERTA!$S$216)</f>
        <v>0</v>
      </c>
      <c r="Y189" s="22">
        <f>IF(OFERTA!$T189="","",OFERTA!$T189/OFERTA!$T$216)</f>
        <v>0</v>
      </c>
      <c r="Z189" s="22">
        <f>IF(OFERTA!$U189="","",OFERTA!$U189/OFERTA!$U$216)</f>
        <v>0</v>
      </c>
      <c r="AA189" s="3"/>
      <c r="AB189" s="23" t="str">
        <f>IF(AI189="","",AI189*OFERTA!$Q189)</f>
        <v/>
      </c>
      <c r="AC189" s="23" t="str">
        <f>IF(AI189="","",OFERTA!$N189*AI189)</f>
        <v/>
      </c>
      <c r="AD189" s="23" t="str">
        <f>IF(AI189="","",OFERTA!$M189*AI189)</f>
        <v/>
      </c>
      <c r="AE189" s="23" t="str">
        <f>IF(AI189="","",OFERTA!$P189*AI189)</f>
        <v/>
      </c>
      <c r="AF189" s="23" t="str">
        <f>IF(AI189="","",OFERTA!$O189*AI189)</f>
        <v/>
      </c>
      <c r="AG189" s="21" t="str">
        <f t="shared" si="17"/>
        <v/>
      </c>
      <c r="AH189" s="216">
        <v>7.27</v>
      </c>
      <c r="AI189" s="216"/>
      <c r="AJ189" s="216" t="str">
        <f t="shared" si="18"/>
        <v/>
      </c>
      <c r="AK189" s="216" t="str">
        <f t="shared" si="19"/>
        <v/>
      </c>
      <c r="AL189" s="216" t="str">
        <f>IF(AJ189="","",OFERTA!$E189/AJ189)</f>
        <v/>
      </c>
      <c r="AR189" s="1"/>
    </row>
    <row r="190" spans="1:44" ht="17.25" hidden="1" thickBot="1" x14ac:dyDescent="0.35">
      <c r="A190" s="220"/>
      <c r="B190" s="227">
        <v>185</v>
      </c>
      <c r="C190" s="232"/>
      <c r="D190" s="21"/>
      <c r="E190" s="21"/>
      <c r="F190" s="23"/>
      <c r="G190" s="23" t="str">
        <f>IF(OFERTA!$C190="","",IF(OFERTA!$F190="","",OFERTA!$F190*OFERTA!$E190))</f>
        <v/>
      </c>
      <c r="H190" s="229" t="str">
        <f>+IF(OFERTA!$F190="","",OFERTA!$G190/OFERTA!$G$216)</f>
        <v/>
      </c>
      <c r="I190" s="230"/>
      <c r="J190" s="230"/>
      <c r="K190" s="230"/>
      <c r="L190" s="230" t="str">
        <f t="shared" si="16"/>
        <v/>
      </c>
      <c r="M190" s="231">
        <f>+'80'!$N$28+'80'!$N$47</f>
        <v>0</v>
      </c>
      <c r="N190" s="231">
        <f>+'80'!$M$28+'80'!$M$47</f>
        <v>0</v>
      </c>
      <c r="O190" s="231">
        <f>IF('80'!$G$39=0,0,'80'!$G$39)</f>
        <v>0</v>
      </c>
      <c r="P190" s="231">
        <f>IF('80'!$G$55=0,0,'80'!$G$55)</f>
        <v>0</v>
      </c>
      <c r="Q190" s="231">
        <f>+OFERTA!$M190+OFERTA!$N190+OFERTA!$O190+OFERTA!$P190</f>
        <v>0</v>
      </c>
      <c r="R190" s="23">
        <f>IF(OFERTA!$M190="","",OFERTA!$M190*OFERTA!$E190)</f>
        <v>0</v>
      </c>
      <c r="S190" s="23">
        <f>IF(OFERTA!$N190="","",OFERTA!$N190*OFERTA!$E190)</f>
        <v>0</v>
      </c>
      <c r="T190" s="23">
        <f>IF(OFERTA!$O190="","",OFERTA!$O190*OFERTA!$E190)</f>
        <v>0</v>
      </c>
      <c r="U190" s="23">
        <f>IF(OFERTA!$P190="","",OFERTA!$P190*OFERTA!$E190)</f>
        <v>0</v>
      </c>
      <c r="V190" s="23">
        <f>IF(OFERTA!$U190="","",OFERTA!$U190+OFERTA!$T190+OFERTA!$S190+OFERTA!$R190)</f>
        <v>0</v>
      </c>
      <c r="W190" s="22">
        <f>IF(OFERTA!$R190="","",OFERTA!$R190/OFERTA!$R$216)</f>
        <v>0</v>
      </c>
      <c r="X190" s="22">
        <f>IF(OFERTA!$S190="","",OFERTA!$S190/OFERTA!$S$216)</f>
        <v>0</v>
      </c>
      <c r="Y190" s="22">
        <f>IF(OFERTA!$T190="","",OFERTA!$T190/OFERTA!$T$216)</f>
        <v>0</v>
      </c>
      <c r="Z190" s="22">
        <f>IF(OFERTA!$U190="","",OFERTA!$U190/OFERTA!$U$216)</f>
        <v>0</v>
      </c>
      <c r="AA190" s="3"/>
      <c r="AB190" s="23" t="str">
        <f>IF(AI190="","",AI190*OFERTA!$Q190)</f>
        <v/>
      </c>
      <c r="AC190" s="23" t="str">
        <f>IF(AI190="","",OFERTA!$N190*AI190)</f>
        <v/>
      </c>
      <c r="AD190" s="23" t="str">
        <f>IF(AI190="","",OFERTA!$M190*AI190)</f>
        <v/>
      </c>
      <c r="AE190" s="23" t="str">
        <f>IF(AI190="","",OFERTA!$P190*AI190)</f>
        <v/>
      </c>
      <c r="AF190" s="23" t="str">
        <f>IF(AI190="","",OFERTA!$O190*AI190)</f>
        <v/>
      </c>
      <c r="AG190" s="21" t="str">
        <f t="shared" si="17"/>
        <v/>
      </c>
      <c r="AH190" s="216">
        <v>7.27</v>
      </c>
      <c r="AI190" s="216"/>
      <c r="AJ190" s="216" t="str">
        <f t="shared" si="18"/>
        <v/>
      </c>
      <c r="AK190" s="216" t="str">
        <f t="shared" si="19"/>
        <v/>
      </c>
      <c r="AL190" s="216" t="str">
        <f>IF(AJ190="","",OFERTA!$E190/AJ190)</f>
        <v/>
      </c>
      <c r="AR190" s="1"/>
    </row>
    <row r="191" spans="1:44" ht="17.25" hidden="1" thickBot="1" x14ac:dyDescent="0.35">
      <c r="A191" s="220"/>
      <c r="B191" s="227">
        <v>186</v>
      </c>
      <c r="C191" s="232"/>
      <c r="D191" s="21"/>
      <c r="E191" s="21"/>
      <c r="F191" s="23"/>
      <c r="G191" s="23" t="str">
        <f>IF(OFERTA!$C191="","",IF(OFERTA!$F191="","",OFERTA!$F191*OFERTA!$E191))</f>
        <v/>
      </c>
      <c r="H191" s="229" t="str">
        <f>+IF(OFERTA!$F191="","",OFERTA!$G191/OFERTA!$G$216)</f>
        <v/>
      </c>
      <c r="I191" s="230"/>
      <c r="J191" s="230"/>
      <c r="K191" s="230"/>
      <c r="L191" s="230" t="str">
        <f t="shared" si="16"/>
        <v/>
      </c>
      <c r="M191" s="231">
        <f>+'80'!$N$28+'80'!$N$47</f>
        <v>0</v>
      </c>
      <c r="N191" s="231">
        <f>+'80'!$M$28+'80'!$M$47</f>
        <v>0</v>
      </c>
      <c r="O191" s="231">
        <f>IF('80'!$G$39=0,0,'80'!$G$39)</f>
        <v>0</v>
      </c>
      <c r="P191" s="231">
        <f>IF('80'!$G$55=0,0,'80'!$G$55)</f>
        <v>0</v>
      </c>
      <c r="Q191" s="231">
        <f>+OFERTA!$M191+OFERTA!$N191+OFERTA!$O191+OFERTA!$P191</f>
        <v>0</v>
      </c>
      <c r="R191" s="23">
        <f>IF(OFERTA!$M191="","",OFERTA!$M191*OFERTA!$E191)</f>
        <v>0</v>
      </c>
      <c r="S191" s="23">
        <f>IF(OFERTA!$N191="","",OFERTA!$N191*OFERTA!$E191)</f>
        <v>0</v>
      </c>
      <c r="T191" s="23">
        <f>IF(OFERTA!$O191="","",OFERTA!$O191*OFERTA!$E191)</f>
        <v>0</v>
      </c>
      <c r="U191" s="23">
        <f>IF(OFERTA!$P191="","",OFERTA!$P191*OFERTA!$E191)</f>
        <v>0</v>
      </c>
      <c r="V191" s="23">
        <f>IF(OFERTA!$U191="","",OFERTA!$U191+OFERTA!$T191+OFERTA!$S191+OFERTA!$R191)</f>
        <v>0</v>
      </c>
      <c r="W191" s="22">
        <f>IF(OFERTA!$R191="","",OFERTA!$R191/OFERTA!$R$216)</f>
        <v>0</v>
      </c>
      <c r="X191" s="22">
        <f>IF(OFERTA!$S191="","",OFERTA!$S191/OFERTA!$S$216)</f>
        <v>0</v>
      </c>
      <c r="Y191" s="22">
        <f>IF(OFERTA!$T191="","",OFERTA!$T191/OFERTA!$T$216)</f>
        <v>0</v>
      </c>
      <c r="Z191" s="22">
        <f>IF(OFERTA!$U191="","",OFERTA!$U191/OFERTA!$U$216)</f>
        <v>0</v>
      </c>
      <c r="AA191" s="3"/>
      <c r="AB191" s="23" t="str">
        <f>IF(AI191="","",AI191*OFERTA!$Q191)</f>
        <v/>
      </c>
      <c r="AC191" s="23" t="str">
        <f>IF(AI191="","",OFERTA!$N191*AI191)</f>
        <v/>
      </c>
      <c r="AD191" s="23" t="str">
        <f>IF(AI191="","",OFERTA!$M191*AI191)</f>
        <v/>
      </c>
      <c r="AE191" s="23" t="str">
        <f>IF(AI191="","",OFERTA!$P191*AI191)</f>
        <v/>
      </c>
      <c r="AF191" s="23" t="str">
        <f>IF(AI191="","",OFERTA!$O191*AI191)</f>
        <v/>
      </c>
      <c r="AG191" s="21" t="str">
        <f t="shared" si="17"/>
        <v/>
      </c>
      <c r="AH191" s="216">
        <v>7.27</v>
      </c>
      <c r="AI191" s="216"/>
      <c r="AJ191" s="216" t="str">
        <f t="shared" si="18"/>
        <v/>
      </c>
      <c r="AK191" s="216" t="str">
        <f t="shared" si="19"/>
        <v/>
      </c>
      <c r="AL191" s="216" t="str">
        <f>IF(AJ191="","",OFERTA!$E191/AJ191)</f>
        <v/>
      </c>
      <c r="AR191" s="1"/>
    </row>
    <row r="192" spans="1:44" ht="17.25" hidden="1" thickBot="1" x14ac:dyDescent="0.35">
      <c r="A192" s="220"/>
      <c r="B192" s="227">
        <v>187</v>
      </c>
      <c r="C192" s="232"/>
      <c r="D192" s="21"/>
      <c r="E192" s="21"/>
      <c r="F192" s="23"/>
      <c r="G192" s="23" t="str">
        <f>IF(OFERTA!$C192="","",IF(OFERTA!$F192="","",OFERTA!$F192*OFERTA!$E192))</f>
        <v/>
      </c>
      <c r="H192" s="229" t="str">
        <f>+IF(OFERTA!$F192="","",OFERTA!$G192/OFERTA!$G$216)</f>
        <v/>
      </c>
      <c r="I192" s="230"/>
      <c r="J192" s="230"/>
      <c r="K192" s="230"/>
      <c r="L192" s="230" t="str">
        <f t="shared" si="16"/>
        <v/>
      </c>
      <c r="M192" s="231">
        <f>+'80'!$N$28+'80'!$N$47</f>
        <v>0</v>
      </c>
      <c r="N192" s="231">
        <f>+'80'!$M$28+'80'!$M$47</f>
        <v>0</v>
      </c>
      <c r="O192" s="231">
        <f>IF('80'!$G$39=0,0,'80'!$G$39)</f>
        <v>0</v>
      </c>
      <c r="P192" s="231">
        <f>IF('80'!$G$55=0,0,'80'!$G$55)</f>
        <v>0</v>
      </c>
      <c r="Q192" s="231">
        <f>+OFERTA!$M192+OFERTA!$N192+OFERTA!$O192+OFERTA!$P192</f>
        <v>0</v>
      </c>
      <c r="R192" s="23">
        <f>IF(OFERTA!$M192="","",OFERTA!$M192*OFERTA!$E192)</f>
        <v>0</v>
      </c>
      <c r="S192" s="23">
        <f>IF(OFERTA!$N192="","",OFERTA!$N192*OFERTA!$E192)</f>
        <v>0</v>
      </c>
      <c r="T192" s="23">
        <f>IF(OFERTA!$O192="","",OFERTA!$O192*OFERTA!$E192)</f>
        <v>0</v>
      </c>
      <c r="U192" s="23">
        <f>IF(OFERTA!$P192="","",OFERTA!$P192*OFERTA!$E192)</f>
        <v>0</v>
      </c>
      <c r="V192" s="23">
        <f>IF(OFERTA!$U192="","",OFERTA!$U192+OFERTA!$T192+OFERTA!$S192+OFERTA!$R192)</f>
        <v>0</v>
      </c>
      <c r="W192" s="22">
        <f>IF(OFERTA!$R192="","",OFERTA!$R192/OFERTA!$R$216)</f>
        <v>0</v>
      </c>
      <c r="X192" s="22">
        <f>IF(OFERTA!$S192="","",OFERTA!$S192/OFERTA!$S$216)</f>
        <v>0</v>
      </c>
      <c r="Y192" s="22">
        <f>IF(OFERTA!$T192="","",OFERTA!$T192/OFERTA!$T$216)</f>
        <v>0</v>
      </c>
      <c r="Z192" s="22">
        <f>IF(OFERTA!$U192="","",OFERTA!$U192/OFERTA!$U$216)</f>
        <v>0</v>
      </c>
      <c r="AA192" s="3"/>
      <c r="AB192" s="23" t="str">
        <f>IF(AI192="","",AI192*OFERTA!$Q192)</f>
        <v/>
      </c>
      <c r="AC192" s="23" t="str">
        <f>IF(AI192="","",OFERTA!$N192*AI192)</f>
        <v/>
      </c>
      <c r="AD192" s="23" t="str">
        <f>IF(AI192="","",OFERTA!$M192*AI192)</f>
        <v/>
      </c>
      <c r="AE192" s="23" t="str">
        <f>IF(AI192="","",OFERTA!$P192*AI192)</f>
        <v/>
      </c>
      <c r="AF192" s="23" t="str">
        <f>IF(AI192="","",OFERTA!$O192*AI192)</f>
        <v/>
      </c>
      <c r="AG192" s="21" t="str">
        <f t="shared" si="17"/>
        <v/>
      </c>
      <c r="AH192" s="216">
        <v>7.27</v>
      </c>
      <c r="AI192" s="216"/>
      <c r="AJ192" s="216" t="str">
        <f t="shared" si="18"/>
        <v/>
      </c>
      <c r="AK192" s="216" t="str">
        <f t="shared" si="19"/>
        <v/>
      </c>
      <c r="AL192" s="216" t="str">
        <f>IF(AJ192="","",OFERTA!$E192/AJ192)</f>
        <v/>
      </c>
      <c r="AR192" s="1"/>
    </row>
    <row r="193" spans="1:44" ht="17.25" hidden="1" thickBot="1" x14ac:dyDescent="0.35">
      <c r="A193" s="220"/>
      <c r="B193" s="227">
        <v>188</v>
      </c>
      <c r="C193" s="232"/>
      <c r="D193" s="21"/>
      <c r="E193" s="21"/>
      <c r="F193" s="23"/>
      <c r="G193" s="23" t="str">
        <f>IF(OFERTA!$C193="","",IF(OFERTA!$F193="","",OFERTA!$F193*OFERTA!$E193))</f>
        <v/>
      </c>
      <c r="H193" s="229" t="str">
        <f>+IF(OFERTA!$F193="","",OFERTA!$G193/OFERTA!$G$216)</f>
        <v/>
      </c>
      <c r="I193" s="230"/>
      <c r="J193" s="230"/>
      <c r="K193" s="230"/>
      <c r="L193" s="230" t="str">
        <f t="shared" si="16"/>
        <v/>
      </c>
      <c r="M193" s="231">
        <f>+'80'!$N$28+'80'!$N$47</f>
        <v>0</v>
      </c>
      <c r="N193" s="231">
        <f>+'80'!$M$28+'80'!$M$47</f>
        <v>0</v>
      </c>
      <c r="O193" s="231">
        <f>IF('80'!$G$39=0,0,'80'!$G$39)</f>
        <v>0</v>
      </c>
      <c r="P193" s="231">
        <f>IF('80'!$G$55=0,0,'80'!$G$55)</f>
        <v>0</v>
      </c>
      <c r="Q193" s="231">
        <f>+OFERTA!$M193+OFERTA!$N193+OFERTA!$O193+OFERTA!$P193</f>
        <v>0</v>
      </c>
      <c r="R193" s="23">
        <f>IF(OFERTA!$M193="","",OFERTA!$M193*OFERTA!$E193)</f>
        <v>0</v>
      </c>
      <c r="S193" s="23">
        <f>IF(OFERTA!$N193="","",OFERTA!$N193*OFERTA!$E193)</f>
        <v>0</v>
      </c>
      <c r="T193" s="23">
        <f>IF(OFERTA!$O193="","",OFERTA!$O193*OFERTA!$E193)</f>
        <v>0</v>
      </c>
      <c r="U193" s="23">
        <f>IF(OFERTA!$P193="","",OFERTA!$P193*OFERTA!$E193)</f>
        <v>0</v>
      </c>
      <c r="V193" s="23">
        <f>IF(OFERTA!$U193="","",OFERTA!$U193+OFERTA!$T193+OFERTA!$S193+OFERTA!$R193)</f>
        <v>0</v>
      </c>
      <c r="W193" s="22">
        <f>IF(OFERTA!$R193="","",OFERTA!$R193/OFERTA!$R$216)</f>
        <v>0</v>
      </c>
      <c r="X193" s="22">
        <f>IF(OFERTA!$S193="","",OFERTA!$S193/OFERTA!$S$216)</f>
        <v>0</v>
      </c>
      <c r="Y193" s="22">
        <f>IF(OFERTA!$T193="","",OFERTA!$T193/OFERTA!$T$216)</f>
        <v>0</v>
      </c>
      <c r="Z193" s="22">
        <f>IF(OFERTA!$U193="","",OFERTA!$U193/OFERTA!$U$216)</f>
        <v>0</v>
      </c>
      <c r="AA193" s="3"/>
      <c r="AB193" s="23" t="str">
        <f>IF(AI193="","",AI193*OFERTA!$Q193)</f>
        <v/>
      </c>
      <c r="AC193" s="23" t="str">
        <f>IF(AI193="","",OFERTA!$N193*AI193)</f>
        <v/>
      </c>
      <c r="AD193" s="23" t="str">
        <f>IF(AI193="","",OFERTA!$M193*AI193)</f>
        <v/>
      </c>
      <c r="AE193" s="23" t="str">
        <f>IF(AI193="","",OFERTA!$P193*AI193)</f>
        <v/>
      </c>
      <c r="AF193" s="23" t="str">
        <f>IF(AI193="","",OFERTA!$O193*AI193)</f>
        <v/>
      </c>
      <c r="AG193" s="21" t="str">
        <f t="shared" si="17"/>
        <v/>
      </c>
      <c r="AH193" s="216">
        <v>7.27</v>
      </c>
      <c r="AI193" s="216"/>
      <c r="AJ193" s="216" t="str">
        <f t="shared" si="18"/>
        <v/>
      </c>
      <c r="AK193" s="216" t="str">
        <f t="shared" si="19"/>
        <v/>
      </c>
      <c r="AL193" s="216" t="str">
        <f>IF(AJ193="","",OFERTA!$E193/AJ193)</f>
        <v/>
      </c>
      <c r="AR193" s="1"/>
    </row>
    <row r="194" spans="1:44" ht="17.25" hidden="1" thickBot="1" x14ac:dyDescent="0.35">
      <c r="A194" s="220"/>
      <c r="B194" s="227">
        <v>189</v>
      </c>
      <c r="C194" s="232"/>
      <c r="D194" s="21"/>
      <c r="E194" s="21"/>
      <c r="F194" s="23"/>
      <c r="G194" s="23" t="str">
        <f>IF(OFERTA!$C194="","",IF(OFERTA!$F194="","",OFERTA!$F194*OFERTA!$E194))</f>
        <v/>
      </c>
      <c r="H194" s="229" t="str">
        <f>+IF(OFERTA!$F194="","",OFERTA!$G194/OFERTA!$G$216)</f>
        <v/>
      </c>
      <c r="I194" s="230"/>
      <c r="J194" s="230"/>
      <c r="K194" s="230"/>
      <c r="L194" s="230" t="str">
        <f t="shared" si="16"/>
        <v/>
      </c>
      <c r="M194" s="231">
        <f>+'80'!$N$28+'80'!$N$47</f>
        <v>0</v>
      </c>
      <c r="N194" s="231">
        <f>+'80'!$M$28+'80'!$M$47</f>
        <v>0</v>
      </c>
      <c r="O194" s="231">
        <f>IF('80'!$G$39=0,0,'80'!$G$39)</f>
        <v>0</v>
      </c>
      <c r="P194" s="231">
        <f>IF('80'!$G$55=0,0,'80'!$G$55)</f>
        <v>0</v>
      </c>
      <c r="Q194" s="231">
        <f>+OFERTA!$M194+OFERTA!$N194+OFERTA!$O194+OFERTA!$P194</f>
        <v>0</v>
      </c>
      <c r="R194" s="23">
        <f>IF(OFERTA!$M194="","",OFERTA!$M194*OFERTA!$E194)</f>
        <v>0</v>
      </c>
      <c r="S194" s="23">
        <f>IF(OFERTA!$N194="","",OFERTA!$N194*OFERTA!$E194)</f>
        <v>0</v>
      </c>
      <c r="T194" s="23">
        <f>IF(OFERTA!$O194="","",OFERTA!$O194*OFERTA!$E194)</f>
        <v>0</v>
      </c>
      <c r="U194" s="23">
        <f>IF(OFERTA!$P194="","",OFERTA!$P194*OFERTA!$E194)</f>
        <v>0</v>
      </c>
      <c r="V194" s="23">
        <f>IF(OFERTA!$U194="","",OFERTA!$U194+OFERTA!$T194+OFERTA!$S194+OFERTA!$R194)</f>
        <v>0</v>
      </c>
      <c r="W194" s="22">
        <f>IF(OFERTA!$R194="","",OFERTA!$R194/OFERTA!$R$216)</f>
        <v>0</v>
      </c>
      <c r="X194" s="22">
        <f>IF(OFERTA!$S194="","",OFERTA!$S194/OFERTA!$S$216)</f>
        <v>0</v>
      </c>
      <c r="Y194" s="22">
        <f>IF(OFERTA!$T194="","",OFERTA!$T194/OFERTA!$T$216)</f>
        <v>0</v>
      </c>
      <c r="Z194" s="22">
        <f>IF(OFERTA!$U194="","",OFERTA!$U194/OFERTA!$U$216)</f>
        <v>0</v>
      </c>
      <c r="AA194" s="3"/>
      <c r="AB194" s="23" t="str">
        <f>IF(AI194="","",AI194*OFERTA!$Q194)</f>
        <v/>
      </c>
      <c r="AC194" s="23" t="str">
        <f>IF(AI194="","",OFERTA!$N194*AI194)</f>
        <v/>
      </c>
      <c r="AD194" s="23" t="str">
        <f>IF(AI194="","",OFERTA!$M194*AI194)</f>
        <v/>
      </c>
      <c r="AE194" s="23" t="str">
        <f>IF(AI194="","",OFERTA!$P194*AI194)</f>
        <v/>
      </c>
      <c r="AF194" s="23" t="str">
        <f>IF(AI194="","",OFERTA!$O194*AI194)</f>
        <v/>
      </c>
      <c r="AG194" s="21" t="str">
        <f t="shared" si="17"/>
        <v/>
      </c>
      <c r="AH194" s="216">
        <v>7.27</v>
      </c>
      <c r="AI194" s="216"/>
      <c r="AJ194" s="216" t="str">
        <f t="shared" si="18"/>
        <v/>
      </c>
      <c r="AK194" s="216" t="str">
        <f t="shared" si="19"/>
        <v/>
      </c>
      <c r="AL194" s="216" t="str">
        <f>IF(AJ194="","",OFERTA!$E194/AJ194)</f>
        <v/>
      </c>
      <c r="AR194" s="1"/>
    </row>
    <row r="195" spans="1:44" ht="17.25" hidden="1" thickBot="1" x14ac:dyDescent="0.35">
      <c r="A195" s="220"/>
      <c r="B195" s="227">
        <v>190</v>
      </c>
      <c r="C195" s="232"/>
      <c r="D195" s="21"/>
      <c r="E195" s="21"/>
      <c r="F195" s="23"/>
      <c r="G195" s="23" t="str">
        <f>IF(OFERTA!$C195="","",IF(OFERTA!$F195="","",OFERTA!$F195*OFERTA!$E195))</f>
        <v/>
      </c>
      <c r="H195" s="229" t="str">
        <f>+IF(OFERTA!$F195="","",OFERTA!$G195/OFERTA!$G$216)</f>
        <v/>
      </c>
      <c r="I195" s="230"/>
      <c r="J195" s="230"/>
      <c r="K195" s="230"/>
      <c r="L195" s="230" t="str">
        <f t="shared" si="16"/>
        <v/>
      </c>
      <c r="M195" s="231">
        <f>+'80'!$N$28+'80'!$N$47</f>
        <v>0</v>
      </c>
      <c r="N195" s="231">
        <f>+'80'!$M$28+'80'!$M$47</f>
        <v>0</v>
      </c>
      <c r="O195" s="231">
        <f>IF('80'!$G$39=0,0,'80'!$G$39)</f>
        <v>0</v>
      </c>
      <c r="P195" s="231">
        <f>IF('80'!$G$55=0,0,'80'!$G$55)</f>
        <v>0</v>
      </c>
      <c r="Q195" s="231">
        <f>+OFERTA!$M195+OFERTA!$N195+OFERTA!$O195+OFERTA!$P195</f>
        <v>0</v>
      </c>
      <c r="R195" s="23">
        <f>IF(OFERTA!$M195="","",OFERTA!$M195*OFERTA!$E195)</f>
        <v>0</v>
      </c>
      <c r="S195" s="23">
        <f>IF(OFERTA!$N195="","",OFERTA!$N195*OFERTA!$E195)</f>
        <v>0</v>
      </c>
      <c r="T195" s="23">
        <f>IF(OFERTA!$O195="","",OFERTA!$O195*OFERTA!$E195)</f>
        <v>0</v>
      </c>
      <c r="U195" s="23">
        <f>IF(OFERTA!$P195="","",OFERTA!$P195*OFERTA!$E195)</f>
        <v>0</v>
      </c>
      <c r="V195" s="23">
        <f>IF(OFERTA!$U195="","",OFERTA!$U195+OFERTA!$T195+OFERTA!$S195+OFERTA!$R195)</f>
        <v>0</v>
      </c>
      <c r="W195" s="22">
        <f>IF(OFERTA!$R195="","",OFERTA!$R195/OFERTA!$R$216)</f>
        <v>0</v>
      </c>
      <c r="X195" s="22">
        <f>IF(OFERTA!$S195="","",OFERTA!$S195/OFERTA!$S$216)</f>
        <v>0</v>
      </c>
      <c r="Y195" s="22">
        <f>IF(OFERTA!$T195="","",OFERTA!$T195/OFERTA!$T$216)</f>
        <v>0</v>
      </c>
      <c r="Z195" s="22">
        <f>IF(OFERTA!$U195="","",OFERTA!$U195/OFERTA!$U$216)</f>
        <v>0</v>
      </c>
      <c r="AA195" s="3"/>
      <c r="AB195" s="23" t="str">
        <f>IF(AI195="","",AI195*OFERTA!$Q195)</f>
        <v/>
      </c>
      <c r="AC195" s="23" t="str">
        <f>IF(AI195="","",OFERTA!$N195*AI195)</f>
        <v/>
      </c>
      <c r="AD195" s="23" t="str">
        <f>IF(AI195="","",OFERTA!$M195*AI195)</f>
        <v/>
      </c>
      <c r="AE195" s="23" t="str">
        <f>IF(AI195="","",OFERTA!$P195*AI195)</f>
        <v/>
      </c>
      <c r="AF195" s="23" t="str">
        <f>IF(AI195="","",OFERTA!$O195*AI195)</f>
        <v/>
      </c>
      <c r="AG195" s="21" t="str">
        <f t="shared" si="17"/>
        <v/>
      </c>
      <c r="AH195" s="216">
        <v>7.27</v>
      </c>
      <c r="AI195" s="216"/>
      <c r="AJ195" s="216" t="str">
        <f t="shared" si="18"/>
        <v/>
      </c>
      <c r="AK195" s="216" t="str">
        <f t="shared" si="19"/>
        <v/>
      </c>
      <c r="AL195" s="216" t="str">
        <f>IF(AJ195="","",OFERTA!$E195/AJ195)</f>
        <v/>
      </c>
      <c r="AR195" s="1"/>
    </row>
    <row r="196" spans="1:44" ht="17.25" hidden="1" thickBot="1" x14ac:dyDescent="0.35">
      <c r="A196" s="220"/>
      <c r="B196" s="227">
        <v>191</v>
      </c>
      <c r="C196" s="232"/>
      <c r="D196" s="21"/>
      <c r="E196" s="21"/>
      <c r="F196" s="23"/>
      <c r="G196" s="23" t="str">
        <f>IF(OFERTA!$C196="","",IF(OFERTA!$F196="","",OFERTA!$F196*OFERTA!$E196))</f>
        <v/>
      </c>
      <c r="H196" s="229" t="str">
        <f>+IF(OFERTA!$F196="","",OFERTA!$G196/OFERTA!$G$216)</f>
        <v/>
      </c>
      <c r="I196" s="230"/>
      <c r="J196" s="230"/>
      <c r="K196" s="230"/>
      <c r="L196" s="230" t="str">
        <f t="shared" si="16"/>
        <v/>
      </c>
      <c r="M196" s="231">
        <f>+'80'!$N$28+'80'!$N$47</f>
        <v>0</v>
      </c>
      <c r="N196" s="231">
        <f>+'80'!$M$28+'80'!$M$47</f>
        <v>0</v>
      </c>
      <c r="O196" s="231">
        <f>IF('80'!$G$39=0,0,'80'!$G$39)</f>
        <v>0</v>
      </c>
      <c r="P196" s="231">
        <f>IF('80'!$G$55=0,0,'80'!$G$55)</f>
        <v>0</v>
      </c>
      <c r="Q196" s="231">
        <f>+OFERTA!$M196+OFERTA!$N196+OFERTA!$O196+OFERTA!$P196</f>
        <v>0</v>
      </c>
      <c r="R196" s="23">
        <f>IF(OFERTA!$M196="","",OFERTA!$M196*OFERTA!$E196)</f>
        <v>0</v>
      </c>
      <c r="S196" s="23">
        <f>IF(OFERTA!$N196="","",OFERTA!$N196*OFERTA!$E196)</f>
        <v>0</v>
      </c>
      <c r="T196" s="23">
        <f>IF(OFERTA!$O196="","",OFERTA!$O196*OFERTA!$E196)</f>
        <v>0</v>
      </c>
      <c r="U196" s="23">
        <f>IF(OFERTA!$P196="","",OFERTA!$P196*OFERTA!$E196)</f>
        <v>0</v>
      </c>
      <c r="V196" s="23">
        <f>IF(OFERTA!$U196="","",OFERTA!$U196+OFERTA!$T196+OFERTA!$S196+OFERTA!$R196)</f>
        <v>0</v>
      </c>
      <c r="W196" s="22">
        <f>IF(OFERTA!$R196="","",OFERTA!$R196/OFERTA!$R$216)</f>
        <v>0</v>
      </c>
      <c r="X196" s="22">
        <f>IF(OFERTA!$S196="","",OFERTA!$S196/OFERTA!$S$216)</f>
        <v>0</v>
      </c>
      <c r="Y196" s="22">
        <f>IF(OFERTA!$T196="","",OFERTA!$T196/OFERTA!$T$216)</f>
        <v>0</v>
      </c>
      <c r="Z196" s="22">
        <f>IF(OFERTA!$U196="","",OFERTA!$U196/OFERTA!$U$216)</f>
        <v>0</v>
      </c>
      <c r="AA196" s="3"/>
      <c r="AB196" s="23" t="str">
        <f>IF(AI196="","",AI196*OFERTA!$Q196)</f>
        <v/>
      </c>
      <c r="AC196" s="23" t="str">
        <f>IF(AI196="","",OFERTA!$N196*AI196)</f>
        <v/>
      </c>
      <c r="AD196" s="23" t="str">
        <f>IF(AI196="","",OFERTA!$M196*AI196)</f>
        <v/>
      </c>
      <c r="AE196" s="23" t="str">
        <f>IF(AI196="","",OFERTA!$P196*AI196)</f>
        <v/>
      </c>
      <c r="AF196" s="23" t="str">
        <f>IF(AI196="","",OFERTA!$O196*AI196)</f>
        <v/>
      </c>
      <c r="AG196" s="21" t="str">
        <f t="shared" si="17"/>
        <v/>
      </c>
      <c r="AH196" s="216">
        <v>7.27</v>
      </c>
      <c r="AI196" s="216"/>
      <c r="AJ196" s="216" t="str">
        <f t="shared" si="18"/>
        <v/>
      </c>
      <c r="AK196" s="216" t="str">
        <f t="shared" si="19"/>
        <v/>
      </c>
      <c r="AL196" s="216" t="str">
        <f>IF(AJ196="","",OFERTA!$E196/AJ196)</f>
        <v/>
      </c>
      <c r="AR196" s="1"/>
    </row>
    <row r="197" spans="1:44" ht="17.25" hidden="1" thickBot="1" x14ac:dyDescent="0.35">
      <c r="A197" s="220"/>
      <c r="B197" s="227">
        <v>192</v>
      </c>
      <c r="C197" s="232"/>
      <c r="D197" s="21"/>
      <c r="E197" s="21"/>
      <c r="F197" s="23"/>
      <c r="G197" s="23" t="str">
        <f>IF(OFERTA!$C197="","",IF(OFERTA!$F197="","",OFERTA!$F197*OFERTA!$E197))</f>
        <v/>
      </c>
      <c r="H197" s="229" t="str">
        <f>+IF(OFERTA!$F197="","",OFERTA!$G197/OFERTA!$G$216)</f>
        <v/>
      </c>
      <c r="I197" s="230"/>
      <c r="J197" s="230"/>
      <c r="K197" s="230"/>
      <c r="L197" s="230" t="str">
        <f t="shared" si="16"/>
        <v/>
      </c>
      <c r="M197" s="231">
        <f>+'80'!$N$28+'80'!$N$47</f>
        <v>0</v>
      </c>
      <c r="N197" s="231">
        <f>+'80'!$M$28+'80'!$M$47</f>
        <v>0</v>
      </c>
      <c r="O197" s="231">
        <f>IF('80'!$G$39=0,0,'80'!$G$39)</f>
        <v>0</v>
      </c>
      <c r="P197" s="231">
        <f>IF('80'!$G$55=0,0,'80'!$G$55)</f>
        <v>0</v>
      </c>
      <c r="Q197" s="231">
        <f>+OFERTA!$M197+OFERTA!$N197+OFERTA!$O197+OFERTA!$P197</f>
        <v>0</v>
      </c>
      <c r="R197" s="23">
        <f>IF(OFERTA!$M197="","",OFERTA!$M197*OFERTA!$E197)</f>
        <v>0</v>
      </c>
      <c r="S197" s="23">
        <f>IF(OFERTA!$N197="","",OFERTA!$N197*OFERTA!$E197)</f>
        <v>0</v>
      </c>
      <c r="T197" s="23">
        <f>IF(OFERTA!$O197="","",OFERTA!$O197*OFERTA!$E197)</f>
        <v>0</v>
      </c>
      <c r="U197" s="23">
        <f>IF(OFERTA!$P197="","",OFERTA!$P197*OFERTA!$E197)</f>
        <v>0</v>
      </c>
      <c r="V197" s="23">
        <f>IF(OFERTA!$U197="","",OFERTA!$U197+OFERTA!$T197+OFERTA!$S197+OFERTA!$R197)</f>
        <v>0</v>
      </c>
      <c r="W197" s="22">
        <f>IF(OFERTA!$R197="","",OFERTA!$R197/OFERTA!$R$216)</f>
        <v>0</v>
      </c>
      <c r="X197" s="22">
        <f>IF(OFERTA!$S197="","",OFERTA!$S197/OFERTA!$S$216)</f>
        <v>0</v>
      </c>
      <c r="Y197" s="22">
        <f>IF(OFERTA!$T197="","",OFERTA!$T197/OFERTA!$T$216)</f>
        <v>0</v>
      </c>
      <c r="Z197" s="22">
        <f>IF(OFERTA!$U197="","",OFERTA!$U197/OFERTA!$U$216)</f>
        <v>0</v>
      </c>
      <c r="AA197" s="3"/>
      <c r="AB197" s="23" t="str">
        <f>IF(AI197="","",AI197*OFERTA!$Q197)</f>
        <v/>
      </c>
      <c r="AC197" s="23" t="str">
        <f>IF(AI197="","",OFERTA!$N197*AI197)</f>
        <v/>
      </c>
      <c r="AD197" s="23" t="str">
        <f>IF(AI197="","",OFERTA!$M197*AI197)</f>
        <v/>
      </c>
      <c r="AE197" s="23" t="str">
        <f>IF(AI197="","",OFERTA!$P197*AI197)</f>
        <v/>
      </c>
      <c r="AF197" s="23" t="str">
        <f>IF(AI197="","",OFERTA!$O197*AI197)</f>
        <v/>
      </c>
      <c r="AG197" s="21" t="str">
        <f t="shared" si="17"/>
        <v/>
      </c>
      <c r="AH197" s="216">
        <v>7.27</v>
      </c>
      <c r="AI197" s="216"/>
      <c r="AJ197" s="216" t="str">
        <f t="shared" si="18"/>
        <v/>
      </c>
      <c r="AK197" s="216" t="str">
        <f t="shared" si="19"/>
        <v/>
      </c>
      <c r="AL197" s="216" t="str">
        <f>IF(AJ197="","",OFERTA!$E197/AJ197)</f>
        <v/>
      </c>
      <c r="AR197" s="1"/>
    </row>
    <row r="198" spans="1:44" ht="17.25" hidden="1" thickBot="1" x14ac:dyDescent="0.35">
      <c r="A198" s="220"/>
      <c r="B198" s="227">
        <v>193</v>
      </c>
      <c r="C198" s="232"/>
      <c r="D198" s="21"/>
      <c r="E198" s="21"/>
      <c r="F198" s="23"/>
      <c r="G198" s="23" t="str">
        <f>IF(OFERTA!$C198="","",IF(OFERTA!$F198="","",OFERTA!$F198*OFERTA!$E198))</f>
        <v/>
      </c>
      <c r="H198" s="229" t="str">
        <f>+IF(OFERTA!$F198="","",OFERTA!$G198/OFERTA!$G$216)</f>
        <v/>
      </c>
      <c r="I198" s="230"/>
      <c r="J198" s="230"/>
      <c r="K198" s="230"/>
      <c r="L198" s="230" t="str">
        <f t="shared" si="16"/>
        <v/>
      </c>
      <c r="M198" s="231">
        <f>+'80'!$N$28+'80'!$N$47</f>
        <v>0</v>
      </c>
      <c r="N198" s="231">
        <f>+'80'!$M$28+'80'!$M$47</f>
        <v>0</v>
      </c>
      <c r="O198" s="231">
        <f>IF('80'!$G$39=0,0,'80'!$G$39)</f>
        <v>0</v>
      </c>
      <c r="P198" s="231">
        <f>IF('80'!$G$55=0,0,'80'!$G$55)</f>
        <v>0</v>
      </c>
      <c r="Q198" s="231">
        <f>+OFERTA!$M198+OFERTA!$N198+OFERTA!$O198+OFERTA!$P198</f>
        <v>0</v>
      </c>
      <c r="R198" s="23">
        <f>IF(OFERTA!$M198="","",OFERTA!$M198*OFERTA!$E198)</f>
        <v>0</v>
      </c>
      <c r="S198" s="23">
        <f>IF(OFERTA!$N198="","",OFERTA!$N198*OFERTA!$E198)</f>
        <v>0</v>
      </c>
      <c r="T198" s="23">
        <f>IF(OFERTA!$O198="","",OFERTA!$O198*OFERTA!$E198)</f>
        <v>0</v>
      </c>
      <c r="U198" s="23">
        <f>IF(OFERTA!$P198="","",OFERTA!$P198*OFERTA!$E198)</f>
        <v>0</v>
      </c>
      <c r="V198" s="23">
        <f>IF(OFERTA!$U198="","",OFERTA!$U198+OFERTA!$T198+OFERTA!$S198+OFERTA!$R198)</f>
        <v>0</v>
      </c>
      <c r="W198" s="22">
        <f>IF(OFERTA!$R198="","",OFERTA!$R198/OFERTA!$R$216)</f>
        <v>0</v>
      </c>
      <c r="X198" s="22">
        <f>IF(OFERTA!$S198="","",OFERTA!$S198/OFERTA!$S$216)</f>
        <v>0</v>
      </c>
      <c r="Y198" s="22">
        <f>IF(OFERTA!$T198="","",OFERTA!$T198/OFERTA!$T$216)</f>
        <v>0</v>
      </c>
      <c r="Z198" s="22">
        <f>IF(OFERTA!$U198="","",OFERTA!$U198/OFERTA!$U$216)</f>
        <v>0</v>
      </c>
      <c r="AA198" s="3"/>
      <c r="AB198" s="23" t="str">
        <f>IF(AI198="","",AI198*OFERTA!$Q198)</f>
        <v/>
      </c>
      <c r="AC198" s="23" t="str">
        <f>IF(AI198="","",OFERTA!$N198*AI198)</f>
        <v/>
      </c>
      <c r="AD198" s="23" t="str">
        <f>IF(AI198="","",OFERTA!$M198*AI198)</f>
        <v/>
      </c>
      <c r="AE198" s="23" t="str">
        <f>IF(AI198="","",OFERTA!$P198*AI198)</f>
        <v/>
      </c>
      <c r="AF198" s="23" t="str">
        <f>IF(AI198="","",OFERTA!$O198*AI198)</f>
        <v/>
      </c>
      <c r="AG198" s="21" t="str">
        <f t="shared" si="17"/>
        <v/>
      </c>
      <c r="AH198" s="216">
        <v>7.27</v>
      </c>
      <c r="AI198" s="216"/>
      <c r="AJ198" s="216" t="str">
        <f t="shared" si="18"/>
        <v/>
      </c>
      <c r="AK198" s="216" t="str">
        <f t="shared" si="19"/>
        <v/>
      </c>
      <c r="AL198" s="216" t="str">
        <f>IF(AJ198="","",OFERTA!$E198/AJ198)</f>
        <v/>
      </c>
      <c r="AR198" s="1"/>
    </row>
    <row r="199" spans="1:44" ht="17.25" hidden="1" thickBot="1" x14ac:dyDescent="0.35">
      <c r="A199" s="220"/>
      <c r="B199" s="227">
        <v>194</v>
      </c>
      <c r="C199" s="232"/>
      <c r="D199" s="21"/>
      <c r="E199" s="21"/>
      <c r="F199" s="23"/>
      <c r="G199" s="23" t="str">
        <f>IF(OFERTA!$C199="","",IF(OFERTA!$F199="","",OFERTA!$F199*OFERTA!$E199))</f>
        <v/>
      </c>
      <c r="H199" s="229" t="str">
        <f>+IF(OFERTA!$F199="","",OFERTA!$G199/OFERTA!$G$216)</f>
        <v/>
      </c>
      <c r="I199" s="230"/>
      <c r="J199" s="230"/>
      <c r="K199" s="230"/>
      <c r="L199" s="230" t="str">
        <f t="shared" si="16"/>
        <v/>
      </c>
      <c r="M199" s="231">
        <f>+'80'!$N$28+'80'!$N$47</f>
        <v>0</v>
      </c>
      <c r="N199" s="231">
        <f>+'80'!$M$28+'80'!$M$47</f>
        <v>0</v>
      </c>
      <c r="O199" s="231">
        <f>IF('80'!$G$39=0,0,'80'!$G$39)</f>
        <v>0</v>
      </c>
      <c r="P199" s="231">
        <f>IF('80'!$G$55=0,0,'80'!$G$55)</f>
        <v>0</v>
      </c>
      <c r="Q199" s="231">
        <f>+OFERTA!$M199+OFERTA!$N199+OFERTA!$O199+OFERTA!$P199</f>
        <v>0</v>
      </c>
      <c r="R199" s="23">
        <f>IF(OFERTA!$M199="","",OFERTA!$M199*OFERTA!$E199)</f>
        <v>0</v>
      </c>
      <c r="S199" s="23">
        <f>IF(OFERTA!$N199="","",OFERTA!$N199*OFERTA!$E199)</f>
        <v>0</v>
      </c>
      <c r="T199" s="23">
        <f>IF(OFERTA!$O199="","",OFERTA!$O199*OFERTA!$E199)</f>
        <v>0</v>
      </c>
      <c r="U199" s="23">
        <f>IF(OFERTA!$P199="","",OFERTA!$P199*OFERTA!$E199)</f>
        <v>0</v>
      </c>
      <c r="V199" s="23">
        <f>IF(OFERTA!$U199="","",OFERTA!$U199+OFERTA!$T199+OFERTA!$S199+OFERTA!$R199)</f>
        <v>0</v>
      </c>
      <c r="W199" s="22">
        <f>IF(OFERTA!$R199="","",OFERTA!$R199/OFERTA!$R$216)</f>
        <v>0</v>
      </c>
      <c r="X199" s="22">
        <f>IF(OFERTA!$S199="","",OFERTA!$S199/OFERTA!$S$216)</f>
        <v>0</v>
      </c>
      <c r="Y199" s="22">
        <f>IF(OFERTA!$T199="","",OFERTA!$T199/OFERTA!$T$216)</f>
        <v>0</v>
      </c>
      <c r="Z199" s="22">
        <f>IF(OFERTA!$U199="","",OFERTA!$U199/OFERTA!$U$216)</f>
        <v>0</v>
      </c>
      <c r="AA199" s="3"/>
      <c r="AB199" s="23" t="str">
        <f>IF(AI199="","",AI199*OFERTA!$Q199)</f>
        <v/>
      </c>
      <c r="AC199" s="23" t="str">
        <f>IF(AI199="","",OFERTA!$N199*AI199)</f>
        <v/>
      </c>
      <c r="AD199" s="23" t="str">
        <f>IF(AI199="","",OFERTA!$M199*AI199)</f>
        <v/>
      </c>
      <c r="AE199" s="23" t="str">
        <f>IF(AI199="","",OFERTA!$P199*AI199)</f>
        <v/>
      </c>
      <c r="AF199" s="23" t="str">
        <f>IF(AI199="","",OFERTA!$O199*AI199)</f>
        <v/>
      </c>
      <c r="AG199" s="21" t="str">
        <f t="shared" si="17"/>
        <v/>
      </c>
      <c r="AH199" s="216">
        <v>7.27</v>
      </c>
      <c r="AI199" s="216"/>
      <c r="AJ199" s="216" t="str">
        <f t="shared" si="18"/>
        <v/>
      </c>
      <c r="AK199" s="216" t="str">
        <f t="shared" si="19"/>
        <v/>
      </c>
      <c r="AL199" s="216" t="str">
        <f>IF(AJ199="","",OFERTA!$E199/AJ199)</f>
        <v/>
      </c>
      <c r="AR199" s="1"/>
    </row>
    <row r="200" spans="1:44" ht="17.25" hidden="1" thickBot="1" x14ac:dyDescent="0.35">
      <c r="A200" s="220"/>
      <c r="B200" s="227">
        <v>195</v>
      </c>
      <c r="C200" s="232"/>
      <c r="D200" s="21"/>
      <c r="E200" s="21"/>
      <c r="F200" s="23"/>
      <c r="G200" s="23" t="str">
        <f>IF(OFERTA!$C200="","",IF(OFERTA!$F200="","",OFERTA!$F200*OFERTA!$E200))</f>
        <v/>
      </c>
      <c r="H200" s="229" t="str">
        <f>+IF(OFERTA!$F200="","",OFERTA!$G200/OFERTA!$G$216)</f>
        <v/>
      </c>
      <c r="I200" s="230"/>
      <c r="J200" s="230"/>
      <c r="K200" s="230"/>
      <c r="L200" s="230" t="str">
        <f t="shared" si="16"/>
        <v/>
      </c>
      <c r="M200" s="231">
        <f>+'80'!$N$28+'80'!$N$47</f>
        <v>0</v>
      </c>
      <c r="N200" s="231">
        <f>+'80'!$M$28+'80'!$M$47</f>
        <v>0</v>
      </c>
      <c r="O200" s="231">
        <f>IF('80'!$G$39=0,0,'80'!$G$39)</f>
        <v>0</v>
      </c>
      <c r="P200" s="231">
        <f>IF('80'!$G$55=0,0,'80'!$G$55)</f>
        <v>0</v>
      </c>
      <c r="Q200" s="231">
        <f>+OFERTA!$M200+OFERTA!$N200+OFERTA!$O200+OFERTA!$P200</f>
        <v>0</v>
      </c>
      <c r="R200" s="23">
        <f>IF(OFERTA!$M200="","",OFERTA!$M200*OFERTA!$E200)</f>
        <v>0</v>
      </c>
      <c r="S200" s="23">
        <f>IF(OFERTA!$N200="","",OFERTA!$N200*OFERTA!$E200)</f>
        <v>0</v>
      </c>
      <c r="T200" s="23">
        <f>IF(OFERTA!$O200="","",OFERTA!$O200*OFERTA!$E200)</f>
        <v>0</v>
      </c>
      <c r="U200" s="23">
        <f>IF(OFERTA!$P200="","",OFERTA!$P200*OFERTA!$E200)</f>
        <v>0</v>
      </c>
      <c r="V200" s="23">
        <f>IF(OFERTA!$U200="","",OFERTA!$U200+OFERTA!$T200+OFERTA!$S200+OFERTA!$R200)</f>
        <v>0</v>
      </c>
      <c r="W200" s="22">
        <f>IF(OFERTA!$R200="","",OFERTA!$R200/OFERTA!$R$216)</f>
        <v>0</v>
      </c>
      <c r="X200" s="22">
        <f>IF(OFERTA!$S200="","",OFERTA!$S200/OFERTA!$S$216)</f>
        <v>0</v>
      </c>
      <c r="Y200" s="22">
        <f>IF(OFERTA!$T200="","",OFERTA!$T200/OFERTA!$T$216)</f>
        <v>0</v>
      </c>
      <c r="Z200" s="22">
        <f>IF(OFERTA!$U200="","",OFERTA!$U200/OFERTA!$U$216)</f>
        <v>0</v>
      </c>
      <c r="AA200" s="3"/>
      <c r="AB200" s="23" t="str">
        <f>IF(AI200="","",AI200*OFERTA!$Q200)</f>
        <v/>
      </c>
      <c r="AC200" s="23" t="str">
        <f>IF(AI200="","",OFERTA!$N200*AI200)</f>
        <v/>
      </c>
      <c r="AD200" s="23" t="str">
        <f>IF(AI200="","",OFERTA!$M200*AI200)</f>
        <v/>
      </c>
      <c r="AE200" s="23" t="str">
        <f>IF(AI200="","",OFERTA!$P200*AI200)</f>
        <v/>
      </c>
      <c r="AF200" s="23" t="str">
        <f>IF(AI200="","",OFERTA!$O200*AI200)</f>
        <v/>
      </c>
      <c r="AG200" s="21" t="str">
        <f t="shared" si="17"/>
        <v/>
      </c>
      <c r="AH200" s="216">
        <v>7.27</v>
      </c>
      <c r="AI200" s="216"/>
      <c r="AJ200" s="216" t="str">
        <f t="shared" si="18"/>
        <v/>
      </c>
      <c r="AK200" s="216" t="str">
        <f t="shared" si="19"/>
        <v/>
      </c>
      <c r="AL200" s="216" t="str">
        <f>IF(AJ200="","",OFERTA!$E200/AJ200)</f>
        <v/>
      </c>
      <c r="AR200" s="1"/>
    </row>
    <row r="201" spans="1:44" ht="17.25" hidden="1" thickBot="1" x14ac:dyDescent="0.35">
      <c r="A201" s="220"/>
      <c r="B201" s="227">
        <v>196</v>
      </c>
      <c r="C201" s="232"/>
      <c r="D201" s="21"/>
      <c r="E201" s="21"/>
      <c r="F201" s="23"/>
      <c r="G201" s="23" t="str">
        <f>IF(OFERTA!$C201="","",IF(OFERTA!$F201="","",OFERTA!$F201*OFERTA!$E201))</f>
        <v/>
      </c>
      <c r="H201" s="229" t="str">
        <f>+IF(OFERTA!$F201="","",OFERTA!$G201/OFERTA!$G$216)</f>
        <v/>
      </c>
      <c r="I201" s="230"/>
      <c r="J201" s="230"/>
      <c r="K201" s="230"/>
      <c r="L201" s="230" t="str">
        <f t="shared" si="16"/>
        <v/>
      </c>
      <c r="M201" s="231">
        <f>+'80'!$N$28+'80'!$N$47</f>
        <v>0</v>
      </c>
      <c r="N201" s="231">
        <f>+'80'!$M$28+'80'!$M$47</f>
        <v>0</v>
      </c>
      <c r="O201" s="231">
        <f>IF('80'!$G$39=0,0,'80'!$G$39)</f>
        <v>0</v>
      </c>
      <c r="P201" s="231">
        <f>IF('80'!$G$55=0,0,'80'!$G$55)</f>
        <v>0</v>
      </c>
      <c r="Q201" s="231">
        <f>+OFERTA!$M201+OFERTA!$N201+OFERTA!$O201+OFERTA!$P201</f>
        <v>0</v>
      </c>
      <c r="R201" s="23">
        <f>IF(OFERTA!$M201="","",OFERTA!$M201*OFERTA!$E201)</f>
        <v>0</v>
      </c>
      <c r="S201" s="23">
        <f>IF(OFERTA!$N201="","",OFERTA!$N201*OFERTA!$E201)</f>
        <v>0</v>
      </c>
      <c r="T201" s="23">
        <f>IF(OFERTA!$O201="","",OFERTA!$O201*OFERTA!$E201)</f>
        <v>0</v>
      </c>
      <c r="U201" s="23">
        <f>IF(OFERTA!$P201="","",OFERTA!$P201*OFERTA!$E201)</f>
        <v>0</v>
      </c>
      <c r="V201" s="23">
        <f>IF(OFERTA!$U201="","",OFERTA!$U201+OFERTA!$T201+OFERTA!$S201+OFERTA!$R201)</f>
        <v>0</v>
      </c>
      <c r="W201" s="22">
        <f>IF(OFERTA!$R201="","",OFERTA!$R201/OFERTA!$R$216)</f>
        <v>0</v>
      </c>
      <c r="X201" s="22">
        <f>IF(OFERTA!$S201="","",OFERTA!$S201/OFERTA!$S$216)</f>
        <v>0</v>
      </c>
      <c r="Y201" s="22">
        <f>IF(OFERTA!$T201="","",OFERTA!$T201/OFERTA!$T$216)</f>
        <v>0</v>
      </c>
      <c r="Z201" s="22">
        <f>IF(OFERTA!$U201="","",OFERTA!$U201/OFERTA!$U$216)</f>
        <v>0</v>
      </c>
      <c r="AA201" s="3"/>
      <c r="AB201" s="23" t="str">
        <f>IF(AI201="","",AI201*OFERTA!$Q201)</f>
        <v/>
      </c>
      <c r="AC201" s="23" t="str">
        <f>IF(AI201="","",OFERTA!$N201*AI201)</f>
        <v/>
      </c>
      <c r="AD201" s="23" t="str">
        <f>IF(AI201="","",OFERTA!$M201*AI201)</f>
        <v/>
      </c>
      <c r="AE201" s="23" t="str">
        <f>IF(AI201="","",OFERTA!$P201*AI201)</f>
        <v/>
      </c>
      <c r="AF201" s="23" t="str">
        <f>IF(AI201="","",OFERTA!$O201*AI201)</f>
        <v/>
      </c>
      <c r="AG201" s="21" t="str">
        <f t="shared" si="17"/>
        <v/>
      </c>
      <c r="AH201" s="216">
        <v>7.27</v>
      </c>
      <c r="AI201" s="216"/>
      <c r="AJ201" s="216" t="str">
        <f t="shared" si="18"/>
        <v/>
      </c>
      <c r="AK201" s="216" t="str">
        <f t="shared" si="19"/>
        <v/>
      </c>
      <c r="AL201" s="216" t="str">
        <f>IF(AJ201="","",OFERTA!$E201/AJ201)</f>
        <v/>
      </c>
      <c r="AR201" s="1"/>
    </row>
    <row r="202" spans="1:44" ht="17.25" hidden="1" thickBot="1" x14ac:dyDescent="0.35">
      <c r="A202" s="220"/>
      <c r="B202" s="227">
        <v>197</v>
      </c>
      <c r="C202" s="232"/>
      <c r="D202" s="21"/>
      <c r="E202" s="21"/>
      <c r="F202" s="23"/>
      <c r="G202" s="23" t="str">
        <f>IF(OFERTA!$C202="","",IF(OFERTA!$F202="","",OFERTA!$F202*OFERTA!$E202))</f>
        <v/>
      </c>
      <c r="H202" s="229" t="str">
        <f>+IF(OFERTA!$F202="","",OFERTA!$G202/OFERTA!$G$216)</f>
        <v/>
      </c>
      <c r="I202" s="230"/>
      <c r="J202" s="230"/>
      <c r="K202" s="230"/>
      <c r="L202" s="230" t="str">
        <f t="shared" si="16"/>
        <v/>
      </c>
      <c r="M202" s="231">
        <f>+'80'!$N$28+'80'!$N$47</f>
        <v>0</v>
      </c>
      <c r="N202" s="231">
        <f>+'80'!$M$28+'80'!$M$47</f>
        <v>0</v>
      </c>
      <c r="O202" s="231">
        <f>IF('80'!$G$39=0,0,'80'!$G$39)</f>
        <v>0</v>
      </c>
      <c r="P202" s="231">
        <f>IF('80'!$G$55=0,0,'80'!$G$55)</f>
        <v>0</v>
      </c>
      <c r="Q202" s="231">
        <f>+OFERTA!$M202+OFERTA!$N202+OFERTA!$O202+OFERTA!$P202</f>
        <v>0</v>
      </c>
      <c r="R202" s="23">
        <f>IF(OFERTA!$M202="","",OFERTA!$M202*OFERTA!$E202)</f>
        <v>0</v>
      </c>
      <c r="S202" s="23">
        <f>IF(OFERTA!$N202="","",OFERTA!$N202*OFERTA!$E202)</f>
        <v>0</v>
      </c>
      <c r="T202" s="23">
        <f>IF(OFERTA!$O202="","",OFERTA!$O202*OFERTA!$E202)</f>
        <v>0</v>
      </c>
      <c r="U202" s="23">
        <f>IF(OFERTA!$P202="","",OFERTA!$P202*OFERTA!$E202)</f>
        <v>0</v>
      </c>
      <c r="V202" s="23">
        <f>IF(OFERTA!$U202="","",OFERTA!$U202+OFERTA!$T202+OFERTA!$S202+OFERTA!$R202)</f>
        <v>0</v>
      </c>
      <c r="W202" s="22">
        <f>IF(OFERTA!$R202="","",OFERTA!$R202/OFERTA!$R$216)</f>
        <v>0</v>
      </c>
      <c r="X202" s="22">
        <f>IF(OFERTA!$S202="","",OFERTA!$S202/OFERTA!$S$216)</f>
        <v>0</v>
      </c>
      <c r="Y202" s="22">
        <f>IF(OFERTA!$T202="","",OFERTA!$T202/OFERTA!$T$216)</f>
        <v>0</v>
      </c>
      <c r="Z202" s="22">
        <f>IF(OFERTA!$U202="","",OFERTA!$U202/OFERTA!$U$216)</f>
        <v>0</v>
      </c>
      <c r="AA202" s="3"/>
      <c r="AB202" s="23" t="str">
        <f>IF(AI202="","",AI202*OFERTA!$Q202)</f>
        <v/>
      </c>
      <c r="AC202" s="23" t="str">
        <f>IF(AI202="","",OFERTA!$N202*AI202)</f>
        <v/>
      </c>
      <c r="AD202" s="23" t="str">
        <f>IF(AI202="","",OFERTA!$M202*AI202)</f>
        <v/>
      </c>
      <c r="AE202" s="23" t="str">
        <f>IF(AI202="","",OFERTA!$P202*AI202)</f>
        <v/>
      </c>
      <c r="AF202" s="23" t="str">
        <f>IF(AI202="","",OFERTA!$O202*AI202)</f>
        <v/>
      </c>
      <c r="AG202" s="21" t="str">
        <f t="shared" si="17"/>
        <v/>
      </c>
      <c r="AH202" s="216">
        <v>7.27</v>
      </c>
      <c r="AI202" s="216"/>
      <c r="AJ202" s="216" t="str">
        <f t="shared" si="18"/>
        <v/>
      </c>
      <c r="AK202" s="216" t="str">
        <f t="shared" si="19"/>
        <v/>
      </c>
      <c r="AL202" s="216" t="str">
        <f>IF(AJ202="","",OFERTA!$E202/AJ202)</f>
        <v/>
      </c>
      <c r="AR202" s="1"/>
    </row>
    <row r="203" spans="1:44" ht="17.25" hidden="1" thickBot="1" x14ac:dyDescent="0.35">
      <c r="A203" s="220"/>
      <c r="B203" s="227">
        <v>198</v>
      </c>
      <c r="C203" s="232"/>
      <c r="D203" s="21"/>
      <c r="E203" s="21"/>
      <c r="F203" s="23"/>
      <c r="G203" s="23" t="str">
        <f>IF(OFERTA!$C203="","",IF(OFERTA!$F203="","",OFERTA!$F203*OFERTA!$E203))</f>
        <v/>
      </c>
      <c r="H203" s="229" t="str">
        <f>+IF(OFERTA!$F203="","",OFERTA!$G203/OFERTA!$G$216)</f>
        <v/>
      </c>
      <c r="I203" s="230"/>
      <c r="J203" s="230"/>
      <c r="K203" s="230"/>
      <c r="L203" s="230" t="str">
        <f t="shared" si="16"/>
        <v/>
      </c>
      <c r="M203" s="231">
        <f>+'80'!$N$28+'80'!$N$47</f>
        <v>0</v>
      </c>
      <c r="N203" s="231">
        <f>+'80'!$M$28+'80'!$M$47</f>
        <v>0</v>
      </c>
      <c r="O203" s="231">
        <f>IF('80'!$G$39=0,0,'80'!$G$39)</f>
        <v>0</v>
      </c>
      <c r="P203" s="231">
        <f>IF('80'!$G$55=0,0,'80'!$G$55)</f>
        <v>0</v>
      </c>
      <c r="Q203" s="231">
        <f>+OFERTA!$M203+OFERTA!$N203+OFERTA!$O203+OFERTA!$P203</f>
        <v>0</v>
      </c>
      <c r="R203" s="23">
        <f>IF(OFERTA!$M203="","",OFERTA!$M203*OFERTA!$E203)</f>
        <v>0</v>
      </c>
      <c r="S203" s="23">
        <f>IF(OFERTA!$N203="","",OFERTA!$N203*OFERTA!$E203)</f>
        <v>0</v>
      </c>
      <c r="T203" s="23">
        <f>IF(OFERTA!$O203="","",OFERTA!$O203*OFERTA!$E203)</f>
        <v>0</v>
      </c>
      <c r="U203" s="23">
        <f>IF(OFERTA!$P203="","",OFERTA!$P203*OFERTA!$E203)</f>
        <v>0</v>
      </c>
      <c r="V203" s="23">
        <f>IF(OFERTA!$U203="","",OFERTA!$U203+OFERTA!$T203+OFERTA!$S203+OFERTA!$R203)</f>
        <v>0</v>
      </c>
      <c r="W203" s="22">
        <f>IF(OFERTA!$R203="","",OFERTA!$R203/OFERTA!$R$216)</f>
        <v>0</v>
      </c>
      <c r="X203" s="22">
        <f>IF(OFERTA!$S203="","",OFERTA!$S203/OFERTA!$S$216)</f>
        <v>0</v>
      </c>
      <c r="Y203" s="22">
        <f>IF(OFERTA!$T203="","",OFERTA!$T203/OFERTA!$T$216)</f>
        <v>0</v>
      </c>
      <c r="Z203" s="22">
        <f>IF(OFERTA!$U203="","",OFERTA!$U203/OFERTA!$U$216)</f>
        <v>0</v>
      </c>
      <c r="AA203" s="3"/>
      <c r="AB203" s="23" t="str">
        <f>IF(AI203="","",AI203*OFERTA!$Q203)</f>
        <v/>
      </c>
      <c r="AC203" s="23" t="str">
        <f>IF(AI203="","",OFERTA!$N203*AI203)</f>
        <v/>
      </c>
      <c r="AD203" s="23" t="str">
        <f>IF(AI203="","",OFERTA!$M203*AI203)</f>
        <v/>
      </c>
      <c r="AE203" s="23" t="str">
        <f>IF(AI203="","",OFERTA!$P203*AI203)</f>
        <v/>
      </c>
      <c r="AF203" s="23" t="str">
        <f>IF(AI203="","",OFERTA!$O203*AI203)</f>
        <v/>
      </c>
      <c r="AG203" s="21" t="str">
        <f t="shared" si="17"/>
        <v/>
      </c>
      <c r="AH203" s="216">
        <v>7.27</v>
      </c>
      <c r="AI203" s="216"/>
      <c r="AJ203" s="216" t="str">
        <f t="shared" si="18"/>
        <v/>
      </c>
      <c r="AK203" s="216" t="str">
        <f t="shared" si="19"/>
        <v/>
      </c>
      <c r="AL203" s="216" t="str">
        <f>IF(AJ203="","",OFERTA!$E203/AJ203)</f>
        <v/>
      </c>
      <c r="AR203" s="1"/>
    </row>
    <row r="204" spans="1:44" ht="17.25" hidden="1" thickBot="1" x14ac:dyDescent="0.35">
      <c r="A204" s="220"/>
      <c r="B204" s="227">
        <v>199</v>
      </c>
      <c r="C204" s="232"/>
      <c r="D204" s="21"/>
      <c r="E204" s="21"/>
      <c r="F204" s="23"/>
      <c r="G204" s="23" t="str">
        <f>IF(OFERTA!$C204="","",IF(OFERTA!$F204="","",OFERTA!$F204*OFERTA!$E204))</f>
        <v/>
      </c>
      <c r="H204" s="229" t="str">
        <f>+IF(OFERTA!$F204="","",OFERTA!$G204/OFERTA!$G$216)</f>
        <v/>
      </c>
      <c r="I204" s="230"/>
      <c r="J204" s="230"/>
      <c r="K204" s="230"/>
      <c r="L204" s="230" t="str">
        <f t="shared" si="16"/>
        <v/>
      </c>
      <c r="M204" s="231">
        <f>+'80'!$N$28+'80'!$N$47</f>
        <v>0</v>
      </c>
      <c r="N204" s="231">
        <f>+'80'!$M$28+'80'!$M$47</f>
        <v>0</v>
      </c>
      <c r="O204" s="231">
        <f>IF('80'!$G$39=0,0,'80'!$G$39)</f>
        <v>0</v>
      </c>
      <c r="P204" s="231">
        <f>IF('80'!$G$55=0,0,'80'!$G$55)</f>
        <v>0</v>
      </c>
      <c r="Q204" s="231">
        <f>+OFERTA!$M204+OFERTA!$N204+OFERTA!$O204+OFERTA!$P204</f>
        <v>0</v>
      </c>
      <c r="R204" s="23">
        <f>IF(OFERTA!$M204="","",OFERTA!$M204*OFERTA!$E204)</f>
        <v>0</v>
      </c>
      <c r="S204" s="23">
        <f>IF(OFERTA!$N204="","",OFERTA!$N204*OFERTA!$E204)</f>
        <v>0</v>
      </c>
      <c r="T204" s="23">
        <f>IF(OFERTA!$O204="","",OFERTA!$O204*OFERTA!$E204)</f>
        <v>0</v>
      </c>
      <c r="U204" s="23">
        <f>IF(OFERTA!$P204="","",OFERTA!$P204*OFERTA!$E204)</f>
        <v>0</v>
      </c>
      <c r="V204" s="23">
        <f>IF(OFERTA!$U204="","",OFERTA!$U204+OFERTA!$T204+OFERTA!$S204+OFERTA!$R204)</f>
        <v>0</v>
      </c>
      <c r="W204" s="22">
        <f>IF(OFERTA!$R204="","",OFERTA!$R204/OFERTA!$R$216)</f>
        <v>0</v>
      </c>
      <c r="X204" s="22">
        <f>IF(OFERTA!$S204="","",OFERTA!$S204/OFERTA!$S$216)</f>
        <v>0</v>
      </c>
      <c r="Y204" s="22">
        <f>IF(OFERTA!$T204="","",OFERTA!$T204/OFERTA!$T$216)</f>
        <v>0</v>
      </c>
      <c r="Z204" s="22">
        <f>IF(OFERTA!$U204="","",OFERTA!$U204/OFERTA!$U$216)</f>
        <v>0</v>
      </c>
      <c r="AA204" s="3"/>
      <c r="AB204" s="23" t="str">
        <f>IF(AI204="","",AI204*OFERTA!$Q204)</f>
        <v/>
      </c>
      <c r="AC204" s="23" t="str">
        <f>IF(AI204="","",OFERTA!$N204*AI204)</f>
        <v/>
      </c>
      <c r="AD204" s="23" t="str">
        <f>IF(AI204="","",OFERTA!$M204*AI204)</f>
        <v/>
      </c>
      <c r="AE204" s="23" t="str">
        <f>IF(AI204="","",OFERTA!$P204*AI204)</f>
        <v/>
      </c>
      <c r="AF204" s="23" t="str">
        <f>IF(AI204="","",OFERTA!$O204*AI204)</f>
        <v/>
      </c>
      <c r="AG204" s="21" t="str">
        <f t="shared" si="17"/>
        <v/>
      </c>
      <c r="AH204" s="216">
        <v>7.27</v>
      </c>
      <c r="AI204" s="216"/>
      <c r="AJ204" s="216" t="str">
        <f t="shared" si="18"/>
        <v/>
      </c>
      <c r="AK204" s="216" t="str">
        <f t="shared" si="19"/>
        <v/>
      </c>
      <c r="AL204" s="216" t="str">
        <f>IF(AJ204="","",OFERTA!$E204/AJ204)</f>
        <v/>
      </c>
      <c r="AR204" s="1"/>
    </row>
    <row r="205" spans="1:44" ht="17.25" hidden="1" thickBot="1" x14ac:dyDescent="0.35">
      <c r="A205" s="220"/>
      <c r="B205" s="227">
        <v>200</v>
      </c>
      <c r="C205" s="232"/>
      <c r="D205" s="21"/>
      <c r="E205" s="21"/>
      <c r="F205" s="23"/>
      <c r="G205" s="23" t="str">
        <f>IF(OFERTA!$C205="","",IF(OFERTA!$F205="","",OFERTA!$F205*OFERTA!$E205))</f>
        <v/>
      </c>
      <c r="H205" s="229" t="str">
        <f>+IF(OFERTA!$F205="","",OFERTA!$G205/OFERTA!$G$216)</f>
        <v/>
      </c>
      <c r="I205" s="230"/>
      <c r="J205" s="230"/>
      <c r="K205" s="230"/>
      <c r="L205" s="230" t="str">
        <f t="shared" si="16"/>
        <v/>
      </c>
      <c r="M205" s="231">
        <f>+'80'!$N$28+'80'!$N$47</f>
        <v>0</v>
      </c>
      <c r="N205" s="231">
        <f>+'80'!$M$28+'80'!$M$47</f>
        <v>0</v>
      </c>
      <c r="O205" s="231">
        <f>IF('80'!$G$39=0,0,'80'!$G$39)</f>
        <v>0</v>
      </c>
      <c r="P205" s="231">
        <f>IF('80'!$G$55=0,0,'80'!$G$55)</f>
        <v>0</v>
      </c>
      <c r="Q205" s="231">
        <f>+OFERTA!$M205+OFERTA!$N205+OFERTA!$O205+OFERTA!$P205</f>
        <v>0</v>
      </c>
      <c r="R205" s="23">
        <f>IF(OFERTA!$M205="","",OFERTA!$M205*OFERTA!$E205)</f>
        <v>0</v>
      </c>
      <c r="S205" s="23">
        <f>IF(OFERTA!$N205="","",OFERTA!$N205*OFERTA!$E205)</f>
        <v>0</v>
      </c>
      <c r="T205" s="23">
        <f>IF(OFERTA!$O205="","",OFERTA!$O205*OFERTA!$E205)</f>
        <v>0</v>
      </c>
      <c r="U205" s="23">
        <f>IF(OFERTA!$P205="","",OFERTA!$P205*OFERTA!$E205)</f>
        <v>0</v>
      </c>
      <c r="V205" s="23">
        <f>IF(OFERTA!$U205="","",OFERTA!$U205+OFERTA!$T205+OFERTA!$S205+OFERTA!$R205)</f>
        <v>0</v>
      </c>
      <c r="W205" s="22">
        <f>IF(OFERTA!$R205="","",OFERTA!$R205/OFERTA!$R$216)</f>
        <v>0</v>
      </c>
      <c r="X205" s="22">
        <f>IF(OFERTA!$S205="","",OFERTA!$S205/OFERTA!$S$216)</f>
        <v>0</v>
      </c>
      <c r="Y205" s="22">
        <f>IF(OFERTA!$T205="","",OFERTA!$T205/OFERTA!$T$216)</f>
        <v>0</v>
      </c>
      <c r="Z205" s="22">
        <f>IF(OFERTA!$U205="","",OFERTA!$U205/OFERTA!$U$216)</f>
        <v>0</v>
      </c>
      <c r="AA205" s="3"/>
      <c r="AB205" s="23" t="str">
        <f>IF(AI205="","",AI205*OFERTA!$Q205)</f>
        <v/>
      </c>
      <c r="AC205" s="23" t="str">
        <f>IF(AI205="","",OFERTA!$N205*AI205)</f>
        <v/>
      </c>
      <c r="AD205" s="23" t="str">
        <f>IF(AI205="","",OFERTA!$M205*AI205)</f>
        <v/>
      </c>
      <c r="AE205" s="23" t="str">
        <f>IF(AI205="","",OFERTA!$P205*AI205)</f>
        <v/>
      </c>
      <c r="AF205" s="23" t="str">
        <f>IF(AI205="","",OFERTA!$O205*AI205)</f>
        <v/>
      </c>
      <c r="AG205" s="21" t="str">
        <f t="shared" si="17"/>
        <v/>
      </c>
      <c r="AH205" s="216">
        <v>7.27</v>
      </c>
      <c r="AI205" s="216"/>
      <c r="AJ205" s="216" t="str">
        <f t="shared" si="18"/>
        <v/>
      </c>
      <c r="AK205" s="216" t="str">
        <f t="shared" si="19"/>
        <v/>
      </c>
      <c r="AL205" s="216" t="str">
        <f>IF(AJ205="","",OFERTA!$E205/AJ205)</f>
        <v/>
      </c>
      <c r="AR205" s="1"/>
    </row>
    <row r="206" spans="1:44" ht="17.25" hidden="1" thickBot="1" x14ac:dyDescent="0.35">
      <c r="A206" s="220"/>
      <c r="B206" s="227">
        <v>201</v>
      </c>
      <c r="C206" s="232"/>
      <c r="D206" s="21"/>
      <c r="E206" s="21"/>
      <c r="F206" s="23"/>
      <c r="G206" s="23" t="str">
        <f>IF(OFERTA!$C206="","",IF(OFERTA!$F206="","",OFERTA!$F206*OFERTA!$E206))</f>
        <v/>
      </c>
      <c r="H206" s="229" t="str">
        <f>+IF(OFERTA!$F206="","",OFERTA!$G206/OFERTA!$G$216)</f>
        <v/>
      </c>
      <c r="I206" s="230"/>
      <c r="J206" s="230"/>
      <c r="K206" s="230"/>
      <c r="L206" s="230" t="str">
        <f t="shared" si="16"/>
        <v/>
      </c>
      <c r="M206" s="231">
        <f>+'80'!$N$28+'80'!$N$47</f>
        <v>0</v>
      </c>
      <c r="N206" s="231">
        <f>+'80'!$M$28+'80'!$M$47</f>
        <v>0</v>
      </c>
      <c r="O206" s="231">
        <f>IF('80'!$G$39=0,0,'80'!$G$39)</f>
        <v>0</v>
      </c>
      <c r="P206" s="231">
        <f>IF('80'!$G$55=0,0,'80'!$G$55)</f>
        <v>0</v>
      </c>
      <c r="Q206" s="231">
        <f>+OFERTA!$M206+OFERTA!$N206+OFERTA!$O206+OFERTA!$P206</f>
        <v>0</v>
      </c>
      <c r="R206" s="23">
        <f>IF(OFERTA!$M206="","",OFERTA!$M206*OFERTA!$E206)</f>
        <v>0</v>
      </c>
      <c r="S206" s="23">
        <f>IF(OFERTA!$N206="","",OFERTA!$N206*OFERTA!$E206)</f>
        <v>0</v>
      </c>
      <c r="T206" s="23">
        <f>IF(OFERTA!$O206="","",OFERTA!$O206*OFERTA!$E206)</f>
        <v>0</v>
      </c>
      <c r="U206" s="23">
        <f>IF(OFERTA!$P206="","",OFERTA!$P206*OFERTA!$E206)</f>
        <v>0</v>
      </c>
      <c r="V206" s="23">
        <f>IF(OFERTA!$U206="","",OFERTA!$U206+OFERTA!$T206+OFERTA!$S206+OFERTA!$R206)</f>
        <v>0</v>
      </c>
      <c r="W206" s="22">
        <f>IF(OFERTA!$R206="","",OFERTA!$R206/OFERTA!$R$216)</f>
        <v>0</v>
      </c>
      <c r="X206" s="22">
        <f>IF(OFERTA!$S206="","",OFERTA!$S206/OFERTA!$S$216)</f>
        <v>0</v>
      </c>
      <c r="Y206" s="22">
        <f>IF(OFERTA!$T206="","",OFERTA!$T206/OFERTA!$T$216)</f>
        <v>0</v>
      </c>
      <c r="Z206" s="22">
        <f>IF(OFERTA!$U206="","",OFERTA!$U206/OFERTA!$U$216)</f>
        <v>0</v>
      </c>
      <c r="AA206" s="3"/>
      <c r="AB206" s="23" t="str">
        <f>IF(AI206="","",AI206*OFERTA!$Q206)</f>
        <v/>
      </c>
      <c r="AC206" s="23" t="str">
        <f>IF(AI206="","",OFERTA!$N206*AI206)</f>
        <v/>
      </c>
      <c r="AD206" s="23" t="str">
        <f>IF(AI206="","",OFERTA!$M206*AI206)</f>
        <v/>
      </c>
      <c r="AE206" s="23" t="str">
        <f>IF(AI206="","",OFERTA!$P206*AI206)</f>
        <v/>
      </c>
      <c r="AF206" s="23" t="str">
        <f>IF(AI206="","",OFERTA!$O206*AI206)</f>
        <v/>
      </c>
      <c r="AG206" s="21" t="str">
        <f t="shared" si="17"/>
        <v/>
      </c>
      <c r="AH206" s="216">
        <v>7.27</v>
      </c>
      <c r="AI206" s="216"/>
      <c r="AJ206" s="216" t="str">
        <f t="shared" si="18"/>
        <v/>
      </c>
      <c r="AK206" s="216" t="str">
        <f t="shared" si="19"/>
        <v/>
      </c>
      <c r="AL206" s="216" t="str">
        <f>IF(AJ206="","",OFERTA!$E206/AJ206)</f>
        <v/>
      </c>
      <c r="AR206" s="1"/>
    </row>
    <row r="207" spans="1:44" ht="17.25" hidden="1" thickBot="1" x14ac:dyDescent="0.35">
      <c r="A207" s="220"/>
      <c r="B207" s="227">
        <v>202</v>
      </c>
      <c r="C207" s="232"/>
      <c r="D207" s="21"/>
      <c r="E207" s="21"/>
      <c r="F207" s="23"/>
      <c r="G207" s="23" t="str">
        <f>IF(OFERTA!$C207="","",IF(OFERTA!$F207="","",OFERTA!$F207*OFERTA!$E207))</f>
        <v/>
      </c>
      <c r="H207" s="229" t="str">
        <f>+IF(OFERTA!$F207="","",OFERTA!$G207/OFERTA!$G$216)</f>
        <v/>
      </c>
      <c r="I207" s="230"/>
      <c r="J207" s="230"/>
      <c r="K207" s="230"/>
      <c r="L207" s="230" t="str">
        <f t="shared" si="16"/>
        <v/>
      </c>
      <c r="M207" s="231">
        <f>+'80'!$N$28+'80'!$N$47</f>
        <v>0</v>
      </c>
      <c r="N207" s="231">
        <f>+'80'!$M$28+'80'!$M$47</f>
        <v>0</v>
      </c>
      <c r="O207" s="231">
        <f>IF('80'!$G$39=0,0,'80'!$G$39)</f>
        <v>0</v>
      </c>
      <c r="P207" s="231">
        <f>IF('80'!$G$55=0,0,'80'!$G$55)</f>
        <v>0</v>
      </c>
      <c r="Q207" s="231">
        <f>+OFERTA!$M207+OFERTA!$N207+OFERTA!$O207+OFERTA!$P207</f>
        <v>0</v>
      </c>
      <c r="R207" s="23">
        <f>IF(OFERTA!$M207="","",OFERTA!$M207*OFERTA!$E207)</f>
        <v>0</v>
      </c>
      <c r="S207" s="23">
        <f>IF(OFERTA!$N207="","",OFERTA!$N207*OFERTA!$E207)</f>
        <v>0</v>
      </c>
      <c r="T207" s="23">
        <f>IF(OFERTA!$O207="","",OFERTA!$O207*OFERTA!$E207)</f>
        <v>0</v>
      </c>
      <c r="U207" s="23">
        <f>IF(OFERTA!$P207="","",OFERTA!$P207*OFERTA!$E207)</f>
        <v>0</v>
      </c>
      <c r="V207" s="23">
        <f>IF(OFERTA!$U207="","",OFERTA!$U207+OFERTA!$T207+OFERTA!$S207+OFERTA!$R207)</f>
        <v>0</v>
      </c>
      <c r="W207" s="22">
        <f>IF(OFERTA!$R207="","",OFERTA!$R207/OFERTA!$R$216)</f>
        <v>0</v>
      </c>
      <c r="X207" s="22">
        <f>IF(OFERTA!$S207="","",OFERTA!$S207/OFERTA!$S$216)</f>
        <v>0</v>
      </c>
      <c r="Y207" s="22">
        <f>IF(OFERTA!$T207="","",OFERTA!$T207/OFERTA!$T$216)</f>
        <v>0</v>
      </c>
      <c r="Z207" s="22">
        <f>IF(OFERTA!$U207="","",OFERTA!$U207/OFERTA!$U$216)</f>
        <v>0</v>
      </c>
      <c r="AA207" s="3"/>
      <c r="AB207" s="23" t="str">
        <f>IF(AI207="","",AI207*OFERTA!$Q207)</f>
        <v/>
      </c>
      <c r="AC207" s="23" t="str">
        <f>IF(AI207="","",OFERTA!$N207*AI207)</f>
        <v/>
      </c>
      <c r="AD207" s="23" t="str">
        <f>IF(AI207="","",OFERTA!$M207*AI207)</f>
        <v/>
      </c>
      <c r="AE207" s="23" t="str">
        <f>IF(AI207="","",OFERTA!$P207*AI207)</f>
        <v/>
      </c>
      <c r="AF207" s="23" t="str">
        <f>IF(AI207="","",OFERTA!$O207*AI207)</f>
        <v/>
      </c>
      <c r="AG207" s="21" t="str">
        <f t="shared" si="17"/>
        <v/>
      </c>
      <c r="AH207" s="216">
        <v>7.27</v>
      </c>
      <c r="AI207" s="216"/>
      <c r="AJ207" s="216" t="str">
        <f t="shared" si="18"/>
        <v/>
      </c>
      <c r="AK207" s="216" t="str">
        <f t="shared" si="19"/>
        <v/>
      </c>
      <c r="AL207" s="216" t="str">
        <f>IF(AJ207="","",OFERTA!$E207/AJ207)</f>
        <v/>
      </c>
      <c r="AR207" s="1"/>
    </row>
    <row r="208" spans="1:44" ht="17.25" hidden="1" thickBot="1" x14ac:dyDescent="0.35">
      <c r="A208" s="220"/>
      <c r="B208" s="227">
        <v>203</v>
      </c>
      <c r="C208" s="232"/>
      <c r="D208" s="21"/>
      <c r="E208" s="21"/>
      <c r="F208" s="23"/>
      <c r="G208" s="23" t="str">
        <f>IF(OFERTA!$C208="","",IF(OFERTA!$F208="","",OFERTA!$F208*OFERTA!$E208))</f>
        <v/>
      </c>
      <c r="H208" s="229" t="str">
        <f>+IF(OFERTA!$F208="","",OFERTA!$G208/OFERTA!$G$216)</f>
        <v/>
      </c>
      <c r="I208" s="230"/>
      <c r="J208" s="230"/>
      <c r="K208" s="230"/>
      <c r="L208" s="230" t="str">
        <f t="shared" si="16"/>
        <v/>
      </c>
      <c r="M208" s="231">
        <f>+'80'!$N$28+'80'!$N$47</f>
        <v>0</v>
      </c>
      <c r="N208" s="231">
        <f>+'80'!$M$28+'80'!$M$47</f>
        <v>0</v>
      </c>
      <c r="O208" s="231">
        <f>IF('80'!$G$39=0,0,'80'!$G$39)</f>
        <v>0</v>
      </c>
      <c r="P208" s="231">
        <f>IF('80'!$G$55=0,0,'80'!$G$55)</f>
        <v>0</v>
      </c>
      <c r="Q208" s="231">
        <f>+OFERTA!$M208+OFERTA!$N208+OFERTA!$O208+OFERTA!$P208</f>
        <v>0</v>
      </c>
      <c r="R208" s="23">
        <f>IF(OFERTA!$M208="","",OFERTA!$M208*OFERTA!$E208)</f>
        <v>0</v>
      </c>
      <c r="S208" s="23">
        <f>IF(OFERTA!$N208="","",OFERTA!$N208*OFERTA!$E208)</f>
        <v>0</v>
      </c>
      <c r="T208" s="23">
        <f>IF(OFERTA!$O208="","",OFERTA!$O208*OFERTA!$E208)</f>
        <v>0</v>
      </c>
      <c r="U208" s="23">
        <f>IF(OFERTA!$P208="","",OFERTA!$P208*OFERTA!$E208)</f>
        <v>0</v>
      </c>
      <c r="V208" s="23">
        <f>IF(OFERTA!$U208="","",OFERTA!$U208+OFERTA!$T208+OFERTA!$S208+OFERTA!$R208)</f>
        <v>0</v>
      </c>
      <c r="W208" s="22">
        <f>IF(OFERTA!$R208="","",OFERTA!$R208/OFERTA!$R$216)</f>
        <v>0</v>
      </c>
      <c r="X208" s="22">
        <f>IF(OFERTA!$S208="","",OFERTA!$S208/OFERTA!$S$216)</f>
        <v>0</v>
      </c>
      <c r="Y208" s="22">
        <f>IF(OFERTA!$T208="","",OFERTA!$T208/OFERTA!$T$216)</f>
        <v>0</v>
      </c>
      <c r="Z208" s="22">
        <f>IF(OFERTA!$U208="","",OFERTA!$U208/OFERTA!$U$216)</f>
        <v>0</v>
      </c>
      <c r="AA208" s="3"/>
      <c r="AB208" s="23" t="str">
        <f>IF(AI208="","",AI208*OFERTA!$Q208)</f>
        <v/>
      </c>
      <c r="AC208" s="23" t="str">
        <f>IF(AI208="","",OFERTA!$N208*AI208)</f>
        <v/>
      </c>
      <c r="AD208" s="23" t="str">
        <f>IF(AI208="","",OFERTA!$M208*AI208)</f>
        <v/>
      </c>
      <c r="AE208" s="23" t="str">
        <f>IF(AI208="","",OFERTA!$P208*AI208)</f>
        <v/>
      </c>
      <c r="AF208" s="23" t="str">
        <f>IF(AI208="","",OFERTA!$O208*AI208)</f>
        <v/>
      </c>
      <c r="AG208" s="21" t="str">
        <f t="shared" si="17"/>
        <v/>
      </c>
      <c r="AH208" s="216">
        <v>7.27</v>
      </c>
      <c r="AI208" s="216"/>
      <c r="AJ208" s="216" t="str">
        <f t="shared" si="18"/>
        <v/>
      </c>
      <c r="AK208" s="216" t="str">
        <f t="shared" si="19"/>
        <v/>
      </c>
      <c r="AL208" s="216" t="str">
        <f>IF(AJ208="","",OFERTA!$E208/AJ208)</f>
        <v/>
      </c>
      <c r="AR208" s="1"/>
    </row>
    <row r="209" spans="1:44" ht="17.25" hidden="1" thickBot="1" x14ac:dyDescent="0.35">
      <c r="A209" s="220"/>
      <c r="B209" s="227">
        <v>204</v>
      </c>
      <c r="C209" s="232"/>
      <c r="D209" s="21"/>
      <c r="E209" s="21"/>
      <c r="F209" s="23"/>
      <c r="G209" s="23" t="str">
        <f>IF(OFERTA!$C209="","",IF(OFERTA!$F209="","",OFERTA!$F209*OFERTA!$E209))</f>
        <v/>
      </c>
      <c r="H209" s="229" t="str">
        <f>+IF(OFERTA!$F209="","",OFERTA!$G209/OFERTA!$G$216)</f>
        <v/>
      </c>
      <c r="I209" s="230"/>
      <c r="J209" s="230"/>
      <c r="K209" s="230"/>
      <c r="L209" s="230" t="str">
        <f t="shared" si="16"/>
        <v/>
      </c>
      <c r="M209" s="231">
        <f>+'80'!$N$28+'80'!$N$47</f>
        <v>0</v>
      </c>
      <c r="N209" s="231">
        <f>+'80'!$M$28+'80'!$M$47</f>
        <v>0</v>
      </c>
      <c r="O209" s="231">
        <f>IF('80'!$G$39=0,0,'80'!$G$39)</f>
        <v>0</v>
      </c>
      <c r="P209" s="231">
        <f>IF('80'!$G$55=0,0,'80'!$G$55)</f>
        <v>0</v>
      </c>
      <c r="Q209" s="231">
        <f>+OFERTA!$M209+OFERTA!$N209+OFERTA!$O209+OFERTA!$P209</f>
        <v>0</v>
      </c>
      <c r="R209" s="23">
        <f>IF(OFERTA!$M209="","",OFERTA!$M209*OFERTA!$E209)</f>
        <v>0</v>
      </c>
      <c r="S209" s="23">
        <f>IF(OFERTA!$N209="","",OFERTA!$N209*OFERTA!$E209)</f>
        <v>0</v>
      </c>
      <c r="T209" s="23">
        <f>IF(OFERTA!$O209="","",OFERTA!$O209*OFERTA!$E209)</f>
        <v>0</v>
      </c>
      <c r="U209" s="23">
        <f>IF(OFERTA!$P209="","",OFERTA!$P209*OFERTA!$E209)</f>
        <v>0</v>
      </c>
      <c r="V209" s="23">
        <f>IF(OFERTA!$U209="","",OFERTA!$U209+OFERTA!$T209+OFERTA!$S209+OFERTA!$R209)</f>
        <v>0</v>
      </c>
      <c r="W209" s="22">
        <f>IF(OFERTA!$R209="","",OFERTA!$R209/OFERTA!$R$216)</f>
        <v>0</v>
      </c>
      <c r="X209" s="22">
        <f>IF(OFERTA!$S209="","",OFERTA!$S209/OFERTA!$S$216)</f>
        <v>0</v>
      </c>
      <c r="Y209" s="22">
        <f>IF(OFERTA!$T209="","",OFERTA!$T209/OFERTA!$T$216)</f>
        <v>0</v>
      </c>
      <c r="Z209" s="22">
        <f>IF(OFERTA!$U209="","",OFERTA!$U209/OFERTA!$U$216)</f>
        <v>0</v>
      </c>
      <c r="AA209" s="3"/>
      <c r="AB209" s="23" t="str">
        <f>IF(AI209="","",AI209*OFERTA!$Q209)</f>
        <v/>
      </c>
      <c r="AC209" s="23" t="str">
        <f>IF(AI209="","",OFERTA!$N209*AI209)</f>
        <v/>
      </c>
      <c r="AD209" s="23" t="str">
        <f>IF(AI209="","",OFERTA!$M209*AI209)</f>
        <v/>
      </c>
      <c r="AE209" s="23" t="str">
        <f>IF(AI209="","",OFERTA!$P209*AI209)</f>
        <v/>
      </c>
      <c r="AF209" s="23" t="str">
        <f>IF(AI209="","",OFERTA!$O209*AI209)</f>
        <v/>
      </c>
      <c r="AG209" s="21" t="str">
        <f t="shared" si="17"/>
        <v/>
      </c>
      <c r="AH209" s="216">
        <v>7.27</v>
      </c>
      <c r="AI209" s="216"/>
      <c r="AJ209" s="216" t="str">
        <f t="shared" si="18"/>
        <v/>
      </c>
      <c r="AK209" s="216" t="str">
        <f t="shared" si="19"/>
        <v/>
      </c>
      <c r="AL209" s="216" t="str">
        <f>IF(AJ209="","",OFERTA!$E209/AJ209)</f>
        <v/>
      </c>
      <c r="AR209" s="1"/>
    </row>
    <row r="210" spans="1:44" ht="17.25" hidden="1" thickBot="1" x14ac:dyDescent="0.35">
      <c r="A210" s="220"/>
      <c r="B210" s="227">
        <v>205</v>
      </c>
      <c r="C210" s="232"/>
      <c r="D210" s="21"/>
      <c r="E210" s="21"/>
      <c r="F210" s="23"/>
      <c r="G210" s="23" t="str">
        <f>IF(OFERTA!$C210="","",IF(OFERTA!$F210="","",OFERTA!$F210*OFERTA!$E210))</f>
        <v/>
      </c>
      <c r="H210" s="229" t="str">
        <f>+IF(OFERTA!$F210="","",OFERTA!$G210/OFERTA!$G$216)</f>
        <v/>
      </c>
      <c r="I210" s="230"/>
      <c r="J210" s="230"/>
      <c r="K210" s="230"/>
      <c r="L210" s="230" t="str">
        <f t="shared" si="16"/>
        <v/>
      </c>
      <c r="M210" s="231">
        <f>+'80'!$N$28+'80'!$N$47</f>
        <v>0</v>
      </c>
      <c r="N210" s="231">
        <f>+'80'!$M$28+'80'!$M$47</f>
        <v>0</v>
      </c>
      <c r="O210" s="231">
        <f>IF('80'!$G$39=0,0,'80'!$G$39)</f>
        <v>0</v>
      </c>
      <c r="P210" s="231">
        <f>IF('80'!$G$55=0,0,'80'!$G$55)</f>
        <v>0</v>
      </c>
      <c r="Q210" s="231">
        <f>+OFERTA!$M210+OFERTA!$N210+OFERTA!$O210+OFERTA!$P210</f>
        <v>0</v>
      </c>
      <c r="R210" s="23">
        <f>IF(OFERTA!$M210="","",OFERTA!$M210*OFERTA!$E210)</f>
        <v>0</v>
      </c>
      <c r="S210" s="23">
        <f>IF(OFERTA!$N210="","",OFERTA!$N210*OFERTA!$E210)</f>
        <v>0</v>
      </c>
      <c r="T210" s="23">
        <f>IF(OFERTA!$O210="","",OFERTA!$O210*OFERTA!$E210)</f>
        <v>0</v>
      </c>
      <c r="U210" s="23">
        <f>IF(OFERTA!$P210="","",OFERTA!$P210*OFERTA!$E210)</f>
        <v>0</v>
      </c>
      <c r="V210" s="23">
        <f>IF(OFERTA!$U210="","",OFERTA!$U210+OFERTA!$T210+OFERTA!$S210+OFERTA!$R210)</f>
        <v>0</v>
      </c>
      <c r="W210" s="22">
        <f>IF(OFERTA!$R210="","",OFERTA!$R210/OFERTA!$R$216)</f>
        <v>0</v>
      </c>
      <c r="X210" s="22">
        <f>IF(OFERTA!$S210="","",OFERTA!$S210/OFERTA!$S$216)</f>
        <v>0</v>
      </c>
      <c r="Y210" s="22">
        <f>IF(OFERTA!$T210="","",OFERTA!$T210/OFERTA!$T$216)</f>
        <v>0</v>
      </c>
      <c r="Z210" s="22">
        <f>IF(OFERTA!$U210="","",OFERTA!$U210/OFERTA!$U$216)</f>
        <v>0</v>
      </c>
      <c r="AA210" s="3"/>
      <c r="AB210" s="23" t="str">
        <f>IF(AI210="","",AI210*OFERTA!$Q210)</f>
        <v/>
      </c>
      <c r="AC210" s="23" t="str">
        <f>IF(AI210="","",OFERTA!$N210*AI210)</f>
        <v/>
      </c>
      <c r="AD210" s="23" t="str">
        <f>IF(AI210="","",OFERTA!$M210*AI210)</f>
        <v/>
      </c>
      <c r="AE210" s="23" t="str">
        <f>IF(AI210="","",OFERTA!$P210*AI210)</f>
        <v/>
      </c>
      <c r="AF210" s="23" t="str">
        <f>IF(AI210="","",OFERTA!$O210*AI210)</f>
        <v/>
      </c>
      <c r="AG210" s="21" t="str">
        <f t="shared" si="17"/>
        <v/>
      </c>
      <c r="AH210" s="216">
        <v>7.27</v>
      </c>
      <c r="AI210" s="216"/>
      <c r="AJ210" s="216" t="str">
        <f t="shared" si="18"/>
        <v/>
      </c>
      <c r="AK210" s="216" t="str">
        <f t="shared" si="19"/>
        <v/>
      </c>
      <c r="AL210" s="216" t="str">
        <f>IF(AJ210="","",OFERTA!$E210/AJ210)</f>
        <v/>
      </c>
      <c r="AR210" s="1"/>
    </row>
    <row r="211" spans="1:44" ht="17.25" hidden="1" thickBot="1" x14ac:dyDescent="0.35">
      <c r="A211" s="220"/>
      <c r="B211" s="227">
        <v>206</v>
      </c>
      <c r="C211" s="232"/>
      <c r="D211" s="21"/>
      <c r="E211" s="21"/>
      <c r="F211" s="23"/>
      <c r="G211" s="23" t="str">
        <f>IF(OFERTA!$C211="","",IF(OFERTA!$F211="","",OFERTA!$F211*OFERTA!$E211))</f>
        <v/>
      </c>
      <c r="H211" s="229" t="str">
        <f>+IF(OFERTA!$F211="","",OFERTA!$G211/OFERTA!$G$216)</f>
        <v/>
      </c>
      <c r="I211" s="230"/>
      <c r="J211" s="230"/>
      <c r="K211" s="230"/>
      <c r="L211" s="230" t="str">
        <f t="shared" si="16"/>
        <v/>
      </c>
      <c r="M211" s="231">
        <f>+'80'!$N$28+'80'!$N$47</f>
        <v>0</v>
      </c>
      <c r="N211" s="231">
        <f>+'80'!$M$28+'80'!$M$47</f>
        <v>0</v>
      </c>
      <c r="O211" s="231">
        <f>IF('80'!$G$39=0,0,'80'!$G$39)</f>
        <v>0</v>
      </c>
      <c r="P211" s="231">
        <f>IF('80'!$G$55=0,0,'80'!$G$55)</f>
        <v>0</v>
      </c>
      <c r="Q211" s="231">
        <f>+OFERTA!$M211+OFERTA!$N211+OFERTA!$O211+OFERTA!$P211</f>
        <v>0</v>
      </c>
      <c r="R211" s="23">
        <f>IF(OFERTA!$M211="","",OFERTA!$M211*OFERTA!$E211)</f>
        <v>0</v>
      </c>
      <c r="S211" s="23">
        <f>IF(OFERTA!$N211="","",OFERTA!$N211*OFERTA!$E211)</f>
        <v>0</v>
      </c>
      <c r="T211" s="23">
        <f>IF(OFERTA!$O211="","",OFERTA!$O211*OFERTA!$E211)</f>
        <v>0</v>
      </c>
      <c r="U211" s="23">
        <f>IF(OFERTA!$P211="","",OFERTA!$P211*OFERTA!$E211)</f>
        <v>0</v>
      </c>
      <c r="V211" s="23">
        <f>IF(OFERTA!$U211="","",OFERTA!$U211+OFERTA!$T211+OFERTA!$S211+OFERTA!$R211)</f>
        <v>0</v>
      </c>
      <c r="W211" s="22">
        <f>IF(OFERTA!$R211="","",OFERTA!$R211/OFERTA!$R$216)</f>
        <v>0</v>
      </c>
      <c r="X211" s="22">
        <f>IF(OFERTA!$S211="","",OFERTA!$S211/OFERTA!$S$216)</f>
        <v>0</v>
      </c>
      <c r="Y211" s="22">
        <f>IF(OFERTA!$T211="","",OFERTA!$T211/OFERTA!$T$216)</f>
        <v>0</v>
      </c>
      <c r="Z211" s="22">
        <f>IF(OFERTA!$U211="","",OFERTA!$U211/OFERTA!$U$216)</f>
        <v>0</v>
      </c>
      <c r="AA211" s="3"/>
      <c r="AB211" s="23" t="str">
        <f>IF(AI211="","",AI211*OFERTA!$Q211)</f>
        <v/>
      </c>
      <c r="AC211" s="23" t="str">
        <f>IF(AI211="","",OFERTA!$N211*AI211)</f>
        <v/>
      </c>
      <c r="AD211" s="23" t="str">
        <f>IF(AI211="","",OFERTA!$M211*AI211)</f>
        <v/>
      </c>
      <c r="AE211" s="23" t="str">
        <f>IF(AI211="","",OFERTA!$P211*AI211)</f>
        <v/>
      </c>
      <c r="AF211" s="23" t="str">
        <f>IF(AI211="","",OFERTA!$O211*AI211)</f>
        <v/>
      </c>
      <c r="AG211" s="21" t="str">
        <f t="shared" si="17"/>
        <v/>
      </c>
      <c r="AH211" s="216">
        <v>7.27</v>
      </c>
      <c r="AI211" s="216"/>
      <c r="AJ211" s="216" t="str">
        <f t="shared" si="18"/>
        <v/>
      </c>
      <c r="AK211" s="216" t="str">
        <f t="shared" si="19"/>
        <v/>
      </c>
      <c r="AL211" s="216" t="str">
        <f>IF(AJ211="","",OFERTA!$E211/AJ211)</f>
        <v/>
      </c>
      <c r="AR211" s="1"/>
    </row>
    <row r="212" spans="1:44" ht="17.25" hidden="1" thickBot="1" x14ac:dyDescent="0.35">
      <c r="A212" s="220"/>
      <c r="B212" s="227">
        <v>207</v>
      </c>
      <c r="C212" s="232"/>
      <c r="D212" s="21"/>
      <c r="E212" s="21"/>
      <c r="F212" s="23"/>
      <c r="G212" s="23" t="str">
        <f>IF(OFERTA!$C212="","",IF(OFERTA!$F212="","",OFERTA!$F212*OFERTA!$E212))</f>
        <v/>
      </c>
      <c r="H212" s="229" t="str">
        <f>+IF(OFERTA!$F212="","",OFERTA!$G212/OFERTA!$G$216)</f>
        <v/>
      </c>
      <c r="I212" s="230"/>
      <c r="J212" s="230"/>
      <c r="K212" s="230"/>
      <c r="L212" s="230" t="str">
        <f t="shared" si="16"/>
        <v/>
      </c>
      <c r="M212" s="231">
        <f>+'80'!$N$28+'80'!$N$47</f>
        <v>0</v>
      </c>
      <c r="N212" s="231">
        <f>+'80'!$M$28+'80'!$M$47</f>
        <v>0</v>
      </c>
      <c r="O212" s="231">
        <f>IF('80'!$G$39=0,0,'80'!$G$39)</f>
        <v>0</v>
      </c>
      <c r="P212" s="231">
        <f>IF('80'!$G$55=0,0,'80'!$G$55)</f>
        <v>0</v>
      </c>
      <c r="Q212" s="231">
        <f>+OFERTA!$M212+OFERTA!$N212+OFERTA!$O212+OFERTA!$P212</f>
        <v>0</v>
      </c>
      <c r="R212" s="23">
        <f>IF(OFERTA!$M212="","",OFERTA!$M212*OFERTA!$E212)</f>
        <v>0</v>
      </c>
      <c r="S212" s="23">
        <f>IF(OFERTA!$N212="","",OFERTA!$N212*OFERTA!$E212)</f>
        <v>0</v>
      </c>
      <c r="T212" s="23">
        <f>IF(OFERTA!$O212="","",OFERTA!$O212*OFERTA!$E212)</f>
        <v>0</v>
      </c>
      <c r="U212" s="23">
        <f>IF(OFERTA!$P212="","",OFERTA!$P212*OFERTA!$E212)</f>
        <v>0</v>
      </c>
      <c r="V212" s="23">
        <f>IF(OFERTA!$U212="","",OFERTA!$U212+OFERTA!$T212+OFERTA!$S212+OFERTA!$R212)</f>
        <v>0</v>
      </c>
      <c r="W212" s="22">
        <f>IF(OFERTA!$R212="","",OFERTA!$R212/OFERTA!$R$216)</f>
        <v>0</v>
      </c>
      <c r="X212" s="22">
        <f>IF(OFERTA!$S212="","",OFERTA!$S212/OFERTA!$S$216)</f>
        <v>0</v>
      </c>
      <c r="Y212" s="22">
        <f>IF(OFERTA!$T212="","",OFERTA!$T212/OFERTA!$T$216)</f>
        <v>0</v>
      </c>
      <c r="Z212" s="22">
        <f>IF(OFERTA!$U212="","",OFERTA!$U212/OFERTA!$U$216)</f>
        <v>0</v>
      </c>
      <c r="AA212" s="3"/>
      <c r="AB212" s="23" t="str">
        <f>IF(AI212="","",AI212*OFERTA!$Q212)</f>
        <v/>
      </c>
      <c r="AC212" s="23" t="str">
        <f>IF(AI212="","",OFERTA!$N212*AI212)</f>
        <v/>
      </c>
      <c r="AD212" s="23" t="str">
        <f>IF(AI212="","",OFERTA!$M212*AI212)</f>
        <v/>
      </c>
      <c r="AE212" s="23" t="str">
        <f>IF(AI212="","",OFERTA!$P212*AI212)</f>
        <v/>
      </c>
      <c r="AF212" s="23" t="str">
        <f>IF(AI212="","",OFERTA!$O212*AI212)</f>
        <v/>
      </c>
      <c r="AG212" s="21" t="str">
        <f t="shared" si="17"/>
        <v/>
      </c>
      <c r="AH212" s="216">
        <v>7.27</v>
      </c>
      <c r="AI212" s="216"/>
      <c r="AJ212" s="216" t="str">
        <f t="shared" si="18"/>
        <v/>
      </c>
      <c r="AK212" s="216" t="str">
        <f t="shared" si="19"/>
        <v/>
      </c>
      <c r="AL212" s="216" t="str">
        <f>IF(AJ212="","",OFERTA!$E212/AJ212)</f>
        <v/>
      </c>
    </row>
    <row r="213" spans="1:44" ht="17.25" hidden="1" thickBot="1" x14ac:dyDescent="0.35">
      <c r="A213" s="220"/>
      <c r="B213" s="227">
        <v>208</v>
      </c>
      <c r="C213" s="232"/>
      <c r="D213" s="21"/>
      <c r="E213" s="21"/>
      <c r="F213" s="23"/>
      <c r="G213" s="23" t="str">
        <f>IF(OFERTA!$C213="","",IF(OFERTA!$F213="","",OFERTA!$F213*OFERTA!$E213))</f>
        <v/>
      </c>
      <c r="H213" s="229" t="str">
        <f>+IF(OFERTA!$F213="","",OFERTA!$G213/OFERTA!$G$216)</f>
        <v/>
      </c>
      <c r="I213" s="230"/>
      <c r="J213" s="230"/>
      <c r="K213" s="230"/>
      <c r="L213" s="230" t="str">
        <f t="shared" si="16"/>
        <v/>
      </c>
      <c r="M213" s="231">
        <f>+'80'!$N$28+'80'!$N$47</f>
        <v>0</v>
      </c>
      <c r="N213" s="231">
        <f>+'80'!$M$28+'80'!$M$47</f>
        <v>0</v>
      </c>
      <c r="O213" s="231">
        <f>IF('80'!$G$39=0,0,'80'!$G$39)</f>
        <v>0</v>
      </c>
      <c r="P213" s="231">
        <f>IF('80'!$G$55=0,0,'80'!$G$55)</f>
        <v>0</v>
      </c>
      <c r="Q213" s="231">
        <f>+OFERTA!$M213+OFERTA!$N213+OFERTA!$O213+OFERTA!$P213</f>
        <v>0</v>
      </c>
      <c r="R213" s="23">
        <f>IF(OFERTA!$M213="","",OFERTA!$M213*OFERTA!$E213)</f>
        <v>0</v>
      </c>
      <c r="S213" s="23">
        <f>IF(OFERTA!$N213="","",OFERTA!$N213*OFERTA!$E213)</f>
        <v>0</v>
      </c>
      <c r="T213" s="23">
        <f>IF(OFERTA!$O213="","",OFERTA!$O213*OFERTA!$E213)</f>
        <v>0</v>
      </c>
      <c r="U213" s="23">
        <f>IF(OFERTA!$P213="","",OFERTA!$P213*OFERTA!$E213)</f>
        <v>0</v>
      </c>
      <c r="V213" s="23">
        <f>IF(OFERTA!$U213="","",OFERTA!$U213+OFERTA!$T213+OFERTA!$S213+OFERTA!$R213)</f>
        <v>0</v>
      </c>
      <c r="W213" s="22">
        <f>IF(OFERTA!$R213="","",OFERTA!$R213/OFERTA!$R$216)</f>
        <v>0</v>
      </c>
      <c r="X213" s="22">
        <f>IF(OFERTA!$S213="","",OFERTA!$S213/OFERTA!$S$216)</f>
        <v>0</v>
      </c>
      <c r="Y213" s="22">
        <f>IF(OFERTA!$T213="","",OFERTA!$T213/OFERTA!$T$216)</f>
        <v>0</v>
      </c>
      <c r="Z213" s="22">
        <f>IF(OFERTA!$U213="","",OFERTA!$U213/OFERTA!$U$216)</f>
        <v>0</v>
      </c>
      <c r="AA213" s="3"/>
      <c r="AB213" s="23" t="str">
        <f>IF(AI213="","",AI213*OFERTA!$Q213)</f>
        <v/>
      </c>
      <c r="AC213" s="23" t="str">
        <f>IF(AI213="","",OFERTA!$N213*AI213)</f>
        <v/>
      </c>
      <c r="AD213" s="23" t="str">
        <f>IF(AI213="","",OFERTA!$M213*AI213)</f>
        <v/>
      </c>
      <c r="AE213" s="23" t="str">
        <f>IF(AI213="","",OFERTA!$P213*AI213)</f>
        <v/>
      </c>
      <c r="AF213" s="23" t="str">
        <f>IF(AI213="","",OFERTA!$O213*AI213)</f>
        <v/>
      </c>
      <c r="AG213" s="21" t="str">
        <f t="shared" si="17"/>
        <v/>
      </c>
      <c r="AH213" s="216">
        <v>7.27</v>
      </c>
      <c r="AI213" s="216"/>
      <c r="AJ213" s="216" t="str">
        <f t="shared" si="18"/>
        <v/>
      </c>
      <c r="AK213" s="216" t="str">
        <f t="shared" si="19"/>
        <v/>
      </c>
      <c r="AL213" s="216" t="str">
        <f>IF(AJ213="","",OFERTA!$E213/AJ213)</f>
        <v/>
      </c>
    </row>
    <row r="214" spans="1:44" ht="17.25" hidden="1" thickBot="1" x14ac:dyDescent="0.35">
      <c r="A214" s="220"/>
      <c r="B214" s="227">
        <v>209</v>
      </c>
      <c r="C214" s="232"/>
      <c r="D214" s="21"/>
      <c r="E214" s="21"/>
      <c r="F214" s="23"/>
      <c r="G214" s="23" t="str">
        <f>IF(OFERTA!$C214="","",IF(OFERTA!$F214="","",OFERTA!$F214*OFERTA!$E214))</f>
        <v/>
      </c>
      <c r="H214" s="229" t="str">
        <f>+IF(OFERTA!$F214="","",OFERTA!$G214/OFERTA!$G$216)</f>
        <v/>
      </c>
      <c r="I214" s="230"/>
      <c r="J214" s="230"/>
      <c r="K214" s="230"/>
      <c r="L214" s="230" t="str">
        <f>IF(E214="","",K214*E214)</f>
        <v/>
      </c>
      <c r="M214" s="231">
        <f>+'80'!$N$28+'80'!$N$47</f>
        <v>0</v>
      </c>
      <c r="N214" s="231">
        <f>+'80'!$M$28+'80'!$M$47</f>
        <v>0</v>
      </c>
      <c r="O214" s="231">
        <f>IF('80'!$G$39=0,0,'80'!$G$39)</f>
        <v>0</v>
      </c>
      <c r="P214" s="231">
        <f>IF('80'!$G$55=0,0,'80'!$G$55)</f>
        <v>0</v>
      </c>
      <c r="Q214" s="231">
        <f>+OFERTA!$M214+OFERTA!$N214+OFERTA!$O214+OFERTA!$P214</f>
        <v>0</v>
      </c>
      <c r="R214" s="23">
        <f>IF(OFERTA!$M214="","",OFERTA!$M214*OFERTA!$E214)</f>
        <v>0</v>
      </c>
      <c r="S214" s="23">
        <f>IF(OFERTA!$N214="","",OFERTA!$N214*OFERTA!$E214)</f>
        <v>0</v>
      </c>
      <c r="T214" s="23">
        <f>IF(OFERTA!$O214="","",OFERTA!$O214*OFERTA!$E214)</f>
        <v>0</v>
      </c>
      <c r="U214" s="23">
        <f>IF(OFERTA!$P214="","",OFERTA!$P214*OFERTA!$E214)</f>
        <v>0</v>
      </c>
      <c r="V214" s="23">
        <f>IF(OFERTA!$U214="","",OFERTA!$U214+OFERTA!$T214+OFERTA!$S214+OFERTA!$R214)</f>
        <v>0</v>
      </c>
      <c r="W214" s="22">
        <f>IF(OFERTA!$R214="","",OFERTA!$R214/OFERTA!$R$216)</f>
        <v>0</v>
      </c>
      <c r="X214" s="22">
        <f>IF(OFERTA!$S214="","",OFERTA!$S214/OFERTA!$S$216)</f>
        <v>0</v>
      </c>
      <c r="Y214" s="22">
        <f>IF(OFERTA!$T214="","",OFERTA!$T214/OFERTA!$T$216)</f>
        <v>0</v>
      </c>
      <c r="Z214" s="22">
        <f>IF(OFERTA!$U214="","",OFERTA!$U214/OFERTA!$U$216)</f>
        <v>0</v>
      </c>
      <c r="AA214" s="3"/>
      <c r="AB214" s="23" t="str">
        <f>IF(AI214="","",AI214*OFERTA!$Q214)</f>
        <v/>
      </c>
      <c r="AC214" s="23" t="str">
        <f>IF(AI214="","",OFERTA!$N214*AI214)</f>
        <v/>
      </c>
      <c r="AD214" s="23" t="str">
        <f>IF(AI214="","",OFERTA!$M214*AI214)</f>
        <v/>
      </c>
      <c r="AE214" s="23" t="str">
        <f>IF(AI214="","",OFERTA!$P214*AI214)</f>
        <v/>
      </c>
      <c r="AF214" s="23" t="str">
        <f>IF(AI214="","",OFERTA!$O214*AI214)</f>
        <v/>
      </c>
      <c r="AG214" s="21" t="str">
        <f>IF(AL214="","",AL214*AH214)</f>
        <v/>
      </c>
      <c r="AH214" s="216">
        <v>7.27</v>
      </c>
      <c r="AI214" s="216"/>
      <c r="AJ214" s="216" t="str">
        <f>IF(AI214="","",AI214*AH214)</f>
        <v/>
      </c>
      <c r="AK214" s="216" t="str">
        <f>IF(AL214="","",AL214/30)</f>
        <v/>
      </c>
      <c r="AL214" s="216" t="str">
        <f>IF(AJ214="","",OFERTA!$E214/AJ214)</f>
        <v/>
      </c>
    </row>
    <row r="215" spans="1:44" ht="17.25" hidden="1" thickBot="1" x14ac:dyDescent="0.35">
      <c r="A215" s="220"/>
      <c r="B215" s="227">
        <v>210</v>
      </c>
      <c r="C215" s="232"/>
      <c r="D215" s="21"/>
      <c r="E215" s="21"/>
      <c r="F215" s="23"/>
      <c r="G215" s="23" t="str">
        <f>IF(OFERTA!$C215="","",IF(OFERTA!$F215="","",OFERTA!$F215*OFERTA!$E215))</f>
        <v/>
      </c>
      <c r="H215" s="229" t="str">
        <f>+IF(OFERTA!$F215="","",OFERTA!$G215/OFERTA!$G$216)</f>
        <v/>
      </c>
      <c r="I215" s="230"/>
      <c r="J215" s="298"/>
      <c r="K215" s="298"/>
      <c r="L215" s="230" t="str">
        <f>IF(E215="","",K215*E215)</f>
        <v/>
      </c>
      <c r="M215" s="231">
        <f>+'80'!$N$28+'80'!$N$47</f>
        <v>0</v>
      </c>
      <c r="N215" s="231">
        <f>+'80'!$M$28+'80'!$M$47</f>
        <v>0</v>
      </c>
      <c r="O215" s="231">
        <f>IF('80'!$G$39=0,0,'80'!$G$39)</f>
        <v>0</v>
      </c>
      <c r="P215" s="231">
        <f>IF('80'!$G$55=0,0,'80'!$G$55)</f>
        <v>0</v>
      </c>
      <c r="Q215" s="231">
        <f>+OFERTA!$M215+OFERTA!$N215+OFERTA!$O215+OFERTA!$P215</f>
        <v>0</v>
      </c>
      <c r="R215" s="23">
        <f>IF(OFERTA!$M215="","",OFERTA!$M215*OFERTA!$E215)</f>
        <v>0</v>
      </c>
      <c r="S215" s="23">
        <f>IF(OFERTA!$N215="","",OFERTA!$N215*OFERTA!$E215)</f>
        <v>0</v>
      </c>
      <c r="T215" s="23">
        <f>IF(OFERTA!$O215="","",OFERTA!$O215*OFERTA!$E215)</f>
        <v>0</v>
      </c>
      <c r="U215" s="23">
        <f>IF(OFERTA!$P215="","",OFERTA!$P215*OFERTA!$E215)</f>
        <v>0</v>
      </c>
      <c r="V215" s="23">
        <f>IF(OFERTA!$U215="","",OFERTA!$U215+OFERTA!$T215+OFERTA!$S215+OFERTA!$R215)</f>
        <v>0</v>
      </c>
      <c r="W215" s="22">
        <f>IF(OFERTA!$R215="","",OFERTA!$R215/OFERTA!$R$216)</f>
        <v>0</v>
      </c>
      <c r="X215" s="22">
        <f>IF(OFERTA!$S215="","",OFERTA!$S215/OFERTA!$S$216)</f>
        <v>0</v>
      </c>
      <c r="Y215" s="22">
        <f>IF(OFERTA!$T215="","",OFERTA!$T215/OFERTA!$T$216)</f>
        <v>0</v>
      </c>
      <c r="Z215" s="22">
        <f>IF(OFERTA!$U215="","",OFERTA!$U215/OFERTA!$U$216)</f>
        <v>0</v>
      </c>
      <c r="AA215" s="3"/>
      <c r="AB215" s="23" t="str">
        <f>IF(AI215="","",AI215*OFERTA!$Q215)</f>
        <v/>
      </c>
      <c r="AC215" s="23" t="str">
        <f>IF(AI215="","",OFERTA!$N215*AI215)</f>
        <v/>
      </c>
      <c r="AD215" s="23" t="str">
        <f>IF(AI215="","",OFERTA!$M215*AI215)</f>
        <v/>
      </c>
      <c r="AE215" s="23" t="str">
        <f>IF(AI215="","",OFERTA!$P215*AI215)</f>
        <v/>
      </c>
      <c r="AF215" s="23" t="str">
        <f>IF(AI215="","",OFERTA!$O215*AI215)</f>
        <v/>
      </c>
      <c r="AG215" s="21" t="str">
        <f>IF(AL215="","",AL215*AH215)</f>
        <v/>
      </c>
      <c r="AH215" s="216">
        <v>7.27</v>
      </c>
      <c r="AI215" s="216"/>
      <c r="AJ215" s="216" t="str">
        <f>IF(AI215="","",AI215*AH215)</f>
        <v/>
      </c>
      <c r="AK215" s="216" t="str">
        <f>IF(AL215="","",AL215/30)</f>
        <v/>
      </c>
      <c r="AL215" s="216" t="str">
        <f>IF(AJ215="","",OFERTA!$E215/AJ215)</f>
        <v/>
      </c>
    </row>
    <row r="216" spans="1:44" ht="17.25" thickBot="1" x14ac:dyDescent="0.35">
      <c r="A216" s="218"/>
      <c r="B216" s="219"/>
      <c r="C216" s="219"/>
      <c r="D216" s="219"/>
      <c r="E216" s="219"/>
      <c r="F216" s="225"/>
      <c r="G216" s="225">
        <f>SUBTOTAL(109,OFERTA!$G$6:$G$213)</f>
        <v>19228193751.208935</v>
      </c>
      <c r="H216" s="226"/>
      <c r="I216" s="217"/>
      <c r="J216" s="301" t="s">
        <v>441</v>
      </c>
      <c r="K216" s="302" t="s">
        <v>133</v>
      </c>
      <c r="L216" s="217"/>
      <c r="M216" s="217"/>
      <c r="N216" s="217"/>
      <c r="O216" s="217"/>
      <c r="P216" s="217"/>
      <c r="Q216" s="217">
        <f>SUBTOTAL(109,OFERTA!$Q$6:$Q$213)</f>
        <v>28306149.611069858</v>
      </c>
      <c r="R216" s="225">
        <f>SUBTOTAL(109,OFERTA!$R$6:$R$213)</f>
        <v>2048098051.465008</v>
      </c>
      <c r="S216" s="225">
        <f>SUBTOTAL(109,OFERTA!$S$6:$S$213)</f>
        <v>633465140.96117127</v>
      </c>
      <c r="T216" s="225">
        <f>SUBTOTAL(109,OFERTA!$T$6:$T$213)</f>
        <v>9451433856.3426666</v>
      </c>
      <c r="U216" s="225">
        <f>SUBTOTAL(109,OFERTA!$U$6:$U$213)</f>
        <v>3869027122.68328</v>
      </c>
      <c r="V216" s="225">
        <f>+SUM(V6:V213)</f>
        <v>22921775250.606571</v>
      </c>
      <c r="W216" s="226"/>
      <c r="X216" s="226"/>
      <c r="Y216" s="226"/>
      <c r="Z216" s="226"/>
      <c r="AG216" s="217"/>
      <c r="AH216" s="217"/>
      <c r="AI216" s="217"/>
      <c r="AJ216" s="217"/>
      <c r="AK216" s="217"/>
    </row>
    <row r="217" spans="1:44" hidden="1" x14ac:dyDescent="0.3">
      <c r="A217" s="218"/>
      <c r="B217" s="219"/>
      <c r="C217" s="45"/>
      <c r="D217" s="45"/>
      <c r="E217" s="45"/>
      <c r="F217" s="1"/>
      <c r="G217" s="1"/>
      <c r="H217" s="19"/>
      <c r="I217" s="217"/>
      <c r="J217" s="217"/>
      <c r="K217" s="217"/>
      <c r="L217" s="217"/>
      <c r="M217" s="217"/>
      <c r="N217" s="217"/>
      <c r="O217" s="217"/>
      <c r="P217" s="217"/>
      <c r="Q217" s="217"/>
      <c r="R217" s="1"/>
      <c r="S217" s="1"/>
      <c r="T217" s="1"/>
      <c r="U217" s="1"/>
      <c r="V217" s="1"/>
      <c r="W217" s="19"/>
      <c r="X217" s="19"/>
      <c r="Y217" s="19"/>
      <c r="Z217" s="19"/>
      <c r="AG217" s="217"/>
      <c r="AH217" s="217"/>
      <c r="AI217" s="217"/>
      <c r="AJ217" s="217"/>
      <c r="AK217" s="217"/>
    </row>
    <row r="218" spans="1:44" ht="17.25" thickBot="1" x14ac:dyDescent="0.35">
      <c r="A218" s="218"/>
      <c r="B218" s="219"/>
      <c r="C218" s="45"/>
      <c r="D218" s="45"/>
      <c r="E218" s="45"/>
      <c r="F218" s="1"/>
      <c r="G218" s="1">
        <f>P_OFERTA/4000</f>
        <v>4807048.4378022337</v>
      </c>
      <c r="H218" s="297">
        <f>G218/108</f>
        <v>44509.707757428092</v>
      </c>
      <c r="I218" s="217" t="s">
        <v>439</v>
      </c>
      <c r="J218" s="299">
        <v>40.5</v>
      </c>
      <c r="K218" s="300">
        <f>J218*H218</f>
        <v>1802643.1641758378</v>
      </c>
      <c r="L218" s="217"/>
      <c r="M218" s="217"/>
      <c r="N218" s="217"/>
      <c r="O218" s="217"/>
      <c r="P218" s="217"/>
      <c r="Q218" s="217"/>
      <c r="R218" s="1"/>
      <c r="S218" s="1"/>
      <c r="T218" s="1"/>
      <c r="U218" s="1"/>
      <c r="V218" s="1"/>
      <c r="W218" s="19"/>
      <c r="X218" s="19"/>
      <c r="Y218" s="19"/>
      <c r="Z218" s="19"/>
      <c r="AG218" s="217"/>
      <c r="AH218" s="217"/>
      <c r="AI218" s="217"/>
      <c r="AJ218" s="217"/>
      <c r="AK218" s="217"/>
    </row>
    <row r="219" spans="1:44" hidden="1" x14ac:dyDescent="0.3">
      <c r="A219" s="218"/>
      <c r="B219" s="219"/>
      <c r="C219" s="45"/>
      <c r="D219" s="45"/>
      <c r="E219" s="45"/>
      <c r="F219" s="1"/>
      <c r="G219" s="1"/>
      <c r="H219" s="19"/>
      <c r="I219" s="217"/>
      <c r="J219" s="217"/>
      <c r="K219" s="217"/>
      <c r="L219" s="217"/>
      <c r="M219" s="217"/>
      <c r="N219" s="217"/>
      <c r="O219" s="217"/>
      <c r="P219" s="217"/>
      <c r="Q219" s="217"/>
      <c r="R219" s="1"/>
      <c r="S219" s="1"/>
      <c r="T219" s="1"/>
      <c r="U219" s="1"/>
      <c r="V219" s="1"/>
      <c r="W219" s="19"/>
      <c r="X219" s="19"/>
      <c r="Y219" s="19"/>
      <c r="Z219" s="19"/>
      <c r="AG219" s="217"/>
      <c r="AH219" s="217"/>
      <c r="AI219" s="217"/>
      <c r="AJ219" s="217"/>
      <c r="AK219" s="217"/>
    </row>
    <row r="220" spans="1:44" ht="17.25" thickBot="1" x14ac:dyDescent="0.35">
      <c r="D220" t="s">
        <v>121</v>
      </c>
      <c r="G220" s="294">
        <f>P_OFERTA-'[1]BOQ Electric - TOTAL'!$P$69</f>
        <v>19228193751.208935</v>
      </c>
      <c r="H220" s="296">
        <f>H218*4100</f>
        <v>182489801.80545518</v>
      </c>
      <c r="I220" s="218" t="s">
        <v>440</v>
      </c>
      <c r="J220" s="299">
        <v>40.5</v>
      </c>
      <c r="K220" s="303">
        <f>J220*H220</f>
        <v>7390836973.1209345</v>
      </c>
      <c r="L220" s="305" t="s">
        <v>438</v>
      </c>
      <c r="M220" s="294">
        <f>K220/J220</f>
        <v>182489801.80545518</v>
      </c>
      <c r="N220" s="218" t="s">
        <v>442</v>
      </c>
    </row>
    <row r="221" spans="1:44" ht="17.25" thickBot="1" x14ac:dyDescent="0.35">
      <c r="B221" s="3"/>
      <c r="C221" s="220" t="s">
        <v>181</v>
      </c>
      <c r="D221" s="22">
        <v>0.12</v>
      </c>
      <c r="J221" s="299">
        <v>40.5</v>
      </c>
      <c r="K221" s="304">
        <v>5190683100.3383398</v>
      </c>
      <c r="L221" s="306" t="s">
        <v>437</v>
      </c>
      <c r="M221" s="294">
        <f>K221/J221</f>
        <v>128165014.82316889</v>
      </c>
      <c r="N221" s="218" t="s">
        <v>442</v>
      </c>
    </row>
    <row r="222" spans="1:44" x14ac:dyDescent="0.3">
      <c r="B222" s="3"/>
      <c r="C222" s="220" t="s">
        <v>182</v>
      </c>
      <c r="D222" s="22">
        <v>0.03</v>
      </c>
      <c r="H222">
        <f>170/40</f>
        <v>4.25</v>
      </c>
    </row>
    <row r="223" spans="1:44" x14ac:dyDescent="0.3">
      <c r="B223" s="3"/>
      <c r="C223" s="220" t="s">
        <v>112</v>
      </c>
      <c r="D223" s="22">
        <v>0.05</v>
      </c>
      <c r="H223" s="294">
        <v>3333675645.6331401</v>
      </c>
    </row>
    <row r="224" spans="1:44" hidden="1" x14ac:dyDescent="0.3"/>
    <row r="225" spans="1:7" x14ac:dyDescent="0.3">
      <c r="B225" s="449" t="s">
        <v>114</v>
      </c>
      <c r="C225" s="449"/>
      <c r="D225" s="449"/>
      <c r="E225" s="449"/>
      <c r="F225" s="449"/>
      <c r="G225" s="24">
        <f>+OFERTA!$G$216</f>
        <v>19228193751.208935</v>
      </c>
    </row>
    <row r="226" spans="1:7" x14ac:dyDescent="0.3">
      <c r="B226" s="221" t="s">
        <v>102</v>
      </c>
    </row>
    <row r="227" spans="1:7" ht="52.5" customHeight="1" x14ac:dyDescent="0.3">
      <c r="B227" s="450" t="s">
        <v>179</v>
      </c>
      <c r="C227" s="450"/>
      <c r="D227" s="450"/>
      <c r="E227" s="450"/>
      <c r="F227" s="450"/>
      <c r="G227" s="450"/>
    </row>
    <row r="228" spans="1:7" ht="56.25" customHeight="1" x14ac:dyDescent="0.3">
      <c r="B228" s="448" t="s">
        <v>180</v>
      </c>
      <c r="C228" s="448"/>
      <c r="D228" s="448"/>
      <c r="E228" s="448"/>
      <c r="F228" s="448"/>
      <c r="G228" s="448"/>
    </row>
    <row r="229" spans="1:7" x14ac:dyDescent="0.3">
      <c r="A229" t="s">
        <v>183</v>
      </c>
    </row>
  </sheetData>
  <autoFilter ref="A5:AL215" xr:uid="{EF3E5FFE-4295-4150-A878-F4640E80FFC2}">
    <filterColumn colId="0">
      <filters>
        <filter val="ELECTRICO"/>
      </filters>
    </filterColumn>
  </autoFilter>
  <mergeCells count="6">
    <mergeCell ref="B1:L1"/>
    <mergeCell ref="B228:G228"/>
    <mergeCell ref="B225:F225"/>
    <mergeCell ref="B227:G227"/>
    <mergeCell ref="B2:L2"/>
    <mergeCell ref="B3:L3"/>
  </mergeCells>
  <phoneticPr fontId="10" type="noConversion"/>
  <hyperlinks>
    <hyperlink ref="B6" location="'1'!A1" display="'1'!A1" xr:uid="{8F2E7189-FD93-4453-9BA2-614B44461454}"/>
    <hyperlink ref="B7" location="'2'!A1" display="'2'!A1" xr:uid="{29BA2F40-C190-405C-A115-BB69DE2BE41F}"/>
    <hyperlink ref="B8" location="'3'!A1" display="'3'!A1" xr:uid="{D1FF949A-698F-4588-BBE1-D3C7DFADFBD6}"/>
    <hyperlink ref="B9" location="'4'!A1" display="'4'!A1" xr:uid="{77D89980-381F-42E0-83E0-51747ABA0248}"/>
    <hyperlink ref="B10" location="'5'!A1" display="'5'!A1" xr:uid="{9B7424E7-FBB5-45CE-8F50-D1B76984B628}"/>
    <hyperlink ref="B11" location="'6'!A1" display="'6'!A1" xr:uid="{D05918B7-9816-4AE8-BD8F-F9F6FE41C145}"/>
    <hyperlink ref="B12" location="'7'!A1" display="'7'!A1" xr:uid="{746DEC70-543A-4EB7-956F-DF0BF6D334A3}"/>
    <hyperlink ref="B13" location="'8'!A1" display="'8'!A1" xr:uid="{47BFD107-BFC0-4BF2-8C47-CA2E4C158A12}"/>
    <hyperlink ref="B14" location="'9'!A1" display="'9'!A1" xr:uid="{19652F32-EA63-45FC-BC3F-1A965A8B452F}"/>
    <hyperlink ref="B15" location="'10'!A1" display="'10'!A1" xr:uid="{8FC77AD9-498F-4EAD-B0EF-D3FAE317D9F9}"/>
    <hyperlink ref="B16" location="'11'!A1" display="'11'!A1" xr:uid="{77F7392E-B1F0-48A6-8A6A-E2ADC1CA6264}"/>
    <hyperlink ref="B17" location="'12'!A1" display="'12'!A1" xr:uid="{D3FDCE48-BBF1-4421-9F67-3FAE202F2720}"/>
    <hyperlink ref="B18" location="'13'!A1" display="'13'!A1" xr:uid="{6949A008-CF10-4791-B6C9-3CD57A55B59F}"/>
    <hyperlink ref="B19" location="'14'!A1" display="'14'!A1" xr:uid="{EE68D88B-5913-410C-A5E9-7B18BE6C7A27}"/>
    <hyperlink ref="B20" location="'15'!A1" display="'15'!A1" xr:uid="{92A9E868-C9E3-481D-9314-FAAB2DA4E44C}"/>
    <hyperlink ref="B21" location="'16'!A1" display="'16'!A1" xr:uid="{24CDB4E7-3517-4777-8073-6C09ADDC2D29}"/>
    <hyperlink ref="B22" location="'17'!A1" display="'17'!A1" xr:uid="{A9695DD9-1C84-41EF-A345-1C8B792D0F7E}"/>
    <hyperlink ref="B23" location="'18'!A1" display="'18'!A1" xr:uid="{97C1BCC1-E4EE-4453-81B7-59535A975EF0}"/>
    <hyperlink ref="B24" location="'19'!A1" display="'19'!A1" xr:uid="{972D7C55-E7DA-4234-8468-EAEF78303ED3}"/>
    <hyperlink ref="B25" location="'20'!A1" display="'20'!A1" xr:uid="{599713E5-30D0-47A0-A494-2FE3B9A1A1AE}"/>
    <hyperlink ref="B26" location="'21'!A1" display="'21'!A1" xr:uid="{634662F7-932A-447C-AD4B-E6F98D510B55}"/>
    <hyperlink ref="B27" location="'22'!A1" display="'22'!A1" xr:uid="{0D5821D7-0FE8-4114-8EA7-4622CD700AEF}"/>
    <hyperlink ref="B28" location="'23'!A1" display="'23'!A1" xr:uid="{E6C44CE6-ABC2-4666-B5F2-61139499912A}"/>
    <hyperlink ref="B29" location="'24'!A1" display="'24'!A1" xr:uid="{C3C1599A-17D9-463B-B800-34D8CC831912}"/>
    <hyperlink ref="B30" location="'25'!A1" display="'25'!A1" xr:uid="{FAEEC4BA-7106-46A3-B36F-08C762B0BE45}"/>
    <hyperlink ref="B31" location="'26'!A1" display="'26'!A1" xr:uid="{3CB9E1BA-C356-4E24-8251-EEB9E62C87F4}"/>
    <hyperlink ref="B32" location="'27'!A1" display="'27'!A1" xr:uid="{35521280-C029-45D3-9BDA-D74F0C0C0265}"/>
    <hyperlink ref="B33" location="'28'!A1" display="'28'!A1" xr:uid="{48BA5DDD-BEFC-4552-914B-8FA19B4703F1}"/>
    <hyperlink ref="B34" location="'29'!A1" display="'29'!A1" xr:uid="{E9670E2D-4380-40C6-B7AD-A0ACD7D8F534}"/>
    <hyperlink ref="B35" location="'30'!A1" display="'30'!A1" xr:uid="{41E6684E-A84B-4CA7-A060-41336D6D7D97}"/>
    <hyperlink ref="B36" location="'31'!A1" display="'31'!A1" xr:uid="{CC5134E9-512D-41B3-911C-FDCCADCD3C9E}"/>
    <hyperlink ref="B37" location="'32'!A1" display="'32'!A1" xr:uid="{482081E8-8FC8-4A17-9E60-58278B71DFAC}"/>
    <hyperlink ref="B38" location="'33'!A1" display="'33'!A1" xr:uid="{1A2F2773-1D88-4BF8-BFE1-41B23E27DC35}"/>
    <hyperlink ref="B39" location="'34'!A1" display="'34'!A1" xr:uid="{3DF7F143-3D14-400F-A1DF-2A9DF54A470D}"/>
    <hyperlink ref="B40" location="'35'!A1" display="'35'!A1" xr:uid="{C86B9463-5D33-4ACD-8FA3-63D16A94896E}"/>
    <hyperlink ref="B41" location="'36'!A1" display="'36'!A1" xr:uid="{8A4D2629-1981-47C7-9D64-18732487C901}"/>
    <hyperlink ref="B42" location="OFERTA!A1" display="OFERTA!A1" xr:uid="{5980BBE7-DC0D-4338-B0E6-969B1D8906FC}"/>
    <hyperlink ref="B43" location="'38'!A1" display="'38'!A1" xr:uid="{DFCACAB4-A89F-4DF9-BE91-5E07E2747696}"/>
    <hyperlink ref="B44" location="'39'!A1" display="'39'!A1" xr:uid="{8F39DDBC-FA40-42FA-8634-D5C4119191A6}"/>
    <hyperlink ref="B45" location="'40'!A1" display="'40'!A1" xr:uid="{856871AB-948A-4546-BC56-3FEBB1A52C6A}"/>
    <hyperlink ref="B46" location="'41'!A1" display="'41'!A1" xr:uid="{C6A8AE2E-0DA8-4D16-BEB0-29536792309E}"/>
    <hyperlink ref="B47" location="'42'!A1" display="'42'!A1" xr:uid="{C12A83CB-F4E2-46D9-9310-7076A6F67D31}"/>
    <hyperlink ref="B48" location="'43'!A1" display="'43'!A1" xr:uid="{0707678B-FE27-45D9-8F24-1EDF71593DF9}"/>
    <hyperlink ref="B49" location="'44'!A1" display="'44'!A1" xr:uid="{7CDD30D1-8C87-419A-96E5-6B35158EED9F}"/>
    <hyperlink ref="B50" location="'45'!A1" display="'45'!A1" xr:uid="{68F51BE4-3B3D-4168-B088-FD0E31788834}"/>
    <hyperlink ref="B51" location="'46'!A1" display="'46'!A1" xr:uid="{4A9CFF03-BB4F-49A9-B80D-BF88372520BB}"/>
    <hyperlink ref="B52" location="'47'!A1" display="'47'!A1" xr:uid="{B8FD4FD7-3C62-41A5-93F4-BA31701A1A8A}"/>
    <hyperlink ref="B53" location="'48'!A1" display="'48'!A1" xr:uid="{5AB2A991-D5DA-4C25-AB63-0FDFD5D6A28E}"/>
    <hyperlink ref="B54" location="'49'!A1" display="'49'!A1" xr:uid="{84FB1F21-8585-47F0-8192-5352E39475EF}"/>
    <hyperlink ref="B55" location="'50'!A1" display="'50'!A1" xr:uid="{44C741DE-0B83-4161-9CB8-95352BA99316}"/>
    <hyperlink ref="B56" location="'51'!A1" display="'51'!A1" xr:uid="{D0E2A060-E21C-4107-95EF-07934A638AFA}"/>
    <hyperlink ref="B57" location="'52'!A1" display="'52'!A1" xr:uid="{C8266DBD-FAEF-4BB0-A912-99015F757D8A}"/>
    <hyperlink ref="B58" location="'53'!A1" display="'53'!A1" xr:uid="{86F892A3-0C0A-4CD1-AA7C-22908C30B3A8}"/>
    <hyperlink ref="B59" location="'54'!A1" display="'54'!A1" xr:uid="{85AADDF9-D62A-4059-B16A-56427FFFE1CE}"/>
    <hyperlink ref="B60" location="'55'!A1" display="'55'!A1" xr:uid="{E3E68625-CC00-49E2-9A19-A96DADD2AE6C}"/>
    <hyperlink ref="B62" location="'57'!A1" display="'57'!A1" xr:uid="{57976331-B1BC-4F58-8ED5-FEFB27B86440}"/>
    <hyperlink ref="B63" location="'58'!A1" display="'58'!A1" xr:uid="{E60AD30F-4E7F-41DA-8843-ABF46BAA3599}"/>
    <hyperlink ref="B64" location="'59'!A1" display="'59'!A1" xr:uid="{93E1CCBF-0271-41F1-BE03-5BA44862AB41}"/>
    <hyperlink ref="B65" location="'60'!A1" display="'60'!A1" xr:uid="{BA6C44C4-6818-4049-93D7-6C4FCB0D89B2}"/>
    <hyperlink ref="B66" location="'61'!A1" display="'61'!A1" xr:uid="{14A79A29-D4C9-46F3-A673-F5CBE1A1D390}"/>
    <hyperlink ref="B67" location="'62'!A1" display="'62'!A1" xr:uid="{2C0EEA71-1A7A-4072-8B2E-EA278A87536C}"/>
    <hyperlink ref="B68" location="'63'!A1" display="'63'!A1" xr:uid="{4794A199-C477-49C4-B5E9-109324BDD1BB}"/>
    <hyperlink ref="B69" location="'64'!A1" display="'64'!A1" xr:uid="{D26B466F-35FE-4C73-8669-9DB19A660D97}"/>
    <hyperlink ref="B70" location="'65'!A1" display="'65'!A1" xr:uid="{165FA08F-C45D-47B7-B5F6-E26C1A89B472}"/>
    <hyperlink ref="B71" location="'66'!A1" display="'66'!A1" xr:uid="{2DC3BBFA-F96A-466E-9F60-341EB362128D}"/>
    <hyperlink ref="B72" location="'67'!A1" display="'67'!A1" xr:uid="{2945714E-7FF5-40C5-A925-E1B234903FE9}"/>
    <hyperlink ref="B73" location="'68'!A1" display="'68'!A1" xr:uid="{02A4C296-B270-45DA-ACCB-0A5D6FE8A7C1}"/>
    <hyperlink ref="B74" location="'69'!A1" display="'69'!A1" xr:uid="{68321D9D-F850-48BC-AD7C-10CA31A1B969}"/>
    <hyperlink ref="B75" location="'70'!A1" display="'70'!A1" xr:uid="{B4718F3D-EB1E-4CC7-83E0-C5435FE8DA12}"/>
    <hyperlink ref="B76" location="'71'!A1" display="'71'!A1" xr:uid="{7B546609-2127-4D0F-96D4-3DC660EAF436}"/>
    <hyperlink ref="B77" location="'72'!A1" display="'72'!A1" xr:uid="{A4529868-F43F-40E4-A875-1999508C3373}"/>
    <hyperlink ref="B78" location="'73'!A1" display="'73'!A1" xr:uid="{66A0A808-283A-4583-A5AB-C44B5261304C}"/>
    <hyperlink ref="B79" location="'74'!A1" display="'74'!A1" xr:uid="{0A5F5ADC-146E-4EB9-8852-17146950638D}"/>
    <hyperlink ref="B80" location="OFERTA!A1" display="OFERTA!A1" xr:uid="{2F1DFD87-26A5-4B37-AE03-BF72BEB6DE9B}"/>
    <hyperlink ref="B81" location="'76'!A1" display="'76'!A1" xr:uid="{6972F25E-CE1F-47A7-8F14-19F969C56EAA}"/>
    <hyperlink ref="B82" location="'77'!A1" display="'77'!A1" xr:uid="{0BC1552F-5A72-4A4B-B123-FF273E3BA4B3}"/>
    <hyperlink ref="B83" location="'78'!A1" display="'78'!A1" xr:uid="{CEBFDBF3-100A-46E4-94F4-2ABB67B44202}"/>
    <hyperlink ref="B84" location="'79'!A1" display="'79'!A1" xr:uid="{34079A14-4A1E-4427-82A0-0391E86F84A7}"/>
    <hyperlink ref="B85" location="'80'!A1" display="'80'!A1" xr:uid="{21C2560C-B691-423F-8137-A8C73111E7C2}"/>
    <hyperlink ref="B61" location="'56'!A1" display="'56'!A1" xr:uid="{9C38FFE3-FBB9-47D8-BE7D-08F82C47CABB}"/>
  </hyperlinks>
  <pageMargins left="0.70866141732283472" right="0.70866141732283472" top="1.299212598425197" bottom="0.74803149606299213" header="0.31496062992125984" footer="0.31496062992125984"/>
  <pageSetup paperSize="9" scale="27" orientation="portrait" cellComments="atEnd"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330B1-3BA7-4AFC-8D22-59FC2DD2B8E5}">
  <sheetPr codeName="Hoja3">
    <tabColor theme="5"/>
  </sheetPr>
  <dimension ref="A1:O87"/>
  <sheetViews>
    <sheetView topLeftCell="E1" zoomScale="88" zoomScaleNormal="160" workbookViewId="0">
      <pane ySplit="4" topLeftCell="A5" activePane="bottomLeft" state="frozen"/>
      <selection activeCell="B1" sqref="B1"/>
      <selection pane="bottomLeft" activeCell="H8" sqref="H8"/>
    </sheetView>
  </sheetViews>
  <sheetFormatPr defaultColWidth="11" defaultRowHeight="16.5" x14ac:dyDescent="0.3"/>
  <cols>
    <col min="1" max="1" width="22.75" hidden="1" customWidth="1"/>
    <col min="2" max="2" width="49" bestFit="1" customWidth="1"/>
    <col min="3" max="3" width="16" bestFit="1" customWidth="1"/>
    <col min="4" max="4" width="39.75" bestFit="1" customWidth="1"/>
    <col min="5" max="5" width="29.125" bestFit="1" customWidth="1"/>
    <col min="6" max="6" width="26.375" bestFit="1" customWidth="1"/>
    <col min="7" max="7" width="28.75" bestFit="1" customWidth="1"/>
    <col min="8" max="8" width="36.375" bestFit="1" customWidth="1"/>
    <col min="9" max="9" width="39.125" bestFit="1" customWidth="1"/>
    <col min="10" max="10" width="23.125" bestFit="1" customWidth="1"/>
    <col min="11" max="11" width="14" bestFit="1" customWidth="1"/>
    <col min="12" max="12" width="11.75" bestFit="1" customWidth="1"/>
    <col min="13" max="13" width="16.75" bestFit="1" customWidth="1"/>
    <col min="14" max="14" width="16.375" bestFit="1" customWidth="1"/>
    <col min="15" max="15" width="21.75" bestFit="1" customWidth="1"/>
  </cols>
  <sheetData>
    <row r="1" spans="1:15" ht="54.75" customHeight="1" thickBot="1" x14ac:dyDescent="0.35">
      <c r="A1" s="151"/>
      <c r="B1" s="176" t="s">
        <v>226</v>
      </c>
      <c r="C1" s="460" t="str">
        <f>NOMBRE_DEL_PROYECTO</f>
        <v>MYT ENERGY PARQUE FOTOVOLTAICO TEPUY 108 MW</v>
      </c>
      <c r="D1" s="461"/>
      <c r="E1" s="461"/>
      <c r="F1" s="461"/>
      <c r="G1" s="461"/>
      <c r="H1" s="461"/>
      <c r="I1" s="461"/>
      <c r="J1" s="461"/>
      <c r="K1" s="461"/>
      <c r="L1" s="461"/>
      <c r="M1" s="461"/>
      <c r="N1" s="461"/>
      <c r="O1" s="462"/>
    </row>
    <row r="2" spans="1:15" ht="23.25" customHeight="1" thickBot="1" x14ac:dyDescent="0.35">
      <c r="A2" s="150"/>
      <c r="B2" s="177" t="s">
        <v>231</v>
      </c>
      <c r="C2" s="457">
        <f ca="1">FECHA</f>
        <v>45726</v>
      </c>
      <c r="D2" s="458"/>
      <c r="E2" s="458"/>
      <c r="F2" s="458"/>
      <c r="G2" s="458"/>
      <c r="H2" s="458"/>
      <c r="I2" s="458"/>
      <c r="J2" s="458"/>
      <c r="K2" s="458"/>
      <c r="L2" s="458"/>
      <c r="M2" s="458"/>
      <c r="N2" s="458"/>
      <c r="O2" s="459"/>
    </row>
    <row r="3" spans="1:15" ht="42.4" customHeight="1" thickBot="1" x14ac:dyDescent="0.35">
      <c r="A3" s="149"/>
      <c r="B3" s="463" t="s">
        <v>232</v>
      </c>
      <c r="C3" s="464"/>
      <c r="D3" s="464"/>
      <c r="E3" s="464"/>
      <c r="F3" s="464"/>
      <c r="G3" s="464"/>
      <c r="H3" s="464"/>
      <c r="I3" s="464"/>
      <c r="J3" s="464"/>
      <c r="K3" s="464"/>
      <c r="L3" s="464"/>
      <c r="M3" s="464"/>
      <c r="N3" s="464"/>
      <c r="O3" s="465"/>
    </row>
    <row r="4" spans="1:15" ht="37.9" customHeight="1" thickBot="1" x14ac:dyDescent="0.35">
      <c r="A4" t="s">
        <v>8</v>
      </c>
      <c r="B4" s="174" t="s">
        <v>233</v>
      </c>
      <c r="C4" s="174" t="s">
        <v>234</v>
      </c>
      <c r="D4" s="174" t="s">
        <v>235</v>
      </c>
      <c r="E4" s="174" t="s">
        <v>236</v>
      </c>
      <c r="F4" s="174" t="s">
        <v>237</v>
      </c>
      <c r="G4" s="174" t="s">
        <v>238</v>
      </c>
      <c r="H4" s="174" t="s">
        <v>239</v>
      </c>
      <c r="I4" s="174" t="s">
        <v>240</v>
      </c>
      <c r="J4" s="174" t="s">
        <v>241</v>
      </c>
      <c r="K4" s="174" t="s">
        <v>242</v>
      </c>
      <c r="L4" s="174" t="s">
        <v>243</v>
      </c>
      <c r="M4" s="174" t="s">
        <v>244</v>
      </c>
      <c r="N4" s="174" t="s">
        <v>6</v>
      </c>
      <c r="O4" s="174" t="s">
        <v>245</v>
      </c>
    </row>
    <row r="5" spans="1:15" ht="17.25" thickBot="1" x14ac:dyDescent="0.35">
      <c r="A5" t="str">
        <f>IF(Tabla1[[#This Row],[MAQUINARIA O EQUIPO (MACHINERY AND EQUIP)]]="","",CONCATENATE(Tabla1[[#This Row],[MAQUINARIA O EQUIPO (MACHINERY AND EQUIP)]],"-",Tabla1[[#This Row],[MODELO (MODEL)]],"-",Tabla1[[#This Row],[AÑO (YEAR)]],"-", Tabla1[[#This Row],[PROVEEDOR (SUPPLIER)]]))</f>
        <v>TELEHANDLER---</v>
      </c>
      <c r="B5" s="234" t="s">
        <v>348</v>
      </c>
      <c r="C5" s="235" t="s">
        <v>350</v>
      </c>
      <c r="D5" s="236">
        <f>(Tabla1[[#This Row],[TIEMPO USO AL MES (TIME OF USE MONTH)]]*130000)*1.19</f>
        <v>27227200</v>
      </c>
      <c r="E5" s="237">
        <v>176</v>
      </c>
      <c r="F5" s="1">
        <f>IF(Tabla1[[#This Row],[VALOR ALQUILES MES (MONTHLY RENT)]]="","",IF(Tabla1[[#This Row],[TIEMPO USO AL MES (TIME OF USE MONTH)]]="","",Tabla1[[#This Row],[VALOR ALQUILES MES (MONTHLY RENT)]]/Tabla1[[#This Row],[TIEMPO USO AL MES (TIME OF USE MONTH)]]))</f>
        <v>154700</v>
      </c>
      <c r="G5" s="254">
        <v>2</v>
      </c>
      <c r="H5" s="255">
        <v>10800</v>
      </c>
      <c r="I5" s="1">
        <f>IF(Tabla1[[#This Row],[CONSUMO COMBUSTIBLE HORA  (UNIT HOUR VALUE)]]="","",Tabla1[[#This Row],[CONSUMO COMBUSTIBLE HORA  (UNIT HOUR VALUE)]]*Tabla1[[#This Row],[VALOR GALON COMBUSTIBLE (FUEL GALLON VALUE)]])</f>
        <v>21600</v>
      </c>
      <c r="J5" s="1">
        <f>IF(Tabla1[[#This Row],[VALOR UNITARIO HORA (UNIT HOUR VALUE)]]="","",Tabla1[[#This Row],[VALOR UNITARIO HORA (UNIT HOUR VALUE)]]+Tabla1[[#This Row],[VALOR COMBUSTIBLE POR HORA (FUEL GALLON VALUE PER HOUR)]])</f>
        <v>176300</v>
      </c>
      <c r="K5" s="262"/>
      <c r="L5" s="263"/>
      <c r="M5" s="263"/>
      <c r="N5" s="263"/>
      <c r="O5" s="264"/>
    </row>
    <row r="6" spans="1:15" ht="17.25" thickBot="1" x14ac:dyDescent="0.35">
      <c r="A6" t="str">
        <f>IF(Tabla1[[#This Row],[MAQUINARIA O EQUIPO (MACHINERY AND EQUIP)]]="","",CONCATENATE(Tabla1[[#This Row],[MAQUINARIA O EQUIPO (MACHINERY AND EQUIP)]],"-",Tabla1[[#This Row],[MODELO (MODEL)]],"-",Tabla1[[#This Row],[AÑO (YEAR)]],"-", Tabla1[[#This Row],[PROVEEDOR (SUPPLIER)]]))</f>
        <v>CAMION RAMPA---</v>
      </c>
      <c r="B6" s="238" t="s">
        <v>349</v>
      </c>
      <c r="C6" s="235" t="s">
        <v>350</v>
      </c>
      <c r="D6" s="239">
        <v>12000000</v>
      </c>
      <c r="E6" s="237">
        <v>176</v>
      </c>
      <c r="F6" s="1">
        <f>IF(Tabla1[[#This Row],[VALOR ALQUILES MES (MONTHLY RENT)]]="","",IF(Tabla1[[#This Row],[TIEMPO USO AL MES (TIME OF USE MONTH)]]="","",Tabla1[[#This Row],[VALOR ALQUILES MES (MONTHLY RENT)]]/Tabla1[[#This Row],[TIEMPO USO AL MES (TIME OF USE MONTH)]]))</f>
        <v>68181.818181818177</v>
      </c>
      <c r="G6" s="256">
        <v>2</v>
      </c>
      <c r="H6" s="255">
        <v>10800</v>
      </c>
      <c r="I6" s="1">
        <f>IF(Tabla1[[#This Row],[CONSUMO COMBUSTIBLE HORA  (UNIT HOUR VALUE)]]="","",Tabla1[[#This Row],[CONSUMO COMBUSTIBLE HORA  (UNIT HOUR VALUE)]]*Tabla1[[#This Row],[VALOR GALON COMBUSTIBLE (FUEL GALLON VALUE)]])</f>
        <v>21600</v>
      </c>
      <c r="J6" s="1">
        <f>IF(Tabla1[[#This Row],[VALOR UNITARIO HORA (UNIT HOUR VALUE)]]="","",Tabla1[[#This Row],[VALOR UNITARIO HORA (UNIT HOUR VALUE)]]+Tabla1[[#This Row],[VALOR COMBUSTIBLE POR HORA (FUEL GALLON VALUE PER HOUR)]])</f>
        <v>89781.818181818177</v>
      </c>
      <c r="K6" s="244"/>
      <c r="L6" s="265"/>
      <c r="M6" s="265"/>
      <c r="N6" s="265"/>
      <c r="O6" s="266"/>
    </row>
    <row r="7" spans="1:15" ht="17.25" thickBot="1" x14ac:dyDescent="0.35">
      <c r="A7" t="str">
        <f>IF(Tabla1[[#This Row],[MAQUINARIA O EQUIPO (MACHINERY AND EQUIP)]]="","",CONCATENATE(Tabla1[[#This Row],[MAQUINARIA O EQUIPO (MACHINERY AND EQUIP)]],"-",Tabla1[[#This Row],[MODELO (MODEL)]],"-",Tabla1[[#This Row],[AÑO (YEAR)]],"-", Tabla1[[#This Row],[PROVEEDOR (SUPPLIER)]]))</f>
        <v>EXCAVADORA 120---</v>
      </c>
      <c r="B7" s="238" t="s">
        <v>351</v>
      </c>
      <c r="C7" s="235" t="s">
        <v>350</v>
      </c>
      <c r="D7" s="239">
        <f>18000000</f>
        <v>18000000</v>
      </c>
      <c r="E7" s="237">
        <v>176</v>
      </c>
      <c r="F7" s="1">
        <f>IF(Tabla1[[#This Row],[VALOR ALQUILES MES (MONTHLY RENT)]]="","",IF(Tabla1[[#This Row],[TIEMPO USO AL MES (TIME OF USE MONTH)]]="","",Tabla1[[#This Row],[VALOR ALQUILES MES (MONTHLY RENT)]]/Tabla1[[#This Row],[TIEMPO USO AL MES (TIME OF USE MONTH)]]))</f>
        <v>102272.72727272728</v>
      </c>
      <c r="G7" s="256">
        <v>3</v>
      </c>
      <c r="H7" s="255">
        <v>10800</v>
      </c>
      <c r="I7" s="1">
        <f>IF(Tabla1[[#This Row],[CONSUMO COMBUSTIBLE HORA  (UNIT HOUR VALUE)]]="","",Tabla1[[#This Row],[CONSUMO COMBUSTIBLE HORA  (UNIT HOUR VALUE)]]*Tabla1[[#This Row],[VALOR GALON COMBUSTIBLE (FUEL GALLON VALUE)]])</f>
        <v>32400</v>
      </c>
      <c r="J7" s="1">
        <f>IF(Tabla1[[#This Row],[VALOR UNITARIO HORA (UNIT HOUR VALUE)]]="","",Tabla1[[#This Row],[VALOR UNITARIO HORA (UNIT HOUR VALUE)]]+Tabla1[[#This Row],[VALOR COMBUSTIBLE POR HORA (FUEL GALLON VALUE PER HOUR)]])</f>
        <v>134672.72727272729</v>
      </c>
      <c r="K7" s="244"/>
      <c r="L7" s="265"/>
      <c r="M7" s="265"/>
      <c r="N7" s="265"/>
      <c r="O7" s="266"/>
    </row>
    <row r="8" spans="1:15" ht="17.25" thickBot="1" x14ac:dyDescent="0.35">
      <c r="A8" t="str">
        <f>IF(Tabla1[[#This Row],[MAQUINARIA O EQUIPO (MACHINERY AND EQUIP)]]="","",CONCATENATE(Tabla1[[#This Row],[MAQUINARIA O EQUIPO (MACHINERY AND EQUIP)]],"-",Tabla1[[#This Row],[MODELO (MODEL)]],"-",Tabla1[[#This Row],[AÑO (YEAR)]],"-", Tabla1[[#This Row],[PROVEEDOR (SUPPLIER)]]))</f>
        <v>CAMION TOLVA-VOLQUETA---</v>
      </c>
      <c r="B8" s="238" t="s">
        <v>352</v>
      </c>
      <c r="C8" s="235" t="s">
        <v>350</v>
      </c>
      <c r="D8" s="239">
        <v>15000000</v>
      </c>
      <c r="E8" s="237">
        <v>176</v>
      </c>
      <c r="F8" s="1">
        <f>IF(Tabla1[[#This Row],[VALOR ALQUILES MES (MONTHLY RENT)]]="","",IF(Tabla1[[#This Row],[TIEMPO USO AL MES (TIME OF USE MONTH)]]="","",Tabla1[[#This Row],[VALOR ALQUILES MES (MONTHLY RENT)]]/Tabla1[[#This Row],[TIEMPO USO AL MES (TIME OF USE MONTH)]]))</f>
        <v>85227.272727272721</v>
      </c>
      <c r="G8" s="256">
        <v>2</v>
      </c>
      <c r="H8" s="255">
        <v>10800</v>
      </c>
      <c r="I8" s="1">
        <f>IF(Tabla1[[#This Row],[CONSUMO COMBUSTIBLE HORA  (UNIT HOUR VALUE)]]="","",Tabla1[[#This Row],[CONSUMO COMBUSTIBLE HORA  (UNIT HOUR VALUE)]]*Tabla1[[#This Row],[VALOR GALON COMBUSTIBLE (FUEL GALLON VALUE)]])</f>
        <v>21600</v>
      </c>
      <c r="J8" s="1">
        <f>IF(Tabla1[[#This Row],[VALOR UNITARIO HORA (UNIT HOUR VALUE)]]="","",Tabla1[[#This Row],[VALOR UNITARIO HORA (UNIT HOUR VALUE)]]+Tabla1[[#This Row],[VALOR COMBUSTIBLE POR HORA (FUEL GALLON VALUE PER HOUR)]])</f>
        <v>106827.27272727272</v>
      </c>
      <c r="K8" s="244"/>
      <c r="L8" s="265"/>
      <c r="M8" s="265"/>
      <c r="N8" s="265"/>
      <c r="O8" s="266"/>
    </row>
    <row r="9" spans="1:15" ht="17.25" thickBot="1" x14ac:dyDescent="0.35">
      <c r="A9" t="str">
        <f>IF(Tabla1[[#This Row],[MAQUINARIA O EQUIPO (MACHINERY AND EQUIP)]]="","",CONCATENATE(Tabla1[[#This Row],[MAQUINARIA O EQUIPO (MACHINERY AND EQUIP)]],"-",Tabla1[[#This Row],[MODELO (MODEL)]],"-",Tabla1[[#This Row],[AÑO (YEAR)]],"-", Tabla1[[#This Row],[PROVEEDOR (SUPPLIER)]]))</f>
        <v>HINCADORA---</v>
      </c>
      <c r="B9" s="238" t="s">
        <v>355</v>
      </c>
      <c r="C9" s="235" t="s">
        <v>350</v>
      </c>
      <c r="D9" s="239">
        <v>75000000</v>
      </c>
      <c r="E9" s="237">
        <v>176</v>
      </c>
      <c r="F9" s="1">
        <f>IF(Tabla1[[#This Row],[VALOR ALQUILES MES (MONTHLY RENT)]]="","",IF(Tabla1[[#This Row],[TIEMPO USO AL MES (TIME OF USE MONTH)]]="","",Tabla1[[#This Row],[VALOR ALQUILES MES (MONTHLY RENT)]]/Tabla1[[#This Row],[TIEMPO USO AL MES (TIME OF USE MONTH)]]))</f>
        <v>426136.36363636365</v>
      </c>
      <c r="G9" s="256">
        <v>2</v>
      </c>
      <c r="H9" s="255">
        <v>10800</v>
      </c>
      <c r="I9" s="1">
        <f>IF(Tabla1[[#This Row],[CONSUMO COMBUSTIBLE HORA  (UNIT HOUR VALUE)]]="","",Tabla1[[#This Row],[CONSUMO COMBUSTIBLE HORA  (UNIT HOUR VALUE)]]*Tabla1[[#This Row],[VALOR GALON COMBUSTIBLE (FUEL GALLON VALUE)]])</f>
        <v>21600</v>
      </c>
      <c r="J9" s="1">
        <f>IF(Tabla1[[#This Row],[VALOR UNITARIO HORA (UNIT HOUR VALUE)]]="","",Tabla1[[#This Row],[VALOR UNITARIO HORA (UNIT HOUR VALUE)]]+Tabla1[[#This Row],[VALOR COMBUSTIBLE POR HORA (FUEL GALLON VALUE PER HOUR)]])</f>
        <v>447736.36363636365</v>
      </c>
      <c r="K9" s="244"/>
      <c r="L9" s="265"/>
      <c r="M9" s="265"/>
      <c r="N9" s="265"/>
      <c r="O9" s="266"/>
    </row>
    <row r="10" spans="1:15" ht="17.25" thickBot="1" x14ac:dyDescent="0.35">
      <c r="A10" t="str">
        <f>IF(Tabla1[[#This Row],[MAQUINARIA O EQUIPO (MACHINERY AND EQUIP)]]="","",CONCATENATE(Tabla1[[#This Row],[MAQUINARIA O EQUIPO (MACHINERY AND EQUIP)]],"-",Tabla1[[#This Row],[MODELO (MODEL)]],"-",Tabla1[[#This Row],[AÑO (YEAR)]],"-", Tabla1[[#This Row],[PROVEEDOR (SUPPLIER)]]))</f>
        <v>CAMIONETA---</v>
      </c>
      <c r="B10" s="238" t="s">
        <v>367</v>
      </c>
      <c r="C10" s="235" t="s">
        <v>350</v>
      </c>
      <c r="D10" s="239">
        <v>6500000</v>
      </c>
      <c r="E10" s="237">
        <v>176</v>
      </c>
      <c r="F10" s="1">
        <f>IF(Tabla1[[#This Row],[VALOR ALQUILES MES (MONTHLY RENT)]]="","",IF(Tabla1[[#This Row],[TIEMPO USO AL MES (TIME OF USE MONTH)]]="","",Tabla1[[#This Row],[VALOR ALQUILES MES (MONTHLY RENT)]]/Tabla1[[#This Row],[TIEMPO USO AL MES (TIME OF USE MONTH)]]))</f>
        <v>36931.818181818184</v>
      </c>
      <c r="G10" s="256">
        <v>2</v>
      </c>
      <c r="H10" s="255">
        <v>10800</v>
      </c>
      <c r="I10" s="1">
        <f>IF(Tabla1[[#This Row],[CONSUMO COMBUSTIBLE HORA  (UNIT HOUR VALUE)]]="","",Tabla1[[#This Row],[CONSUMO COMBUSTIBLE HORA  (UNIT HOUR VALUE)]]*Tabla1[[#This Row],[VALOR GALON COMBUSTIBLE (FUEL GALLON VALUE)]])</f>
        <v>21600</v>
      </c>
      <c r="J10" s="1">
        <f>IF(Tabla1[[#This Row],[VALOR UNITARIO HORA (UNIT HOUR VALUE)]]="","",Tabla1[[#This Row],[VALOR UNITARIO HORA (UNIT HOUR VALUE)]]+Tabla1[[#This Row],[VALOR COMBUSTIBLE POR HORA (FUEL GALLON VALUE PER HOUR)]])</f>
        <v>58531.818181818184</v>
      </c>
      <c r="K10" s="244"/>
      <c r="L10" s="265"/>
      <c r="M10" s="265"/>
      <c r="N10" s="265"/>
      <c r="O10" s="266"/>
    </row>
    <row r="11" spans="1:15" ht="17.25" thickBot="1" x14ac:dyDescent="0.35">
      <c r="A11" t="str">
        <f>IF(Tabla1[[#This Row],[MAQUINARIA O EQUIPO (MACHINERY AND EQUIP)]]="","",CONCATENATE(Tabla1[[#This Row],[MAQUINARIA O EQUIPO (MACHINERY AND EQUIP)]],"-",Tabla1[[#This Row],[MODELO (MODEL)]],"-",Tabla1[[#This Row],[AÑO (YEAR)]],"-", Tabla1[[#This Row],[PROVEEDOR (SUPPLIER)]]))</f>
        <v>CARRETES---</v>
      </c>
      <c r="B11" s="295" t="s">
        <v>394</v>
      </c>
      <c r="C11" s="235" t="s">
        <v>350</v>
      </c>
      <c r="D11" s="239">
        <v>1250000</v>
      </c>
      <c r="E11" s="237">
        <v>176</v>
      </c>
      <c r="F11" s="1">
        <f>IF(Tabla1[[#This Row],[VALOR ALQUILES MES (MONTHLY RENT)]]="","",IF(Tabla1[[#This Row],[TIEMPO USO AL MES (TIME OF USE MONTH)]]="","",Tabla1[[#This Row],[VALOR ALQUILES MES (MONTHLY RENT)]]/Tabla1[[#This Row],[TIEMPO USO AL MES (TIME OF USE MONTH)]]))</f>
        <v>7102.272727272727</v>
      </c>
      <c r="G11" s="256">
        <v>0</v>
      </c>
      <c r="H11" s="255">
        <v>10800</v>
      </c>
      <c r="I11" s="1">
        <f>IF(Tabla1[[#This Row],[CONSUMO COMBUSTIBLE HORA  (UNIT HOUR VALUE)]]="","",Tabla1[[#This Row],[CONSUMO COMBUSTIBLE HORA  (UNIT HOUR VALUE)]]*Tabla1[[#This Row],[VALOR GALON COMBUSTIBLE (FUEL GALLON VALUE)]])</f>
        <v>0</v>
      </c>
      <c r="J11" s="1">
        <f>IF(Tabla1[[#This Row],[VALOR UNITARIO HORA (UNIT HOUR VALUE)]]="","",Tabla1[[#This Row],[VALOR UNITARIO HORA (UNIT HOUR VALUE)]]+Tabla1[[#This Row],[VALOR COMBUSTIBLE POR HORA (FUEL GALLON VALUE PER HOUR)]])</f>
        <v>7102.272727272727</v>
      </c>
      <c r="K11" s="244"/>
      <c r="L11" s="265"/>
      <c r="M11" s="265"/>
      <c r="N11" s="265"/>
      <c r="O11" s="266"/>
    </row>
    <row r="12" spans="1:15" ht="17.25" thickBot="1" x14ac:dyDescent="0.35">
      <c r="A12" t="str">
        <f>IF(Tabla1[[#This Row],[MAQUINARIA O EQUIPO (MACHINERY AND EQUIP)]]="","",CONCATENATE(Tabla1[[#This Row],[MAQUINARIA O EQUIPO (MACHINERY AND EQUIP)]],"-",Tabla1[[#This Row],[MODELO (MODEL)]],"-",Tabla1[[#This Row],[AÑO (YEAR)]],"-", Tabla1[[#This Row],[PROVEEDOR (SUPPLIER)]]))</f>
        <v>CAMION GRUA---</v>
      </c>
      <c r="B12" s="238" t="s">
        <v>399</v>
      </c>
      <c r="C12" s="235" t="s">
        <v>350</v>
      </c>
      <c r="D12" s="239">
        <v>18000000</v>
      </c>
      <c r="E12" s="237">
        <v>176</v>
      </c>
      <c r="F12" s="1">
        <f>IF(Tabla1[[#This Row],[VALOR ALQUILES MES (MONTHLY RENT)]]="","",IF(Tabla1[[#This Row],[TIEMPO USO AL MES (TIME OF USE MONTH)]]="","",Tabla1[[#This Row],[VALOR ALQUILES MES (MONTHLY RENT)]]/Tabla1[[#This Row],[TIEMPO USO AL MES (TIME OF USE MONTH)]]))</f>
        <v>102272.72727272728</v>
      </c>
      <c r="G12" s="256">
        <v>2</v>
      </c>
      <c r="H12" s="255">
        <v>10800</v>
      </c>
      <c r="I12" s="1">
        <f>IF(Tabla1[[#This Row],[CONSUMO COMBUSTIBLE HORA  (UNIT HOUR VALUE)]]="","",Tabla1[[#This Row],[CONSUMO COMBUSTIBLE HORA  (UNIT HOUR VALUE)]]*Tabla1[[#This Row],[VALOR GALON COMBUSTIBLE (FUEL GALLON VALUE)]])</f>
        <v>21600</v>
      </c>
      <c r="J12" s="1">
        <f>IF(Tabla1[[#This Row],[VALOR UNITARIO HORA (UNIT HOUR VALUE)]]="","",Tabla1[[#This Row],[VALOR UNITARIO HORA (UNIT HOUR VALUE)]]+Tabla1[[#This Row],[VALOR COMBUSTIBLE POR HORA (FUEL GALLON VALUE PER HOUR)]])</f>
        <v>123872.72727272728</v>
      </c>
      <c r="K12" s="244"/>
      <c r="L12" s="265"/>
      <c r="M12" s="265"/>
      <c r="N12" s="265"/>
      <c r="O12" s="266"/>
    </row>
    <row r="13" spans="1:15" ht="17.25" thickBot="1" x14ac:dyDescent="0.35">
      <c r="A13" t="str">
        <f>IF(Tabla1[[#This Row],[MAQUINARIA O EQUIPO (MACHINERY AND EQUIP)]]="","",CONCATENATE(Tabla1[[#This Row],[MAQUINARIA O EQUIPO (MACHINERY AND EQUIP)]],"-",Tabla1[[#This Row],[MODELO (MODEL)]],"-",Tabla1[[#This Row],[AÑO (YEAR)]],"-", Tabla1[[#This Row],[PROVEEDOR (SUPPLIER)]]))</f>
        <v>MINICARGADOR---</v>
      </c>
      <c r="B13" s="238" t="s">
        <v>448</v>
      </c>
      <c r="C13" s="241"/>
      <c r="D13" s="239">
        <v>12000000</v>
      </c>
      <c r="E13" s="240">
        <v>176</v>
      </c>
      <c r="F13" s="1">
        <f>IF(Tabla1[[#This Row],[VALOR ALQUILES MES (MONTHLY RENT)]]="","",IF(Tabla1[[#This Row],[TIEMPO USO AL MES (TIME OF USE MONTH)]]="","",Tabla1[[#This Row],[VALOR ALQUILES MES (MONTHLY RENT)]]/Tabla1[[#This Row],[TIEMPO USO AL MES (TIME OF USE MONTH)]]))</f>
        <v>68181.818181818177</v>
      </c>
      <c r="G13" s="256">
        <v>1.5</v>
      </c>
      <c r="H13" s="255">
        <v>10800</v>
      </c>
      <c r="I13" s="1">
        <f>IF(Tabla1[[#This Row],[CONSUMO COMBUSTIBLE HORA  (UNIT HOUR VALUE)]]="","",Tabla1[[#This Row],[CONSUMO COMBUSTIBLE HORA  (UNIT HOUR VALUE)]]*Tabla1[[#This Row],[VALOR GALON COMBUSTIBLE (FUEL GALLON VALUE)]])</f>
        <v>16200</v>
      </c>
      <c r="J13" s="1">
        <f>IF(Tabla1[[#This Row],[VALOR UNITARIO HORA (UNIT HOUR VALUE)]]="","",Tabla1[[#This Row],[VALOR UNITARIO HORA (UNIT HOUR VALUE)]]+Tabla1[[#This Row],[VALOR COMBUSTIBLE POR HORA (FUEL GALLON VALUE PER HOUR)]])</f>
        <v>84381.818181818177</v>
      </c>
      <c r="K13" s="244"/>
      <c r="L13" s="265"/>
      <c r="M13" s="265"/>
      <c r="N13" s="265"/>
      <c r="O13" s="266"/>
    </row>
    <row r="14" spans="1:15" ht="17.25" thickBot="1" x14ac:dyDescent="0.35">
      <c r="A14" t="str">
        <f>IF(Tabla1[[#This Row],[MAQUINARIA O EQUIPO (MACHINERY AND EQUIP)]]="","",CONCATENATE(Tabla1[[#This Row],[MAQUINARIA O EQUIPO (MACHINERY AND EQUIP)]],"-",Tabla1[[#This Row],[MODELO (MODEL)]],"-",Tabla1[[#This Row],[AÑO (YEAR)]],"-", Tabla1[[#This Row],[PROVEEDOR (SUPPLIER)]]))</f>
        <v>COMPACTADOR 2T---</v>
      </c>
      <c r="B14" s="238" t="s">
        <v>450</v>
      </c>
      <c r="C14" s="241"/>
      <c r="D14" s="239">
        <v>4000000</v>
      </c>
      <c r="E14" s="240">
        <v>176</v>
      </c>
      <c r="F14" s="1">
        <f>IF(Tabla1[[#This Row],[VALOR ALQUILES MES (MONTHLY RENT)]]="","",IF(Tabla1[[#This Row],[TIEMPO USO AL MES (TIME OF USE MONTH)]]="","",Tabla1[[#This Row],[VALOR ALQUILES MES (MONTHLY RENT)]]/Tabla1[[#This Row],[TIEMPO USO AL MES (TIME OF USE MONTH)]]))</f>
        <v>22727.272727272728</v>
      </c>
      <c r="G14" s="256">
        <v>1</v>
      </c>
      <c r="H14" s="255">
        <v>10800</v>
      </c>
      <c r="I14" s="1">
        <f>IF(Tabla1[[#This Row],[CONSUMO COMBUSTIBLE HORA  (UNIT HOUR VALUE)]]="","",Tabla1[[#This Row],[CONSUMO COMBUSTIBLE HORA  (UNIT HOUR VALUE)]]*Tabla1[[#This Row],[VALOR GALON COMBUSTIBLE (FUEL GALLON VALUE)]])</f>
        <v>10800</v>
      </c>
      <c r="J14" s="1">
        <f>IF(Tabla1[[#This Row],[VALOR UNITARIO HORA (UNIT HOUR VALUE)]]="","",Tabla1[[#This Row],[VALOR UNITARIO HORA (UNIT HOUR VALUE)]]+Tabla1[[#This Row],[VALOR COMBUSTIBLE POR HORA (FUEL GALLON VALUE PER HOUR)]])</f>
        <v>33527.272727272728</v>
      </c>
      <c r="K14" s="244"/>
      <c r="L14" s="265"/>
      <c r="M14" s="265"/>
      <c r="N14" s="265"/>
      <c r="O14" s="266"/>
    </row>
    <row r="15" spans="1:15" ht="17.25" thickBot="1" x14ac:dyDescent="0.35">
      <c r="A15" t="str">
        <f>IF(Tabla1[[#This Row],[MAQUINARIA O EQUIPO (MACHINERY AND EQUIP)]]="","",CONCATENATE(Tabla1[[#This Row],[MAQUINARIA O EQUIPO (MACHINERY AND EQUIP)]],"-",Tabla1[[#This Row],[MODELO (MODEL)]],"-",Tabla1[[#This Row],[AÑO (YEAR)]],"-", Tabla1[[#This Row],[PROVEEDOR (SUPPLIER)]]))</f>
        <v>MOTO BOMBA---</v>
      </c>
      <c r="B15" s="238" t="s">
        <v>451</v>
      </c>
      <c r="C15" s="241"/>
      <c r="D15" s="239">
        <v>3000000</v>
      </c>
      <c r="E15" s="240">
        <v>176</v>
      </c>
      <c r="F15" s="1">
        <f>IF(Tabla1[[#This Row],[VALOR ALQUILES MES (MONTHLY RENT)]]="","",IF(Tabla1[[#This Row],[TIEMPO USO AL MES (TIME OF USE MONTH)]]="","",Tabla1[[#This Row],[VALOR ALQUILES MES (MONTHLY RENT)]]/Tabla1[[#This Row],[TIEMPO USO AL MES (TIME OF USE MONTH)]]))</f>
        <v>17045.454545454544</v>
      </c>
      <c r="G15" s="256">
        <v>1</v>
      </c>
      <c r="H15" s="255">
        <v>10800</v>
      </c>
      <c r="I15" s="1">
        <f>IF(Tabla1[[#This Row],[CONSUMO COMBUSTIBLE HORA  (UNIT HOUR VALUE)]]="","",Tabla1[[#This Row],[CONSUMO COMBUSTIBLE HORA  (UNIT HOUR VALUE)]]*Tabla1[[#This Row],[VALOR GALON COMBUSTIBLE (FUEL GALLON VALUE)]])</f>
        <v>10800</v>
      </c>
      <c r="J15" s="1">
        <f>IF(Tabla1[[#This Row],[VALOR UNITARIO HORA (UNIT HOUR VALUE)]]="","",Tabla1[[#This Row],[VALOR UNITARIO HORA (UNIT HOUR VALUE)]]+Tabla1[[#This Row],[VALOR COMBUSTIBLE POR HORA (FUEL GALLON VALUE PER HOUR)]])</f>
        <v>27845.454545454544</v>
      </c>
      <c r="K15" s="244"/>
      <c r="L15" s="265"/>
      <c r="M15" s="265"/>
      <c r="N15" s="265"/>
      <c r="O15" s="266"/>
    </row>
    <row r="16" spans="1:15" ht="17.25" thickBot="1" x14ac:dyDescent="0.35">
      <c r="A16" t="str">
        <f>IF(Tabla1[[#This Row],[MAQUINARIA O EQUIPO (MACHINERY AND EQUIP)]]="","",CONCATENATE(Tabla1[[#This Row],[MAQUINARIA O EQUIPO (MACHINERY AND EQUIP)]],"-",Tabla1[[#This Row],[MODELO (MODEL)]],"-",Tabla1[[#This Row],[AÑO (YEAR)]],"-", Tabla1[[#This Row],[PROVEEDOR (SUPPLIER)]]))</f>
        <v>MINIBUS---</v>
      </c>
      <c r="B16" s="238" t="s">
        <v>454</v>
      </c>
      <c r="C16" s="241"/>
      <c r="D16" s="239">
        <v>14000000</v>
      </c>
      <c r="E16" s="240">
        <v>176</v>
      </c>
      <c r="F16" s="1">
        <f>IF(Tabla1[[#This Row],[VALOR ALQUILES MES (MONTHLY RENT)]]="","",IF(Tabla1[[#This Row],[TIEMPO USO AL MES (TIME OF USE MONTH)]]="","",Tabla1[[#This Row],[VALOR ALQUILES MES (MONTHLY RENT)]]/Tabla1[[#This Row],[TIEMPO USO AL MES (TIME OF USE MONTH)]]))</f>
        <v>79545.454545454544</v>
      </c>
      <c r="G16" s="256">
        <v>2</v>
      </c>
      <c r="H16" s="255">
        <v>10800</v>
      </c>
      <c r="I16" s="1">
        <f>IF(Tabla1[[#This Row],[CONSUMO COMBUSTIBLE HORA  (UNIT HOUR VALUE)]]="","",Tabla1[[#This Row],[CONSUMO COMBUSTIBLE HORA  (UNIT HOUR VALUE)]]*Tabla1[[#This Row],[VALOR GALON COMBUSTIBLE (FUEL GALLON VALUE)]])</f>
        <v>21600</v>
      </c>
      <c r="J16" s="1">
        <f>IF(Tabla1[[#This Row],[VALOR UNITARIO HORA (UNIT HOUR VALUE)]]="","",Tabla1[[#This Row],[VALOR UNITARIO HORA (UNIT HOUR VALUE)]]+Tabla1[[#This Row],[VALOR COMBUSTIBLE POR HORA (FUEL GALLON VALUE PER HOUR)]])</f>
        <v>101145.45454545454</v>
      </c>
      <c r="K16" s="244"/>
      <c r="L16" s="265"/>
      <c r="M16" s="265"/>
      <c r="N16" s="265"/>
      <c r="O16" s="266"/>
    </row>
    <row r="17" spans="1:15" ht="17.25" thickBot="1" x14ac:dyDescent="0.35">
      <c r="A17" t="str">
        <f>IF(Tabla1[[#This Row],[MAQUINARIA O EQUIPO (MACHINERY AND EQUIP)]]="","",CONCATENATE(Tabla1[[#This Row],[MAQUINARIA O EQUIPO (MACHINERY AND EQUIP)]],"-",Tabla1[[#This Row],[MODELO (MODEL)]],"-",Tabla1[[#This Row],[AÑO (YEAR)]],"-", Tabla1[[#This Row],[PROVEEDOR (SUPPLIER)]]))</f>
        <v>Transporte de Equipo---</v>
      </c>
      <c r="B17" s="238" t="s">
        <v>456</v>
      </c>
      <c r="C17" s="331" t="s">
        <v>418</v>
      </c>
      <c r="D17" s="239">
        <v>4800000</v>
      </c>
      <c r="E17" s="240">
        <v>1</v>
      </c>
      <c r="F17" s="1">
        <f>IF(Tabla1[[#This Row],[VALOR ALQUILES MES (MONTHLY RENT)]]="","",IF(Tabla1[[#This Row],[TIEMPO USO AL MES (TIME OF USE MONTH)]]="","",Tabla1[[#This Row],[VALOR ALQUILES MES (MONTHLY RENT)]]/Tabla1[[#This Row],[TIEMPO USO AL MES (TIME OF USE MONTH)]]))</f>
        <v>4800000</v>
      </c>
      <c r="G17" s="256">
        <v>0</v>
      </c>
      <c r="H17" s="255">
        <v>10800</v>
      </c>
      <c r="I17" s="1">
        <f>IF(Tabla1[[#This Row],[CONSUMO COMBUSTIBLE HORA  (UNIT HOUR VALUE)]]="","",Tabla1[[#This Row],[CONSUMO COMBUSTIBLE HORA  (UNIT HOUR VALUE)]]*Tabla1[[#This Row],[VALOR GALON COMBUSTIBLE (FUEL GALLON VALUE)]])</f>
        <v>0</v>
      </c>
      <c r="J17" s="1">
        <f>IF(Tabla1[[#This Row],[VALOR UNITARIO HORA (UNIT HOUR VALUE)]]="","",Tabla1[[#This Row],[VALOR UNITARIO HORA (UNIT HOUR VALUE)]]+Tabla1[[#This Row],[VALOR COMBUSTIBLE POR HORA (FUEL GALLON VALUE PER HOUR)]])</f>
        <v>4800000</v>
      </c>
      <c r="K17" s="244"/>
      <c r="L17" s="265"/>
      <c r="M17" s="265"/>
      <c r="N17" s="265"/>
      <c r="O17" s="266"/>
    </row>
    <row r="18" spans="1:15" ht="17.25" thickBot="1" x14ac:dyDescent="0.35">
      <c r="A18" t="str">
        <f>IF(Tabla1[[#This Row],[MAQUINARIA O EQUIPO (MACHINERY AND EQUIP)]]="","",CONCATENATE(Tabla1[[#This Row],[MAQUINARIA O EQUIPO (MACHINERY AND EQUIP)]],"-",Tabla1[[#This Row],[MODELO (MODEL)]],"-",Tabla1[[#This Row],[AÑO (YEAR)]],"-", Tabla1[[#This Row],[PROVEEDOR (SUPPLIER)]]))</f>
        <v>Movilizacion de personal---</v>
      </c>
      <c r="B18" s="238" t="s">
        <v>458</v>
      </c>
      <c r="C18" s="331" t="s">
        <v>459</v>
      </c>
      <c r="D18" s="239">
        <v>3950000</v>
      </c>
      <c r="E18" s="240">
        <v>1</v>
      </c>
      <c r="F18" s="1">
        <f>IF(Tabla1[[#This Row],[VALOR ALQUILES MES (MONTHLY RENT)]]="","",IF(Tabla1[[#This Row],[TIEMPO USO AL MES (TIME OF USE MONTH)]]="","",Tabla1[[#This Row],[VALOR ALQUILES MES (MONTHLY RENT)]]/Tabla1[[#This Row],[TIEMPO USO AL MES (TIME OF USE MONTH)]]))</f>
        <v>3950000</v>
      </c>
      <c r="G18" s="256">
        <v>0</v>
      </c>
      <c r="H18" s="255">
        <v>10800</v>
      </c>
      <c r="I18" s="1">
        <f>IF(Tabla1[[#This Row],[CONSUMO COMBUSTIBLE HORA  (UNIT HOUR VALUE)]]="","",Tabla1[[#This Row],[CONSUMO COMBUSTIBLE HORA  (UNIT HOUR VALUE)]]*Tabla1[[#This Row],[VALOR GALON COMBUSTIBLE (FUEL GALLON VALUE)]])</f>
        <v>0</v>
      </c>
      <c r="J18" s="1">
        <f>IF(Tabla1[[#This Row],[VALOR UNITARIO HORA (UNIT HOUR VALUE)]]="","",Tabla1[[#This Row],[VALOR UNITARIO HORA (UNIT HOUR VALUE)]]+Tabla1[[#This Row],[VALOR COMBUSTIBLE POR HORA (FUEL GALLON VALUE PER HOUR)]])</f>
        <v>3950000</v>
      </c>
      <c r="K18" s="244"/>
      <c r="L18" s="265"/>
      <c r="M18" s="265"/>
      <c r="N18" s="265"/>
      <c r="O18" s="266"/>
    </row>
    <row r="19" spans="1:15" ht="17.25" thickBot="1" x14ac:dyDescent="0.35">
      <c r="A19" t="str">
        <f>IF(Tabla1[[#This Row],[MAQUINARIA O EQUIPO (MACHINERY AND EQUIP)]]="","",CONCATENATE(Tabla1[[#This Row],[MAQUINARIA O EQUIPO (MACHINERY AND EQUIP)]],"-",Tabla1[[#This Row],[MODELO (MODEL)]],"-",Tabla1[[#This Row],[AÑO (YEAR)]],"-", Tabla1[[#This Row],[PROVEEDOR (SUPPLIER)]]))</f>
        <v>Caja menor---</v>
      </c>
      <c r="B19" s="238" t="s">
        <v>481</v>
      </c>
      <c r="C19" s="331" t="s">
        <v>482</v>
      </c>
      <c r="D19" s="239">
        <v>5000000</v>
      </c>
      <c r="E19" s="240">
        <v>1</v>
      </c>
      <c r="F19" s="1">
        <f>IF(Tabla1[[#This Row],[VALOR ALQUILES MES (MONTHLY RENT)]]="","",IF(Tabla1[[#This Row],[TIEMPO USO AL MES (TIME OF USE MONTH)]]="","",Tabla1[[#This Row],[VALOR ALQUILES MES (MONTHLY RENT)]]/Tabla1[[#This Row],[TIEMPO USO AL MES (TIME OF USE MONTH)]]))</f>
        <v>5000000</v>
      </c>
      <c r="G19" s="256">
        <v>0</v>
      </c>
      <c r="H19" s="255">
        <v>10800</v>
      </c>
      <c r="I19" s="1">
        <f>IF(Tabla1[[#This Row],[CONSUMO COMBUSTIBLE HORA  (UNIT HOUR VALUE)]]="","",Tabla1[[#This Row],[CONSUMO COMBUSTIBLE HORA  (UNIT HOUR VALUE)]]*Tabla1[[#This Row],[VALOR GALON COMBUSTIBLE (FUEL GALLON VALUE)]])</f>
        <v>0</v>
      </c>
      <c r="J19" s="1">
        <f>IF(Tabla1[[#This Row],[VALOR UNITARIO HORA (UNIT HOUR VALUE)]]="","",Tabla1[[#This Row],[VALOR UNITARIO HORA (UNIT HOUR VALUE)]]+Tabla1[[#This Row],[VALOR COMBUSTIBLE POR HORA (FUEL GALLON VALUE PER HOUR)]])</f>
        <v>5000000</v>
      </c>
      <c r="K19" s="244"/>
      <c r="L19" s="265"/>
      <c r="M19" s="265"/>
      <c r="N19" s="265"/>
      <c r="O19" s="266"/>
    </row>
    <row r="20" spans="1:15" ht="17.25" thickBot="1" x14ac:dyDescent="0.35">
      <c r="A20" t="str">
        <f>IF(Tabla1[[#This Row],[MAQUINARIA O EQUIPO (MACHINERY AND EQUIP)]]="","",CONCATENATE(Tabla1[[#This Row],[MAQUINARIA O EQUIPO (MACHINERY AND EQUIP)]],"-",Tabla1[[#This Row],[MODELO (MODEL)]],"-",Tabla1[[#This Row],[AÑO (YEAR)]],"-", Tabla1[[#This Row],[PROVEEDOR (SUPPLIER)]]))</f>
        <v>Equipos de Computo---</v>
      </c>
      <c r="B20" s="238" t="s">
        <v>483</v>
      </c>
      <c r="C20" s="331" t="s">
        <v>482</v>
      </c>
      <c r="D20" s="239">
        <v>3000000</v>
      </c>
      <c r="E20" s="240">
        <v>1</v>
      </c>
      <c r="F20" s="1">
        <f>IF(Tabla1[[#This Row],[VALOR ALQUILES MES (MONTHLY RENT)]]="","",IF(Tabla1[[#This Row],[TIEMPO USO AL MES (TIME OF USE MONTH)]]="","",Tabla1[[#This Row],[VALOR ALQUILES MES (MONTHLY RENT)]]/Tabla1[[#This Row],[TIEMPO USO AL MES (TIME OF USE MONTH)]]))</f>
        <v>3000000</v>
      </c>
      <c r="G20" s="256">
        <v>0</v>
      </c>
      <c r="H20" s="255">
        <v>10800</v>
      </c>
      <c r="I20" s="1">
        <f>IF(Tabla1[[#This Row],[CONSUMO COMBUSTIBLE HORA  (UNIT HOUR VALUE)]]="","",Tabla1[[#This Row],[CONSUMO COMBUSTIBLE HORA  (UNIT HOUR VALUE)]]*Tabla1[[#This Row],[VALOR GALON COMBUSTIBLE (FUEL GALLON VALUE)]])</f>
        <v>0</v>
      </c>
      <c r="J20" s="1">
        <f>IF(Tabla1[[#This Row],[VALOR UNITARIO HORA (UNIT HOUR VALUE)]]="","",Tabla1[[#This Row],[VALOR UNITARIO HORA (UNIT HOUR VALUE)]]+Tabla1[[#This Row],[VALOR COMBUSTIBLE POR HORA (FUEL GALLON VALUE PER HOUR)]])</f>
        <v>3000000</v>
      </c>
      <c r="K20" s="244"/>
      <c r="L20" s="265"/>
      <c r="M20" s="265"/>
      <c r="N20" s="265"/>
      <c r="O20" s="266"/>
    </row>
    <row r="21" spans="1:15" ht="17.25" thickBot="1" x14ac:dyDescent="0.35">
      <c r="A21" t="str">
        <f>IF(Tabla1[[#This Row],[MAQUINARIA O EQUIPO (MACHINERY AND EQUIP)]]="","",CONCATENATE(Tabla1[[#This Row],[MAQUINARIA O EQUIPO (MACHINERY AND EQUIP)]],"-",Tabla1[[#This Row],[MODELO (MODEL)]],"-",Tabla1[[#This Row],[AÑO (YEAR)]],"-", Tabla1[[#This Row],[PROVEEDOR (SUPPLIER)]]))</f>
        <v>Papeleria e Impresora---</v>
      </c>
      <c r="B21" s="238" t="s">
        <v>593</v>
      </c>
      <c r="C21" s="331" t="s">
        <v>482</v>
      </c>
      <c r="D21" s="239">
        <v>3000000</v>
      </c>
      <c r="E21" s="240">
        <v>1</v>
      </c>
      <c r="F21" s="1">
        <f>IF(Tabla1[[#This Row],[VALOR ALQUILES MES (MONTHLY RENT)]]="","",IF(Tabla1[[#This Row],[TIEMPO USO AL MES (TIME OF USE MONTH)]]="","",Tabla1[[#This Row],[VALOR ALQUILES MES (MONTHLY RENT)]]/Tabla1[[#This Row],[TIEMPO USO AL MES (TIME OF USE MONTH)]]))</f>
        <v>3000000</v>
      </c>
      <c r="G21" s="256">
        <v>0</v>
      </c>
      <c r="H21" s="255">
        <v>10800</v>
      </c>
      <c r="I21" s="1">
        <f>IF(Tabla1[[#This Row],[CONSUMO COMBUSTIBLE HORA  (UNIT HOUR VALUE)]]="","",Tabla1[[#This Row],[CONSUMO COMBUSTIBLE HORA  (UNIT HOUR VALUE)]]*Tabla1[[#This Row],[VALOR GALON COMBUSTIBLE (FUEL GALLON VALUE)]])</f>
        <v>0</v>
      </c>
      <c r="J21" s="1">
        <f>IF(Tabla1[[#This Row],[VALOR UNITARIO HORA (UNIT HOUR VALUE)]]="","",Tabla1[[#This Row],[VALOR UNITARIO HORA (UNIT HOUR VALUE)]]+Tabla1[[#This Row],[VALOR COMBUSTIBLE POR HORA (FUEL GALLON VALUE PER HOUR)]])</f>
        <v>3000000</v>
      </c>
      <c r="K21" s="244"/>
      <c r="L21" s="265"/>
      <c r="M21" s="265"/>
      <c r="N21" s="265"/>
      <c r="O21" s="266"/>
    </row>
    <row r="22" spans="1:15" ht="17.25" thickBot="1" x14ac:dyDescent="0.35">
      <c r="A22" t="str">
        <f>IF(Tabla1[[#This Row],[MAQUINARIA O EQUIPO (MACHINERY AND EQUIP)]]="","",CONCATENATE(Tabla1[[#This Row],[MAQUINARIA O EQUIPO (MACHINERY AND EQUIP)]],"-",Tabla1[[#This Row],[MODELO (MODEL)]],"-",Tabla1[[#This Row],[AÑO (YEAR)]],"-", Tabla1[[#This Row],[PROVEEDOR (SUPPLIER)]]))</f>
        <v>Arriendo oficina la dorada---</v>
      </c>
      <c r="B22" s="238" t="s">
        <v>484</v>
      </c>
      <c r="C22" s="331" t="s">
        <v>482</v>
      </c>
      <c r="D22" s="239">
        <v>4000000</v>
      </c>
      <c r="E22" s="240">
        <v>1</v>
      </c>
      <c r="F22" s="1">
        <f>IF(Tabla1[[#This Row],[VALOR ALQUILES MES (MONTHLY RENT)]]="","",IF(Tabla1[[#This Row],[TIEMPO USO AL MES (TIME OF USE MONTH)]]="","",Tabla1[[#This Row],[VALOR ALQUILES MES (MONTHLY RENT)]]/Tabla1[[#This Row],[TIEMPO USO AL MES (TIME OF USE MONTH)]]))</f>
        <v>4000000</v>
      </c>
      <c r="G22" s="256">
        <v>0</v>
      </c>
      <c r="H22" s="255">
        <v>10800</v>
      </c>
      <c r="I22" s="1">
        <f>IF(Tabla1[[#This Row],[CONSUMO COMBUSTIBLE HORA  (UNIT HOUR VALUE)]]="","",Tabla1[[#This Row],[CONSUMO COMBUSTIBLE HORA  (UNIT HOUR VALUE)]]*Tabla1[[#This Row],[VALOR GALON COMBUSTIBLE (FUEL GALLON VALUE)]])</f>
        <v>0</v>
      </c>
      <c r="J22" s="1">
        <f>IF(Tabla1[[#This Row],[VALOR UNITARIO HORA (UNIT HOUR VALUE)]]="","",Tabla1[[#This Row],[VALOR UNITARIO HORA (UNIT HOUR VALUE)]]+Tabla1[[#This Row],[VALOR COMBUSTIBLE POR HORA (FUEL GALLON VALUE PER HOUR)]])</f>
        <v>4000000</v>
      </c>
      <c r="K22" s="244"/>
      <c r="L22" s="265"/>
      <c r="M22" s="265"/>
      <c r="N22" s="265"/>
      <c r="O22" s="266"/>
    </row>
    <row r="23" spans="1:15" ht="17.25" thickBot="1" x14ac:dyDescent="0.35">
      <c r="A23" t="str">
        <f>IF(Tabla1[[#This Row],[MAQUINARIA O EQUIPO (MACHINERY AND EQUIP)]]="","",CONCATENATE(Tabla1[[#This Row],[MAQUINARIA O EQUIPO (MACHINERY AND EQUIP)]],"-",Tabla1[[#This Row],[MODELO (MODEL)]],"-",Tabla1[[#This Row],[AÑO (YEAR)]],"-", Tabla1[[#This Row],[PROVEEDOR (SUPPLIER)]]))</f>
        <v>Gastos administrativos---</v>
      </c>
      <c r="B23" s="238" t="s">
        <v>485</v>
      </c>
      <c r="C23" s="331" t="s">
        <v>482</v>
      </c>
      <c r="D23" s="239">
        <v>1200000</v>
      </c>
      <c r="E23" s="240">
        <v>1</v>
      </c>
      <c r="F23" s="1">
        <f>IF(Tabla1[[#This Row],[VALOR ALQUILES MES (MONTHLY RENT)]]="","",IF(Tabla1[[#This Row],[TIEMPO USO AL MES (TIME OF USE MONTH)]]="","",Tabla1[[#This Row],[VALOR ALQUILES MES (MONTHLY RENT)]]/Tabla1[[#This Row],[TIEMPO USO AL MES (TIME OF USE MONTH)]]))</f>
        <v>1200000</v>
      </c>
      <c r="G23" s="256">
        <v>0</v>
      </c>
      <c r="H23" s="255">
        <v>10800</v>
      </c>
      <c r="I23" s="1">
        <f>IF(Tabla1[[#This Row],[CONSUMO COMBUSTIBLE HORA  (UNIT HOUR VALUE)]]="","",Tabla1[[#This Row],[CONSUMO COMBUSTIBLE HORA  (UNIT HOUR VALUE)]]*Tabla1[[#This Row],[VALOR GALON COMBUSTIBLE (FUEL GALLON VALUE)]])</f>
        <v>0</v>
      </c>
      <c r="J23" s="1">
        <f>IF(Tabla1[[#This Row],[VALOR UNITARIO HORA (UNIT HOUR VALUE)]]="","",Tabla1[[#This Row],[VALOR UNITARIO HORA (UNIT HOUR VALUE)]]+Tabla1[[#This Row],[VALOR COMBUSTIBLE POR HORA (FUEL GALLON VALUE PER HOUR)]])</f>
        <v>1200000</v>
      </c>
      <c r="K23" s="244"/>
      <c r="L23" s="265"/>
      <c r="M23" s="265"/>
      <c r="N23" s="265"/>
      <c r="O23" s="266"/>
    </row>
    <row r="24" spans="1:15" ht="17.25" thickBot="1" x14ac:dyDescent="0.35">
      <c r="A24" t="str">
        <f>IF(Tabla1[[#This Row],[MAQUINARIA O EQUIPO (MACHINERY AND EQUIP)]]="","",CONCATENATE(Tabla1[[#This Row],[MAQUINARIA O EQUIPO (MACHINERY AND EQUIP)]],"-",Tabla1[[#This Row],[MODELO (MODEL)]],"-",Tabla1[[#This Row],[AÑO (YEAR)]],"-", Tabla1[[#This Row],[PROVEEDOR (SUPPLIER)]]))</f>
        <v>Elementos HSE---</v>
      </c>
      <c r="B24" s="242" t="s">
        <v>486</v>
      </c>
      <c r="C24" s="331" t="s">
        <v>482</v>
      </c>
      <c r="D24" s="239">
        <v>5800000</v>
      </c>
      <c r="E24" s="240">
        <v>1</v>
      </c>
      <c r="F24" s="1">
        <f>IF(Tabla1[[#This Row],[VALOR ALQUILES MES (MONTHLY RENT)]]="","",IF(Tabla1[[#This Row],[TIEMPO USO AL MES (TIME OF USE MONTH)]]="","",Tabla1[[#This Row],[VALOR ALQUILES MES (MONTHLY RENT)]]/Tabla1[[#This Row],[TIEMPO USO AL MES (TIME OF USE MONTH)]]))</f>
        <v>5800000</v>
      </c>
      <c r="G24" s="256">
        <v>0</v>
      </c>
      <c r="H24" s="255">
        <v>10800</v>
      </c>
      <c r="I24" s="1">
        <f>IF(Tabla1[[#This Row],[CONSUMO COMBUSTIBLE HORA  (UNIT HOUR VALUE)]]="","",Tabla1[[#This Row],[CONSUMO COMBUSTIBLE HORA  (UNIT HOUR VALUE)]]*Tabla1[[#This Row],[VALOR GALON COMBUSTIBLE (FUEL GALLON VALUE)]])</f>
        <v>0</v>
      </c>
      <c r="J24" s="1">
        <f>IF(Tabla1[[#This Row],[VALOR UNITARIO HORA (UNIT HOUR VALUE)]]="","",Tabla1[[#This Row],[VALOR UNITARIO HORA (UNIT HOUR VALUE)]]+Tabla1[[#This Row],[VALOR COMBUSTIBLE POR HORA (FUEL GALLON VALUE PER HOUR)]])</f>
        <v>5800000</v>
      </c>
      <c r="K24" s="244"/>
      <c r="L24" s="265"/>
      <c r="M24" s="265"/>
      <c r="N24" s="265"/>
      <c r="O24" s="266"/>
    </row>
    <row r="25" spans="1:15" ht="17.25" thickBot="1" x14ac:dyDescent="0.35">
      <c r="A25" t="str">
        <f>IF(Tabla1[[#This Row],[MAQUINARIA O EQUIPO (MACHINERY AND EQUIP)]]="","",CONCATENATE(Tabla1[[#This Row],[MAQUINARIA O EQUIPO (MACHINERY AND EQUIP)]],"-",Tabla1[[#This Row],[MODELO (MODEL)]],"-",Tabla1[[#This Row],[AÑO (YEAR)]],"-", Tabla1[[#This Row],[PROVEEDOR (SUPPLIER)]]))</f>
        <v>Contenedor Oficina---</v>
      </c>
      <c r="B25" s="242" t="s">
        <v>487</v>
      </c>
      <c r="C25" s="331" t="s">
        <v>482</v>
      </c>
      <c r="D25" s="239">
        <v>1400000</v>
      </c>
      <c r="E25" s="240">
        <v>1</v>
      </c>
      <c r="F25" s="1">
        <f>IF(Tabla1[[#This Row],[VALOR ALQUILES MES (MONTHLY RENT)]]="","",IF(Tabla1[[#This Row],[TIEMPO USO AL MES (TIME OF USE MONTH)]]="","",Tabla1[[#This Row],[VALOR ALQUILES MES (MONTHLY RENT)]]/Tabla1[[#This Row],[TIEMPO USO AL MES (TIME OF USE MONTH)]]))</f>
        <v>1400000</v>
      </c>
      <c r="G25" s="256">
        <v>0</v>
      </c>
      <c r="H25" s="255">
        <v>10800</v>
      </c>
      <c r="I25" s="1">
        <f>IF(Tabla1[[#This Row],[CONSUMO COMBUSTIBLE HORA  (UNIT HOUR VALUE)]]="","",Tabla1[[#This Row],[CONSUMO COMBUSTIBLE HORA  (UNIT HOUR VALUE)]]*Tabla1[[#This Row],[VALOR GALON COMBUSTIBLE (FUEL GALLON VALUE)]])</f>
        <v>0</v>
      </c>
      <c r="J25" s="1">
        <f>IF(Tabla1[[#This Row],[VALOR UNITARIO HORA (UNIT HOUR VALUE)]]="","",Tabla1[[#This Row],[VALOR UNITARIO HORA (UNIT HOUR VALUE)]]+Tabla1[[#This Row],[VALOR COMBUSTIBLE POR HORA (FUEL GALLON VALUE PER HOUR)]])</f>
        <v>1400000</v>
      </c>
      <c r="K25" s="244"/>
      <c r="L25" s="265"/>
      <c r="M25" s="265"/>
      <c r="N25" s="265"/>
      <c r="O25" s="266"/>
    </row>
    <row r="26" spans="1:15" ht="17.25" thickBot="1" x14ac:dyDescent="0.35">
      <c r="A26" t="str">
        <f>IF(Tabla1[[#This Row],[MAQUINARIA O EQUIPO (MACHINERY AND EQUIP)]]="","",CONCATENATE(Tabla1[[#This Row],[MAQUINARIA O EQUIPO (MACHINERY AND EQUIP)]],"-",Tabla1[[#This Row],[MODELO (MODEL)]],"-",Tabla1[[#This Row],[AÑO (YEAR)]],"-", Tabla1[[#This Row],[PROVEEDOR (SUPPLIER)]]))</f>
        <v>Contenedor Almacen---</v>
      </c>
      <c r="B26" s="242" t="s">
        <v>488</v>
      </c>
      <c r="C26" s="331" t="s">
        <v>482</v>
      </c>
      <c r="D26" s="239">
        <v>900000</v>
      </c>
      <c r="E26" s="240">
        <v>1</v>
      </c>
      <c r="F26" s="1">
        <f>IF(Tabla1[[#This Row],[VALOR ALQUILES MES (MONTHLY RENT)]]="","",IF(Tabla1[[#This Row],[TIEMPO USO AL MES (TIME OF USE MONTH)]]="","",Tabla1[[#This Row],[VALOR ALQUILES MES (MONTHLY RENT)]]/Tabla1[[#This Row],[TIEMPO USO AL MES (TIME OF USE MONTH)]]))</f>
        <v>900000</v>
      </c>
      <c r="G26" s="256">
        <v>0</v>
      </c>
      <c r="H26" s="255">
        <v>10800</v>
      </c>
      <c r="I26" s="1">
        <f>IF(Tabla1[[#This Row],[CONSUMO COMBUSTIBLE HORA  (UNIT HOUR VALUE)]]="","",Tabla1[[#This Row],[CONSUMO COMBUSTIBLE HORA  (UNIT HOUR VALUE)]]*Tabla1[[#This Row],[VALOR GALON COMBUSTIBLE (FUEL GALLON VALUE)]])</f>
        <v>0</v>
      </c>
      <c r="J26" s="1">
        <f>IF(Tabla1[[#This Row],[VALOR UNITARIO HORA (UNIT HOUR VALUE)]]="","",Tabla1[[#This Row],[VALOR UNITARIO HORA (UNIT HOUR VALUE)]]+Tabla1[[#This Row],[VALOR COMBUSTIBLE POR HORA (FUEL GALLON VALUE PER HOUR)]])</f>
        <v>900000</v>
      </c>
      <c r="K26" s="244"/>
      <c r="L26" s="265"/>
      <c r="M26" s="265"/>
      <c r="N26" s="265"/>
      <c r="O26" s="266"/>
    </row>
    <row r="27" spans="1:15" ht="17.25" thickBot="1" x14ac:dyDescent="0.35">
      <c r="A27" t="str">
        <f>IF(Tabla1[[#This Row],[MAQUINARIA O EQUIPO (MACHINERY AND EQUIP)]]="","",CONCATENATE(Tabla1[[#This Row],[MAQUINARIA O EQUIPO (MACHINERY AND EQUIP)]],"-",Tabla1[[#This Row],[MODELO (MODEL)]],"-",Tabla1[[#This Row],[AÑO (YEAR)]],"-", Tabla1[[#This Row],[PROVEEDOR (SUPPLIER)]]))</f>
        <v>Internet en obra---</v>
      </c>
      <c r="B27" s="243" t="s">
        <v>489</v>
      </c>
      <c r="C27" s="331" t="s">
        <v>482</v>
      </c>
      <c r="D27" s="239">
        <v>1000000</v>
      </c>
      <c r="E27" s="240">
        <v>1</v>
      </c>
      <c r="F27" s="1">
        <f>IF(Tabla1[[#This Row],[VALOR ALQUILES MES (MONTHLY RENT)]]="","",IF(Tabla1[[#This Row],[TIEMPO USO AL MES (TIME OF USE MONTH)]]="","",Tabla1[[#This Row],[VALOR ALQUILES MES (MONTHLY RENT)]]/Tabla1[[#This Row],[TIEMPO USO AL MES (TIME OF USE MONTH)]]))</f>
        <v>1000000</v>
      </c>
      <c r="G27" s="256">
        <v>0</v>
      </c>
      <c r="H27" s="255">
        <v>10800</v>
      </c>
      <c r="I27" s="1">
        <f>IF(Tabla1[[#This Row],[CONSUMO COMBUSTIBLE HORA  (UNIT HOUR VALUE)]]="","",Tabla1[[#This Row],[CONSUMO COMBUSTIBLE HORA  (UNIT HOUR VALUE)]]*Tabla1[[#This Row],[VALOR GALON COMBUSTIBLE (FUEL GALLON VALUE)]])</f>
        <v>0</v>
      </c>
      <c r="J27" s="1">
        <f>IF(Tabla1[[#This Row],[VALOR UNITARIO HORA (UNIT HOUR VALUE)]]="","",Tabla1[[#This Row],[VALOR UNITARIO HORA (UNIT HOUR VALUE)]]+Tabla1[[#This Row],[VALOR COMBUSTIBLE POR HORA (FUEL GALLON VALUE PER HOUR)]])</f>
        <v>1000000</v>
      </c>
      <c r="K27" s="244"/>
      <c r="L27" s="265"/>
      <c r="M27" s="265"/>
      <c r="N27" s="265"/>
      <c r="O27" s="266"/>
    </row>
    <row r="28" spans="1:15" ht="17.25" thickBot="1" x14ac:dyDescent="0.35">
      <c r="A28" t="str">
        <f>IF(Tabla1[[#This Row],[MAQUINARIA O EQUIPO (MACHINERY AND EQUIP)]]="","",CONCATENATE(Tabla1[[#This Row],[MAQUINARIA O EQUIPO (MACHINERY AND EQUIP)]],"-",Tabla1[[#This Row],[MODELO (MODEL)]],"-",Tabla1[[#This Row],[AÑO (YEAR)]],"-", Tabla1[[#This Row],[PROVEEDOR (SUPPLIER)]]))</f>
        <v>Mobiliario ---</v>
      </c>
      <c r="B28" s="332" t="s">
        <v>490</v>
      </c>
      <c r="C28" s="331" t="s">
        <v>482</v>
      </c>
      <c r="D28" s="245">
        <v>3000000</v>
      </c>
      <c r="E28" s="240">
        <v>1</v>
      </c>
      <c r="F28" s="1">
        <f>IF(Tabla1[[#This Row],[VALOR ALQUILES MES (MONTHLY RENT)]]="","",IF(Tabla1[[#This Row],[TIEMPO USO AL MES (TIME OF USE MONTH)]]="","",Tabla1[[#This Row],[VALOR ALQUILES MES (MONTHLY RENT)]]/Tabla1[[#This Row],[TIEMPO USO AL MES (TIME OF USE MONTH)]]))</f>
        <v>3000000</v>
      </c>
      <c r="G28" s="256">
        <v>0</v>
      </c>
      <c r="H28" s="255">
        <v>10800</v>
      </c>
      <c r="I28" s="1">
        <f>IF(Tabla1[[#This Row],[CONSUMO COMBUSTIBLE HORA  (UNIT HOUR VALUE)]]="","",Tabla1[[#This Row],[CONSUMO COMBUSTIBLE HORA  (UNIT HOUR VALUE)]]*Tabla1[[#This Row],[VALOR GALON COMBUSTIBLE (FUEL GALLON VALUE)]])</f>
        <v>0</v>
      </c>
      <c r="J28" s="1">
        <f>IF(Tabla1[[#This Row],[VALOR UNITARIO HORA (UNIT HOUR VALUE)]]="","",Tabla1[[#This Row],[VALOR UNITARIO HORA (UNIT HOUR VALUE)]]+Tabla1[[#This Row],[VALOR COMBUSTIBLE POR HORA (FUEL GALLON VALUE PER HOUR)]])</f>
        <v>3000000</v>
      </c>
      <c r="K28" s="244"/>
      <c r="L28" s="265"/>
      <c r="M28" s="265"/>
      <c r="N28" s="265"/>
      <c r="O28" s="266"/>
    </row>
    <row r="29" spans="1:15" ht="17.25" thickBot="1" x14ac:dyDescent="0.35">
      <c r="A29" t="str">
        <f>IF(Tabla1[[#This Row],[MAQUINARIA O EQUIPO (MACHINERY AND EQUIP)]]="","",CONCATENATE(Tabla1[[#This Row],[MAQUINARIA O EQUIPO (MACHINERY AND EQUIP)]],"-",Tabla1[[#This Row],[MODELO (MODEL)]],"-",Tabla1[[#This Row],[AÑO (YEAR)]],"-", Tabla1[[#This Row],[PROVEEDOR (SUPPLIER)]]))</f>
        <v>Generador electrico---</v>
      </c>
      <c r="B29" s="244" t="s">
        <v>491</v>
      </c>
      <c r="C29" s="331" t="s">
        <v>482</v>
      </c>
      <c r="D29" s="245">
        <v>6000000</v>
      </c>
      <c r="E29" s="240">
        <v>1</v>
      </c>
      <c r="F29" s="1">
        <f>10000000/4</f>
        <v>2500000</v>
      </c>
      <c r="G29" s="256">
        <v>0</v>
      </c>
      <c r="H29" s="255">
        <v>10800</v>
      </c>
      <c r="I29" s="1">
        <f>IF(Tabla1[[#This Row],[CONSUMO COMBUSTIBLE HORA  (UNIT HOUR VALUE)]]="","",Tabla1[[#This Row],[CONSUMO COMBUSTIBLE HORA  (UNIT HOUR VALUE)]]*Tabla1[[#This Row],[VALOR GALON COMBUSTIBLE (FUEL GALLON VALUE)]])</f>
        <v>0</v>
      </c>
      <c r="J29" s="1">
        <f>IF(Tabla1[[#This Row],[VALOR UNITARIO HORA (UNIT HOUR VALUE)]]="","",Tabla1[[#This Row],[VALOR UNITARIO HORA (UNIT HOUR VALUE)]]+Tabla1[[#This Row],[VALOR COMBUSTIBLE POR HORA (FUEL GALLON VALUE PER HOUR)]])</f>
        <v>2500000</v>
      </c>
      <c r="K29" s="244"/>
      <c r="L29" s="265"/>
      <c r="M29" s="265"/>
      <c r="N29" s="265"/>
      <c r="O29" s="266"/>
    </row>
    <row r="30" spans="1:15" ht="17.25" thickBot="1" x14ac:dyDescent="0.35">
      <c r="A30" t="str">
        <f>IF(Tabla1[[#This Row],[MAQUINARIA O EQUIPO (MACHINERY AND EQUIP)]]="","",CONCATENATE(Tabla1[[#This Row],[MAQUINARIA O EQUIPO (MACHINERY AND EQUIP)]],"-",Tabla1[[#This Row],[MODELO (MODEL)]],"-",Tabla1[[#This Row],[AÑO (YEAR)]],"-", Tabla1[[#This Row],[PROVEEDOR (SUPPLIER)]]))</f>
        <v>Hidratacion---</v>
      </c>
      <c r="B30" s="244" t="s">
        <v>492</v>
      </c>
      <c r="C30" s="331" t="s">
        <v>482</v>
      </c>
      <c r="D30" s="245">
        <v>1500000</v>
      </c>
      <c r="E30" s="240">
        <v>1</v>
      </c>
      <c r="F30" s="1">
        <f>IF(Tabla1[[#This Row],[VALOR ALQUILES MES (MONTHLY RENT)]]="","",IF(Tabla1[[#This Row],[TIEMPO USO AL MES (TIME OF USE MONTH)]]="","",Tabla1[[#This Row],[VALOR ALQUILES MES (MONTHLY RENT)]]/Tabla1[[#This Row],[TIEMPO USO AL MES (TIME OF USE MONTH)]]))</f>
        <v>1500000</v>
      </c>
      <c r="G30" s="256">
        <v>0</v>
      </c>
      <c r="H30" s="255">
        <v>10800</v>
      </c>
      <c r="I30" s="1">
        <f>IF(Tabla1[[#This Row],[CONSUMO COMBUSTIBLE HORA  (UNIT HOUR VALUE)]]="","",Tabla1[[#This Row],[CONSUMO COMBUSTIBLE HORA  (UNIT HOUR VALUE)]]*Tabla1[[#This Row],[VALOR GALON COMBUSTIBLE (FUEL GALLON VALUE)]])</f>
        <v>0</v>
      </c>
      <c r="J30" s="1">
        <f>IF(Tabla1[[#This Row],[VALOR UNITARIO HORA (UNIT HOUR VALUE)]]="","",Tabla1[[#This Row],[VALOR UNITARIO HORA (UNIT HOUR VALUE)]]+Tabla1[[#This Row],[VALOR COMBUSTIBLE POR HORA (FUEL GALLON VALUE PER HOUR)]])</f>
        <v>1500000</v>
      </c>
      <c r="K30" s="244"/>
      <c r="L30" s="265"/>
      <c r="M30" s="265"/>
      <c r="N30" s="265"/>
      <c r="O30" s="266"/>
    </row>
    <row r="31" spans="1:15" ht="17.25" thickBot="1" x14ac:dyDescent="0.35">
      <c r="A31" t="str">
        <f>IF(Tabla1[[#This Row],[MAQUINARIA O EQUIPO (MACHINERY AND EQUIP)]]="","",CONCATENATE(Tabla1[[#This Row],[MAQUINARIA O EQUIPO (MACHINERY AND EQUIP)]],"-",Tabla1[[#This Row],[MODELO (MODEL)]],"-",Tabla1[[#This Row],[AÑO (YEAR)]],"-", Tabla1[[#This Row],[PROVEEDOR (SUPPLIER)]]))</f>
        <v>Baños y limpieza---</v>
      </c>
      <c r="B31" s="244" t="s">
        <v>505</v>
      </c>
      <c r="C31" s="331" t="s">
        <v>482</v>
      </c>
      <c r="D31" s="245">
        <v>1800000</v>
      </c>
      <c r="E31" s="240">
        <v>1</v>
      </c>
      <c r="F31" s="1">
        <f>IF(Tabla1[[#This Row],[VALOR ALQUILES MES (MONTHLY RENT)]]="","",IF(Tabla1[[#This Row],[TIEMPO USO AL MES (TIME OF USE MONTH)]]="","",Tabla1[[#This Row],[VALOR ALQUILES MES (MONTHLY RENT)]]/Tabla1[[#This Row],[TIEMPO USO AL MES (TIME OF USE MONTH)]]))</f>
        <v>1800000</v>
      </c>
      <c r="G31" s="256">
        <v>0</v>
      </c>
      <c r="H31" s="255">
        <v>10800</v>
      </c>
      <c r="I31" s="1">
        <f>IF(Tabla1[[#This Row],[CONSUMO COMBUSTIBLE HORA  (UNIT HOUR VALUE)]]="","",Tabla1[[#This Row],[CONSUMO COMBUSTIBLE HORA  (UNIT HOUR VALUE)]]*Tabla1[[#This Row],[VALOR GALON COMBUSTIBLE (FUEL GALLON VALUE)]])</f>
        <v>0</v>
      </c>
      <c r="J31" s="1">
        <f>IF(Tabla1[[#This Row],[VALOR UNITARIO HORA (UNIT HOUR VALUE)]]="","",Tabla1[[#This Row],[VALOR UNITARIO HORA (UNIT HOUR VALUE)]]+Tabla1[[#This Row],[VALOR COMBUSTIBLE POR HORA (FUEL GALLON VALUE PER HOUR)]])</f>
        <v>1800000</v>
      </c>
      <c r="K31" s="244"/>
      <c r="L31" s="265"/>
      <c r="M31" s="265"/>
      <c r="N31" s="265"/>
      <c r="O31" s="266"/>
    </row>
    <row r="32" spans="1:15" ht="17.25" thickBot="1" x14ac:dyDescent="0.35">
      <c r="A32" t="str">
        <f>IF(Tabla1[[#This Row],[MAQUINARIA O EQUIPO (MACHINERY AND EQUIP)]]="","",CONCATENATE(Tabla1[[#This Row],[MAQUINARIA O EQUIPO (MACHINERY AND EQUIP)]],"-",Tabla1[[#This Row],[MODELO (MODEL)]],"-",Tabla1[[#This Row],[AÑO (YEAR)]],"-", Tabla1[[#This Row],[PROVEEDOR (SUPPLIER)]]))</f>
        <v>Instalacion de contenedores---</v>
      </c>
      <c r="B32" s="244" t="s">
        <v>506</v>
      </c>
      <c r="C32" s="331" t="s">
        <v>482</v>
      </c>
      <c r="D32" s="245">
        <v>1800000</v>
      </c>
      <c r="E32" s="240">
        <v>1</v>
      </c>
      <c r="F32" s="1">
        <f>IF(Tabla1[[#This Row],[VALOR ALQUILES MES (MONTHLY RENT)]]="","",IF(Tabla1[[#This Row],[TIEMPO USO AL MES (TIME OF USE MONTH)]]="","",Tabla1[[#This Row],[VALOR ALQUILES MES (MONTHLY RENT)]]/Tabla1[[#This Row],[TIEMPO USO AL MES (TIME OF USE MONTH)]]))</f>
        <v>1800000</v>
      </c>
      <c r="G32" s="256">
        <v>0</v>
      </c>
      <c r="H32" s="255">
        <v>10800</v>
      </c>
      <c r="I32" s="1">
        <f>IF(Tabla1[[#This Row],[CONSUMO COMBUSTIBLE HORA  (UNIT HOUR VALUE)]]="","",Tabla1[[#This Row],[CONSUMO COMBUSTIBLE HORA  (UNIT HOUR VALUE)]]*Tabla1[[#This Row],[VALOR GALON COMBUSTIBLE (FUEL GALLON VALUE)]])</f>
        <v>0</v>
      </c>
      <c r="J32" s="1">
        <f>IF(Tabla1[[#This Row],[VALOR UNITARIO HORA (UNIT HOUR VALUE)]]="","",Tabla1[[#This Row],[VALOR UNITARIO HORA (UNIT HOUR VALUE)]]+Tabla1[[#This Row],[VALOR COMBUSTIBLE POR HORA (FUEL GALLON VALUE PER HOUR)]])</f>
        <v>1800000</v>
      </c>
      <c r="K32" s="244"/>
      <c r="L32" s="265"/>
      <c r="M32" s="265"/>
      <c r="N32" s="265"/>
      <c r="O32" s="266"/>
    </row>
    <row r="33" spans="1:15" ht="17.25" thickBot="1" x14ac:dyDescent="0.35">
      <c r="A33" t="str">
        <f>IF(Tabla1[[#This Row],[MAQUINARIA O EQUIPO (MACHINERY AND EQUIP)]]="","",CONCATENATE(Tabla1[[#This Row],[MAQUINARIA O EQUIPO (MACHINERY AND EQUIP)]],"-",Tabla1[[#This Row],[MODELO (MODEL)]],"-",Tabla1[[#This Row],[AÑO (YEAR)]],"-", Tabla1[[#This Row],[PROVEEDOR (SUPPLIER)]]))</f>
        <v>Estacion de tornilleria---</v>
      </c>
      <c r="B33" s="244" t="s">
        <v>507</v>
      </c>
      <c r="C33" s="331" t="s">
        <v>482</v>
      </c>
      <c r="D33" s="245">
        <v>1000000</v>
      </c>
      <c r="E33" s="240">
        <v>1</v>
      </c>
      <c r="F33" s="1">
        <f>IF(Tabla1[[#This Row],[VALOR ALQUILES MES (MONTHLY RENT)]]="","",IF(Tabla1[[#This Row],[TIEMPO USO AL MES (TIME OF USE MONTH)]]="","",Tabla1[[#This Row],[VALOR ALQUILES MES (MONTHLY RENT)]]/Tabla1[[#This Row],[TIEMPO USO AL MES (TIME OF USE MONTH)]]))</f>
        <v>1000000</v>
      </c>
      <c r="G33" s="256">
        <v>0</v>
      </c>
      <c r="H33" s="255">
        <v>10800</v>
      </c>
      <c r="I33" s="1">
        <f>IF(Tabla1[[#This Row],[CONSUMO COMBUSTIBLE HORA  (UNIT HOUR VALUE)]]="","",Tabla1[[#This Row],[CONSUMO COMBUSTIBLE HORA  (UNIT HOUR VALUE)]]*Tabla1[[#This Row],[VALOR GALON COMBUSTIBLE (FUEL GALLON VALUE)]])</f>
        <v>0</v>
      </c>
      <c r="J33" s="1">
        <f>IF(Tabla1[[#This Row],[VALOR UNITARIO HORA (UNIT HOUR VALUE)]]="","",Tabla1[[#This Row],[VALOR UNITARIO HORA (UNIT HOUR VALUE)]]+Tabla1[[#This Row],[VALOR COMBUSTIBLE POR HORA (FUEL GALLON VALUE PER HOUR)]])</f>
        <v>1000000</v>
      </c>
      <c r="K33" s="244"/>
      <c r="L33" s="265"/>
      <c r="M33" s="265"/>
      <c r="N33" s="265"/>
      <c r="O33" s="266"/>
    </row>
    <row r="34" spans="1:15" ht="17.25" thickBot="1" x14ac:dyDescent="0.35">
      <c r="A34" t="str">
        <f>IF(Tabla1[[#This Row],[MAQUINARIA O EQUIPO (MACHINERY AND EQUIP)]]="","",CONCATENATE(Tabla1[[#This Row],[MAQUINARIA O EQUIPO (MACHINERY AND EQUIP)]],"-",Tabla1[[#This Row],[MODELO (MODEL)]],"-",Tabla1[[#This Row],[AÑO (YEAR)]],"-", Tabla1[[#This Row],[PROVEEDOR (SUPPLIER)]]))</f>
        <v>Carro taller---</v>
      </c>
      <c r="B34" s="244" t="s">
        <v>512</v>
      </c>
      <c r="C34" s="331" t="s">
        <v>482</v>
      </c>
      <c r="D34" s="245">
        <v>7000000</v>
      </c>
      <c r="E34" s="240">
        <v>176</v>
      </c>
      <c r="F34" s="1">
        <f>IF(Tabla1[[#This Row],[VALOR ALQUILES MES (MONTHLY RENT)]]="","",IF(Tabla1[[#This Row],[TIEMPO USO AL MES (TIME OF USE MONTH)]]="","",Tabla1[[#This Row],[VALOR ALQUILES MES (MONTHLY RENT)]]/Tabla1[[#This Row],[TIEMPO USO AL MES (TIME OF USE MONTH)]]))</f>
        <v>39772.727272727272</v>
      </c>
      <c r="G34" s="256">
        <v>2</v>
      </c>
      <c r="H34" s="255">
        <v>10800</v>
      </c>
      <c r="I34" s="1">
        <f>IF(Tabla1[[#This Row],[CONSUMO COMBUSTIBLE HORA  (UNIT HOUR VALUE)]]="","",Tabla1[[#This Row],[CONSUMO COMBUSTIBLE HORA  (UNIT HOUR VALUE)]]*Tabla1[[#This Row],[VALOR GALON COMBUSTIBLE (FUEL GALLON VALUE)]])</f>
        <v>21600</v>
      </c>
      <c r="J34" s="1">
        <f>IF(Tabla1[[#This Row],[VALOR UNITARIO HORA (UNIT HOUR VALUE)]]="","",Tabla1[[#This Row],[VALOR UNITARIO HORA (UNIT HOUR VALUE)]]+Tabla1[[#This Row],[VALOR COMBUSTIBLE POR HORA (FUEL GALLON VALUE PER HOUR)]])</f>
        <v>61372.727272727272</v>
      </c>
      <c r="K34" s="244"/>
      <c r="L34" s="265"/>
      <c r="M34" s="265"/>
      <c r="N34" s="265"/>
      <c r="O34" s="266"/>
    </row>
    <row r="35" spans="1:15" x14ac:dyDescent="0.3">
      <c r="A35" t="str">
        <f>IF(Tabla1[[#This Row],[MAQUINARIA O EQUIPO (MACHINERY AND EQUIP)]]="","",CONCATENATE(Tabla1[[#This Row],[MAQUINARIA O EQUIPO (MACHINERY AND EQUIP)]],"-",Tabla1[[#This Row],[MODELO (MODEL)]],"-",Tabla1[[#This Row],[AÑO (YEAR)]],"-", Tabla1[[#This Row],[PROVEEDOR (SUPPLIER)]]))</f>
        <v>Patio taller---</v>
      </c>
      <c r="B35" s="244" t="s">
        <v>517</v>
      </c>
      <c r="C35" s="331" t="s">
        <v>482</v>
      </c>
      <c r="D35" s="245">
        <v>5000000</v>
      </c>
      <c r="E35" s="240">
        <v>1</v>
      </c>
      <c r="F35" s="1">
        <f>IF(Tabla1[[#This Row],[VALOR ALQUILES MES (MONTHLY RENT)]]="","",IF(Tabla1[[#This Row],[TIEMPO USO AL MES (TIME OF USE MONTH)]]="","",Tabla1[[#This Row],[VALOR ALQUILES MES (MONTHLY RENT)]]/Tabla1[[#This Row],[TIEMPO USO AL MES (TIME OF USE MONTH)]]))</f>
        <v>5000000</v>
      </c>
      <c r="G35" s="256">
        <v>0</v>
      </c>
      <c r="H35" s="255">
        <v>10800</v>
      </c>
      <c r="I35" s="1">
        <f>IF(Tabla1[[#This Row],[CONSUMO COMBUSTIBLE HORA  (UNIT HOUR VALUE)]]="","",Tabla1[[#This Row],[CONSUMO COMBUSTIBLE HORA  (UNIT HOUR VALUE)]]*Tabla1[[#This Row],[VALOR GALON COMBUSTIBLE (FUEL GALLON VALUE)]])</f>
        <v>0</v>
      </c>
      <c r="J35" s="1">
        <f>IF(Tabla1[[#This Row],[VALOR UNITARIO HORA (UNIT HOUR VALUE)]]="","",Tabla1[[#This Row],[VALOR UNITARIO HORA (UNIT HOUR VALUE)]]+Tabla1[[#This Row],[VALOR COMBUSTIBLE POR HORA (FUEL GALLON VALUE PER HOUR)]])</f>
        <v>5000000</v>
      </c>
      <c r="K35" s="244"/>
      <c r="L35" s="265"/>
      <c r="M35" s="265"/>
      <c r="N35" s="265"/>
      <c r="O35" s="266"/>
    </row>
    <row r="36" spans="1:15" x14ac:dyDescent="0.3">
      <c r="A36" t="str">
        <f>IF(Tabla1[[#This Row],[MAQUINARIA O EQUIPO (MACHINERY AND EQUIP)]]="","",CONCATENATE(Tabla1[[#This Row],[MAQUINARIA O EQUIPO (MACHINERY AND EQUIP)]],"-",Tabla1[[#This Row],[MODELO (MODEL)]],"-",Tabla1[[#This Row],[AÑO (YEAR)]],"-", Tabla1[[#This Row],[PROVEEDOR (SUPPLIER)]]))</f>
        <v>Insumo de oficina---</v>
      </c>
      <c r="B36" s="244" t="s">
        <v>518</v>
      </c>
      <c r="C36" s="331" t="s">
        <v>482</v>
      </c>
      <c r="D36" s="245">
        <v>1000000</v>
      </c>
      <c r="E36" s="240">
        <v>1</v>
      </c>
      <c r="F36" s="1">
        <f>IF(Tabla1[[#This Row],[VALOR ALQUILES MES (MONTHLY RENT)]]="","",IF(Tabla1[[#This Row],[TIEMPO USO AL MES (TIME OF USE MONTH)]]="","",Tabla1[[#This Row],[VALOR ALQUILES MES (MONTHLY RENT)]]/Tabla1[[#This Row],[TIEMPO USO AL MES (TIME OF USE MONTH)]]))</f>
        <v>1000000</v>
      </c>
      <c r="G36" s="256">
        <v>0</v>
      </c>
      <c r="H36" s="257">
        <v>10800</v>
      </c>
      <c r="I36" s="1">
        <f>IF(Tabla1[[#This Row],[CONSUMO COMBUSTIBLE HORA  (UNIT HOUR VALUE)]]="","",Tabla1[[#This Row],[CONSUMO COMBUSTIBLE HORA  (UNIT HOUR VALUE)]]*Tabla1[[#This Row],[VALOR GALON COMBUSTIBLE (FUEL GALLON VALUE)]])</f>
        <v>0</v>
      </c>
      <c r="J36" s="1">
        <f>IF(Tabla1[[#This Row],[VALOR UNITARIO HORA (UNIT HOUR VALUE)]]="","",Tabla1[[#This Row],[VALOR UNITARIO HORA (UNIT HOUR VALUE)]]+Tabla1[[#This Row],[VALOR COMBUSTIBLE POR HORA (FUEL GALLON VALUE PER HOUR)]])</f>
        <v>1000000</v>
      </c>
      <c r="K36" s="244"/>
      <c r="L36" s="265"/>
      <c r="M36" s="265"/>
      <c r="N36" s="265"/>
      <c r="O36" s="266"/>
    </row>
    <row r="37" spans="1:15" x14ac:dyDescent="0.3">
      <c r="A37" t="str">
        <f>IF(Tabla1[[#This Row],[MAQUINARIA O EQUIPO (MACHINERY AND EQUIP)]]="","",CONCATENATE(Tabla1[[#This Row],[MAQUINARIA O EQUIPO (MACHINERY AND EQUIP)]],"-",Tabla1[[#This Row],[MODELO (MODEL)]],"-",Tabla1[[#This Row],[AÑO (YEAR)]],"-", Tabla1[[#This Row],[PROVEEDOR (SUPPLIER)]]))</f>
        <v>Camioneta combustible---</v>
      </c>
      <c r="B37" s="244" t="s">
        <v>595</v>
      </c>
      <c r="C37" s="331" t="s">
        <v>482</v>
      </c>
      <c r="D37" s="245">
        <v>6500000</v>
      </c>
      <c r="E37" s="240">
        <v>176</v>
      </c>
      <c r="F37" s="1">
        <f>IF(Tabla1[[#This Row],[VALOR ALQUILES MES (MONTHLY RENT)]]="","",IF(Tabla1[[#This Row],[TIEMPO USO AL MES (TIME OF USE MONTH)]]="","",Tabla1[[#This Row],[VALOR ALQUILES MES (MONTHLY RENT)]]/Tabla1[[#This Row],[TIEMPO USO AL MES (TIME OF USE MONTH)]]))</f>
        <v>36931.818181818184</v>
      </c>
      <c r="G37" s="256">
        <v>2</v>
      </c>
      <c r="H37" s="257">
        <v>10800</v>
      </c>
      <c r="I37" s="1">
        <f>IF(Tabla1[[#This Row],[CONSUMO COMBUSTIBLE HORA  (UNIT HOUR VALUE)]]="","",Tabla1[[#This Row],[CONSUMO COMBUSTIBLE HORA  (UNIT HOUR VALUE)]]*Tabla1[[#This Row],[VALOR GALON COMBUSTIBLE (FUEL GALLON VALUE)]])</f>
        <v>21600</v>
      </c>
      <c r="J37" s="1">
        <f>IF(Tabla1[[#This Row],[VALOR UNITARIO HORA (UNIT HOUR VALUE)]]="","",Tabla1[[#This Row],[VALOR UNITARIO HORA (UNIT HOUR VALUE)]]+Tabla1[[#This Row],[VALOR COMBUSTIBLE POR HORA (FUEL GALLON VALUE PER HOUR)]])</f>
        <v>58531.818181818184</v>
      </c>
      <c r="K37" s="244"/>
      <c r="L37" s="265"/>
      <c r="M37" s="265"/>
      <c r="N37" s="265"/>
      <c r="O37" s="266"/>
    </row>
    <row r="38" spans="1:15" x14ac:dyDescent="0.3">
      <c r="A38" t="str">
        <f>IF(Tabla1[[#This Row],[MAQUINARIA O EQUIPO (MACHINERY AND EQUIP)]]="","",CONCATENATE(Tabla1[[#This Row],[MAQUINARIA O EQUIPO (MACHINERY AND EQUIP)]],"-",Tabla1[[#This Row],[MODELO (MODEL)]],"-",Tabla1[[#This Row],[AÑO (YEAR)]],"-", Tabla1[[#This Row],[PROVEEDOR (SUPPLIER)]]))</f>
        <v/>
      </c>
      <c r="B38" s="244"/>
      <c r="C38" s="241"/>
      <c r="D38" s="245"/>
      <c r="E38" s="240"/>
      <c r="F38" s="1" t="str">
        <f>IF(Tabla1[[#This Row],[VALOR ALQUILES MES (MONTHLY RENT)]]="","",IF(Tabla1[[#This Row],[TIEMPO USO AL MES (TIME OF USE MONTH)]]="","",Tabla1[[#This Row],[VALOR ALQUILES MES (MONTHLY RENT)]]/Tabla1[[#This Row],[TIEMPO USO AL MES (TIME OF USE MONTH)]]))</f>
        <v/>
      </c>
      <c r="G38" s="256"/>
      <c r="H38" s="257"/>
      <c r="I38" s="1" t="str">
        <f>IF(Tabla1[[#This Row],[CONSUMO COMBUSTIBLE HORA  (UNIT HOUR VALUE)]]="","",Tabla1[[#This Row],[CONSUMO COMBUSTIBLE HORA  (UNIT HOUR VALUE)]]*Tabla1[[#This Row],[VALOR GALON COMBUSTIBLE (FUEL GALLON VALUE)]])</f>
        <v/>
      </c>
      <c r="J38" s="1" t="str">
        <f>IF(Tabla1[[#This Row],[VALOR UNITARIO HORA (UNIT HOUR VALUE)]]="","",Tabla1[[#This Row],[VALOR UNITARIO HORA (UNIT HOUR VALUE)]]+Tabla1[[#This Row],[VALOR COMBUSTIBLE POR HORA (FUEL GALLON VALUE PER HOUR)]])</f>
        <v/>
      </c>
      <c r="K38" s="244"/>
      <c r="L38" s="265"/>
      <c r="M38" s="265"/>
      <c r="N38" s="265"/>
      <c r="O38" s="266"/>
    </row>
    <row r="39" spans="1:15" x14ac:dyDescent="0.3">
      <c r="A39" t="str">
        <f>IF(Tabla1[[#This Row],[MAQUINARIA O EQUIPO (MACHINERY AND EQUIP)]]="","",CONCATENATE(Tabla1[[#This Row],[MAQUINARIA O EQUIPO (MACHINERY AND EQUIP)]],"-",Tabla1[[#This Row],[MODELO (MODEL)]],"-",Tabla1[[#This Row],[AÑO (YEAR)]],"-", Tabla1[[#This Row],[PROVEEDOR (SUPPLIER)]]))</f>
        <v/>
      </c>
      <c r="B39" s="244"/>
      <c r="C39" s="241"/>
      <c r="D39" s="245"/>
      <c r="E39" s="240"/>
      <c r="F39" s="1" t="str">
        <f>IF(Tabla1[[#This Row],[VALOR ALQUILES MES (MONTHLY RENT)]]="","",IF(Tabla1[[#This Row],[TIEMPO USO AL MES (TIME OF USE MONTH)]]="","",Tabla1[[#This Row],[VALOR ALQUILES MES (MONTHLY RENT)]]/Tabla1[[#This Row],[TIEMPO USO AL MES (TIME OF USE MONTH)]]))</f>
        <v/>
      </c>
      <c r="G39" s="256"/>
      <c r="H39" s="257"/>
      <c r="I39" s="1" t="str">
        <f>IF(Tabla1[[#This Row],[CONSUMO COMBUSTIBLE HORA  (UNIT HOUR VALUE)]]="","",Tabla1[[#This Row],[CONSUMO COMBUSTIBLE HORA  (UNIT HOUR VALUE)]]*Tabla1[[#This Row],[VALOR GALON COMBUSTIBLE (FUEL GALLON VALUE)]])</f>
        <v/>
      </c>
      <c r="J39" s="1" t="str">
        <f>IF(Tabla1[[#This Row],[VALOR UNITARIO HORA (UNIT HOUR VALUE)]]="","",Tabla1[[#This Row],[VALOR UNITARIO HORA (UNIT HOUR VALUE)]]+Tabla1[[#This Row],[VALOR COMBUSTIBLE POR HORA (FUEL GALLON VALUE PER HOUR)]])</f>
        <v/>
      </c>
      <c r="K39" s="244"/>
      <c r="L39" s="265"/>
      <c r="M39" s="265"/>
      <c r="N39" s="265"/>
      <c r="O39" s="266"/>
    </row>
    <row r="40" spans="1:15" x14ac:dyDescent="0.3">
      <c r="A40" t="str">
        <f>IF(Tabla1[[#This Row],[MAQUINARIA O EQUIPO (MACHINERY AND EQUIP)]]="","",CONCATENATE(Tabla1[[#This Row],[MAQUINARIA O EQUIPO (MACHINERY AND EQUIP)]],"-",Tabla1[[#This Row],[MODELO (MODEL)]],"-",Tabla1[[#This Row],[AÑO (YEAR)]],"-", Tabla1[[#This Row],[PROVEEDOR (SUPPLIER)]]))</f>
        <v/>
      </c>
      <c r="B40" s="244"/>
      <c r="C40" s="241"/>
      <c r="D40" s="245"/>
      <c r="E40" s="240"/>
      <c r="F40" s="1" t="str">
        <f>IF(Tabla1[[#This Row],[VALOR ALQUILES MES (MONTHLY RENT)]]="","",IF(Tabla1[[#This Row],[TIEMPO USO AL MES (TIME OF USE MONTH)]]="","",Tabla1[[#This Row],[VALOR ALQUILES MES (MONTHLY RENT)]]/Tabla1[[#This Row],[TIEMPO USO AL MES (TIME OF USE MONTH)]]))</f>
        <v/>
      </c>
      <c r="G40" s="256"/>
      <c r="H40" s="257"/>
      <c r="I40" s="1" t="str">
        <f>IF(Tabla1[[#This Row],[CONSUMO COMBUSTIBLE HORA  (UNIT HOUR VALUE)]]="","",Tabla1[[#This Row],[CONSUMO COMBUSTIBLE HORA  (UNIT HOUR VALUE)]]*Tabla1[[#This Row],[VALOR GALON COMBUSTIBLE (FUEL GALLON VALUE)]])</f>
        <v/>
      </c>
      <c r="J40" s="1" t="str">
        <f>IF(Tabla1[[#This Row],[VALOR UNITARIO HORA (UNIT HOUR VALUE)]]="","",Tabla1[[#This Row],[VALOR UNITARIO HORA (UNIT HOUR VALUE)]]+Tabla1[[#This Row],[VALOR COMBUSTIBLE POR HORA (FUEL GALLON VALUE PER HOUR)]])</f>
        <v/>
      </c>
      <c r="K40" s="244"/>
      <c r="L40" s="265"/>
      <c r="M40" s="265"/>
      <c r="N40" s="265"/>
      <c r="O40" s="266"/>
    </row>
    <row r="41" spans="1:15" x14ac:dyDescent="0.3">
      <c r="A41" t="str">
        <f>IF(Tabla1[[#This Row],[MAQUINARIA O EQUIPO (MACHINERY AND EQUIP)]]="","",CONCATENATE(Tabla1[[#This Row],[MAQUINARIA O EQUIPO (MACHINERY AND EQUIP)]],"-",Tabla1[[#This Row],[MODELO (MODEL)]],"-",Tabla1[[#This Row],[AÑO (YEAR)]],"-", Tabla1[[#This Row],[PROVEEDOR (SUPPLIER)]]))</f>
        <v/>
      </c>
      <c r="B41" s="244"/>
      <c r="C41" s="241"/>
      <c r="D41" s="245"/>
      <c r="E41" s="240"/>
      <c r="F41" s="1" t="str">
        <f>IF(Tabla1[[#This Row],[VALOR ALQUILES MES (MONTHLY RENT)]]="","",IF(Tabla1[[#This Row],[TIEMPO USO AL MES (TIME OF USE MONTH)]]="","",Tabla1[[#This Row],[VALOR ALQUILES MES (MONTHLY RENT)]]/Tabla1[[#This Row],[TIEMPO USO AL MES (TIME OF USE MONTH)]]))</f>
        <v/>
      </c>
      <c r="G41" s="256"/>
      <c r="H41" s="257"/>
      <c r="I41" s="1" t="str">
        <f>IF(Tabla1[[#This Row],[CONSUMO COMBUSTIBLE HORA  (UNIT HOUR VALUE)]]="","",Tabla1[[#This Row],[CONSUMO COMBUSTIBLE HORA  (UNIT HOUR VALUE)]]*Tabla1[[#This Row],[VALOR GALON COMBUSTIBLE (FUEL GALLON VALUE)]])</f>
        <v/>
      </c>
      <c r="J41" s="1" t="str">
        <f>IF(Tabla1[[#This Row],[VALOR UNITARIO HORA (UNIT HOUR VALUE)]]="","",Tabla1[[#This Row],[VALOR UNITARIO HORA (UNIT HOUR VALUE)]]+Tabla1[[#This Row],[VALOR COMBUSTIBLE POR HORA (FUEL GALLON VALUE PER HOUR)]])</f>
        <v/>
      </c>
      <c r="K41" s="244"/>
      <c r="L41" s="265"/>
      <c r="M41" s="265"/>
      <c r="N41" s="265"/>
      <c r="O41" s="266"/>
    </row>
    <row r="42" spans="1:15" x14ac:dyDescent="0.3">
      <c r="A42" t="str">
        <f>IF(Tabla1[[#This Row],[MAQUINARIA O EQUIPO (MACHINERY AND EQUIP)]]="","",CONCATENATE(Tabla1[[#This Row],[MAQUINARIA O EQUIPO (MACHINERY AND EQUIP)]],"-",Tabla1[[#This Row],[MODELO (MODEL)]],"-",Tabla1[[#This Row],[AÑO (YEAR)]],"-", Tabla1[[#This Row],[PROVEEDOR (SUPPLIER)]]))</f>
        <v/>
      </c>
      <c r="B42" s="244"/>
      <c r="C42" s="241"/>
      <c r="D42" s="245"/>
      <c r="E42" s="240"/>
      <c r="F42" s="1" t="str">
        <f>IF(Tabla1[[#This Row],[VALOR ALQUILES MES (MONTHLY RENT)]]="","",IF(Tabla1[[#This Row],[TIEMPO USO AL MES (TIME OF USE MONTH)]]="","",Tabla1[[#This Row],[VALOR ALQUILES MES (MONTHLY RENT)]]/Tabla1[[#This Row],[TIEMPO USO AL MES (TIME OF USE MONTH)]]))</f>
        <v/>
      </c>
      <c r="G42" s="256"/>
      <c r="H42" s="257"/>
      <c r="I42" s="1" t="str">
        <f>IF(Tabla1[[#This Row],[CONSUMO COMBUSTIBLE HORA  (UNIT HOUR VALUE)]]="","",Tabla1[[#This Row],[CONSUMO COMBUSTIBLE HORA  (UNIT HOUR VALUE)]]*Tabla1[[#This Row],[VALOR GALON COMBUSTIBLE (FUEL GALLON VALUE)]])</f>
        <v/>
      </c>
      <c r="J42" s="1" t="str">
        <f>IF(Tabla1[[#This Row],[VALOR UNITARIO HORA (UNIT HOUR VALUE)]]="","",Tabla1[[#This Row],[VALOR UNITARIO HORA (UNIT HOUR VALUE)]]+Tabla1[[#This Row],[VALOR COMBUSTIBLE POR HORA (FUEL GALLON VALUE PER HOUR)]])</f>
        <v/>
      </c>
      <c r="K42" s="244"/>
      <c r="L42" s="265"/>
      <c r="M42" s="265"/>
      <c r="N42" s="265"/>
      <c r="O42" s="266"/>
    </row>
    <row r="43" spans="1:15" x14ac:dyDescent="0.3">
      <c r="A43" t="str">
        <f>IF(Tabla1[[#This Row],[MAQUINARIA O EQUIPO (MACHINERY AND EQUIP)]]="","",CONCATENATE(Tabla1[[#This Row],[MAQUINARIA O EQUIPO (MACHINERY AND EQUIP)]],"-",Tabla1[[#This Row],[MODELO (MODEL)]],"-",Tabla1[[#This Row],[AÑO (YEAR)]],"-", Tabla1[[#This Row],[PROVEEDOR (SUPPLIER)]]))</f>
        <v/>
      </c>
      <c r="B43" s="244"/>
      <c r="C43" s="241"/>
      <c r="D43" s="245"/>
      <c r="E43" s="240"/>
      <c r="F43" s="1" t="str">
        <f>IF(Tabla1[[#This Row],[VALOR ALQUILES MES (MONTHLY RENT)]]="","",IF(Tabla1[[#This Row],[TIEMPO USO AL MES (TIME OF USE MONTH)]]="","",Tabla1[[#This Row],[VALOR ALQUILES MES (MONTHLY RENT)]]/Tabla1[[#This Row],[TIEMPO USO AL MES (TIME OF USE MONTH)]]))</f>
        <v/>
      </c>
      <c r="G43" s="256"/>
      <c r="H43" s="257"/>
      <c r="I43" s="1" t="str">
        <f>IF(Tabla1[[#This Row],[CONSUMO COMBUSTIBLE HORA  (UNIT HOUR VALUE)]]="","",Tabla1[[#This Row],[CONSUMO COMBUSTIBLE HORA  (UNIT HOUR VALUE)]]*Tabla1[[#This Row],[VALOR GALON COMBUSTIBLE (FUEL GALLON VALUE)]])</f>
        <v/>
      </c>
      <c r="J43" s="1" t="str">
        <f>IF(Tabla1[[#This Row],[VALOR UNITARIO HORA (UNIT HOUR VALUE)]]="","",Tabla1[[#This Row],[VALOR UNITARIO HORA (UNIT HOUR VALUE)]]+Tabla1[[#This Row],[VALOR COMBUSTIBLE POR HORA (FUEL GALLON VALUE PER HOUR)]])</f>
        <v/>
      </c>
      <c r="K43" s="244"/>
      <c r="L43" s="265"/>
      <c r="M43" s="265"/>
      <c r="N43" s="265"/>
      <c r="O43" s="266"/>
    </row>
    <row r="44" spans="1:15" x14ac:dyDescent="0.3">
      <c r="A44" t="str">
        <f>IF(Tabla1[[#This Row],[MAQUINARIA O EQUIPO (MACHINERY AND EQUIP)]]="","",CONCATENATE(Tabla1[[#This Row],[MAQUINARIA O EQUIPO (MACHINERY AND EQUIP)]],"-",Tabla1[[#This Row],[MODELO (MODEL)]],"-",Tabla1[[#This Row],[AÑO (YEAR)]],"-", Tabla1[[#This Row],[PROVEEDOR (SUPPLIER)]]))</f>
        <v/>
      </c>
      <c r="B44" s="244"/>
      <c r="C44" s="241"/>
      <c r="D44" s="245"/>
      <c r="E44" s="240"/>
      <c r="F44" s="1" t="str">
        <f>IF(Tabla1[[#This Row],[VALOR ALQUILES MES (MONTHLY RENT)]]="","",IF(Tabla1[[#This Row],[TIEMPO USO AL MES (TIME OF USE MONTH)]]="","",Tabla1[[#This Row],[VALOR ALQUILES MES (MONTHLY RENT)]]/Tabla1[[#This Row],[TIEMPO USO AL MES (TIME OF USE MONTH)]]))</f>
        <v/>
      </c>
      <c r="G44" s="256"/>
      <c r="H44" s="257"/>
      <c r="I44" s="1" t="str">
        <f>IF(Tabla1[[#This Row],[CONSUMO COMBUSTIBLE HORA  (UNIT HOUR VALUE)]]="","",Tabla1[[#This Row],[CONSUMO COMBUSTIBLE HORA  (UNIT HOUR VALUE)]]*Tabla1[[#This Row],[VALOR GALON COMBUSTIBLE (FUEL GALLON VALUE)]])</f>
        <v/>
      </c>
      <c r="J44" s="1" t="str">
        <f>IF(Tabla1[[#This Row],[VALOR UNITARIO HORA (UNIT HOUR VALUE)]]="","",Tabla1[[#This Row],[VALOR UNITARIO HORA (UNIT HOUR VALUE)]]+Tabla1[[#This Row],[VALOR COMBUSTIBLE POR HORA (FUEL GALLON VALUE PER HOUR)]])</f>
        <v/>
      </c>
      <c r="K44" s="244"/>
      <c r="L44" s="265"/>
      <c r="M44" s="265"/>
      <c r="N44" s="265"/>
      <c r="O44" s="266"/>
    </row>
    <row r="45" spans="1:15" x14ac:dyDescent="0.3">
      <c r="A45" t="str">
        <f>IF(Tabla1[[#This Row],[MAQUINARIA O EQUIPO (MACHINERY AND EQUIP)]]="","",CONCATENATE(Tabla1[[#This Row],[MAQUINARIA O EQUIPO (MACHINERY AND EQUIP)]],"-",Tabla1[[#This Row],[MODELO (MODEL)]],"-",Tabla1[[#This Row],[AÑO (YEAR)]],"-", Tabla1[[#This Row],[PROVEEDOR (SUPPLIER)]]))</f>
        <v/>
      </c>
      <c r="B45" s="244"/>
      <c r="C45" s="241"/>
      <c r="D45" s="245"/>
      <c r="E45" s="240"/>
      <c r="F45" s="1" t="str">
        <f>IF(Tabla1[[#This Row],[VALOR ALQUILES MES (MONTHLY RENT)]]="","",IF(Tabla1[[#This Row],[TIEMPO USO AL MES (TIME OF USE MONTH)]]="","",Tabla1[[#This Row],[VALOR ALQUILES MES (MONTHLY RENT)]]/Tabla1[[#This Row],[TIEMPO USO AL MES (TIME OF USE MONTH)]]))</f>
        <v/>
      </c>
      <c r="G45" s="256"/>
      <c r="H45" s="257"/>
      <c r="I45" s="1" t="str">
        <f>IF(Tabla1[[#This Row],[CONSUMO COMBUSTIBLE HORA  (UNIT HOUR VALUE)]]="","",Tabla1[[#This Row],[CONSUMO COMBUSTIBLE HORA  (UNIT HOUR VALUE)]]*Tabla1[[#This Row],[VALOR GALON COMBUSTIBLE (FUEL GALLON VALUE)]])</f>
        <v/>
      </c>
      <c r="J45" s="1" t="str">
        <f>IF(Tabla1[[#This Row],[VALOR UNITARIO HORA (UNIT HOUR VALUE)]]="","",Tabla1[[#This Row],[VALOR UNITARIO HORA (UNIT HOUR VALUE)]]+Tabla1[[#This Row],[VALOR COMBUSTIBLE POR HORA (FUEL GALLON VALUE PER HOUR)]])</f>
        <v/>
      </c>
      <c r="K45" s="244"/>
      <c r="L45" s="265"/>
      <c r="M45" s="265"/>
      <c r="N45" s="265"/>
      <c r="O45" s="266"/>
    </row>
    <row r="46" spans="1:15" x14ac:dyDescent="0.3">
      <c r="A46" t="str">
        <f>IF(Tabla1[[#This Row],[MAQUINARIA O EQUIPO (MACHINERY AND EQUIP)]]="","",CONCATENATE(Tabla1[[#This Row],[MAQUINARIA O EQUIPO (MACHINERY AND EQUIP)]],"-",Tabla1[[#This Row],[MODELO (MODEL)]],"-",Tabla1[[#This Row],[AÑO (YEAR)]],"-", Tabla1[[#This Row],[PROVEEDOR (SUPPLIER)]]))</f>
        <v/>
      </c>
      <c r="B46" s="244"/>
      <c r="C46" s="241"/>
      <c r="D46" s="245"/>
      <c r="E46" s="240"/>
      <c r="F46" s="1" t="str">
        <f>IF(Tabla1[[#This Row],[VALOR ALQUILES MES (MONTHLY RENT)]]="","",IF(Tabla1[[#This Row],[TIEMPO USO AL MES (TIME OF USE MONTH)]]="","",Tabla1[[#This Row],[VALOR ALQUILES MES (MONTHLY RENT)]]/Tabla1[[#This Row],[TIEMPO USO AL MES (TIME OF USE MONTH)]]))</f>
        <v/>
      </c>
      <c r="G46" s="256"/>
      <c r="H46" s="257"/>
      <c r="I46" s="1" t="str">
        <f>IF(Tabla1[[#This Row],[CONSUMO COMBUSTIBLE HORA  (UNIT HOUR VALUE)]]="","",Tabla1[[#This Row],[CONSUMO COMBUSTIBLE HORA  (UNIT HOUR VALUE)]]*Tabla1[[#This Row],[VALOR GALON COMBUSTIBLE (FUEL GALLON VALUE)]])</f>
        <v/>
      </c>
      <c r="J46" s="1" t="str">
        <f>IF(Tabla1[[#This Row],[VALOR UNITARIO HORA (UNIT HOUR VALUE)]]="","",Tabla1[[#This Row],[VALOR UNITARIO HORA (UNIT HOUR VALUE)]]+Tabla1[[#This Row],[VALOR COMBUSTIBLE POR HORA (FUEL GALLON VALUE PER HOUR)]])</f>
        <v/>
      </c>
      <c r="K46" s="244"/>
      <c r="L46" s="265"/>
      <c r="M46" s="265"/>
      <c r="N46" s="265"/>
      <c r="O46" s="266"/>
    </row>
    <row r="47" spans="1:15" x14ac:dyDescent="0.3">
      <c r="A47" t="str">
        <f>IF(Tabla1[[#This Row],[MAQUINARIA O EQUIPO (MACHINERY AND EQUIP)]]="","",CONCATENATE(Tabla1[[#This Row],[MAQUINARIA O EQUIPO (MACHINERY AND EQUIP)]],"-",Tabla1[[#This Row],[MODELO (MODEL)]],"-",Tabla1[[#This Row],[AÑO (YEAR)]],"-", Tabla1[[#This Row],[PROVEEDOR (SUPPLIER)]]))</f>
        <v/>
      </c>
      <c r="B47" s="244"/>
      <c r="C47" s="241"/>
      <c r="D47" s="245"/>
      <c r="E47" s="240"/>
      <c r="F47" s="1" t="str">
        <f>IF(Tabla1[[#This Row],[VALOR ALQUILES MES (MONTHLY RENT)]]="","",IF(Tabla1[[#This Row],[TIEMPO USO AL MES (TIME OF USE MONTH)]]="","",Tabla1[[#This Row],[VALOR ALQUILES MES (MONTHLY RENT)]]/Tabla1[[#This Row],[TIEMPO USO AL MES (TIME OF USE MONTH)]]))</f>
        <v/>
      </c>
      <c r="G47" s="256"/>
      <c r="H47" s="257"/>
      <c r="I47" s="1" t="str">
        <f>IF(Tabla1[[#This Row],[CONSUMO COMBUSTIBLE HORA  (UNIT HOUR VALUE)]]="","",Tabla1[[#This Row],[CONSUMO COMBUSTIBLE HORA  (UNIT HOUR VALUE)]]*Tabla1[[#This Row],[VALOR GALON COMBUSTIBLE (FUEL GALLON VALUE)]])</f>
        <v/>
      </c>
      <c r="J47" s="1" t="str">
        <f>IF(Tabla1[[#This Row],[VALOR UNITARIO HORA (UNIT HOUR VALUE)]]="","",Tabla1[[#This Row],[VALOR UNITARIO HORA (UNIT HOUR VALUE)]]+Tabla1[[#This Row],[VALOR COMBUSTIBLE POR HORA (FUEL GALLON VALUE PER HOUR)]])</f>
        <v/>
      </c>
      <c r="K47" s="244"/>
      <c r="L47" s="265"/>
      <c r="M47" s="265"/>
      <c r="N47" s="265"/>
      <c r="O47" s="266"/>
    </row>
    <row r="48" spans="1:15" x14ac:dyDescent="0.3">
      <c r="A48" t="str">
        <f>IF(Tabla1[[#This Row],[MAQUINARIA O EQUIPO (MACHINERY AND EQUIP)]]="","",CONCATENATE(Tabla1[[#This Row],[MAQUINARIA O EQUIPO (MACHINERY AND EQUIP)]],"-",Tabla1[[#This Row],[MODELO (MODEL)]],"-",Tabla1[[#This Row],[AÑO (YEAR)]],"-", Tabla1[[#This Row],[PROVEEDOR (SUPPLIER)]]))</f>
        <v/>
      </c>
      <c r="B48" s="244"/>
      <c r="C48" s="241"/>
      <c r="D48" s="245"/>
      <c r="E48" s="240"/>
      <c r="F48" s="1" t="str">
        <f>IF(Tabla1[[#This Row],[VALOR ALQUILES MES (MONTHLY RENT)]]="","",IF(Tabla1[[#This Row],[TIEMPO USO AL MES (TIME OF USE MONTH)]]="","",Tabla1[[#This Row],[VALOR ALQUILES MES (MONTHLY RENT)]]/Tabla1[[#This Row],[TIEMPO USO AL MES (TIME OF USE MONTH)]]))</f>
        <v/>
      </c>
      <c r="G48" s="256"/>
      <c r="H48" s="257"/>
      <c r="I48" s="1" t="str">
        <f>IF(Tabla1[[#This Row],[CONSUMO COMBUSTIBLE HORA  (UNIT HOUR VALUE)]]="","",Tabla1[[#This Row],[CONSUMO COMBUSTIBLE HORA  (UNIT HOUR VALUE)]]*Tabla1[[#This Row],[VALOR GALON COMBUSTIBLE (FUEL GALLON VALUE)]])</f>
        <v/>
      </c>
      <c r="J48" s="1" t="str">
        <f>IF(Tabla1[[#This Row],[VALOR UNITARIO HORA (UNIT HOUR VALUE)]]="","",Tabla1[[#This Row],[VALOR UNITARIO HORA (UNIT HOUR VALUE)]]+Tabla1[[#This Row],[VALOR COMBUSTIBLE POR HORA (FUEL GALLON VALUE PER HOUR)]])</f>
        <v/>
      </c>
      <c r="K48" s="244"/>
      <c r="L48" s="265"/>
      <c r="M48" s="265"/>
      <c r="N48" s="265"/>
      <c r="O48" s="266"/>
    </row>
    <row r="49" spans="1:15" x14ac:dyDescent="0.3">
      <c r="A49" t="str">
        <f>IF(Tabla1[[#This Row],[MAQUINARIA O EQUIPO (MACHINERY AND EQUIP)]]="","",CONCATENATE(Tabla1[[#This Row],[MAQUINARIA O EQUIPO (MACHINERY AND EQUIP)]],"-",Tabla1[[#This Row],[MODELO (MODEL)]],"-",Tabla1[[#This Row],[AÑO (YEAR)]],"-", Tabla1[[#This Row],[PROVEEDOR (SUPPLIER)]]))</f>
        <v/>
      </c>
      <c r="B49" s="244"/>
      <c r="C49" s="241"/>
      <c r="D49" s="245"/>
      <c r="E49" s="240"/>
      <c r="F49" s="1" t="str">
        <f>IF(Tabla1[[#This Row],[VALOR ALQUILES MES (MONTHLY RENT)]]="","",IF(Tabla1[[#This Row],[TIEMPO USO AL MES (TIME OF USE MONTH)]]="","",Tabla1[[#This Row],[VALOR ALQUILES MES (MONTHLY RENT)]]/Tabla1[[#This Row],[TIEMPO USO AL MES (TIME OF USE MONTH)]]))</f>
        <v/>
      </c>
      <c r="G49" s="256"/>
      <c r="H49" s="257"/>
      <c r="I49" s="1" t="str">
        <f>IF(Tabla1[[#This Row],[CONSUMO COMBUSTIBLE HORA  (UNIT HOUR VALUE)]]="","",Tabla1[[#This Row],[CONSUMO COMBUSTIBLE HORA  (UNIT HOUR VALUE)]]*Tabla1[[#This Row],[VALOR GALON COMBUSTIBLE (FUEL GALLON VALUE)]])</f>
        <v/>
      </c>
      <c r="J49" s="1" t="str">
        <f>IF(Tabla1[[#This Row],[VALOR UNITARIO HORA (UNIT HOUR VALUE)]]="","",Tabla1[[#This Row],[VALOR UNITARIO HORA (UNIT HOUR VALUE)]]+Tabla1[[#This Row],[VALOR COMBUSTIBLE POR HORA (FUEL GALLON VALUE PER HOUR)]])</f>
        <v/>
      </c>
      <c r="K49" s="244"/>
      <c r="L49" s="265"/>
      <c r="M49" s="265"/>
      <c r="N49" s="265"/>
      <c r="O49" s="266"/>
    </row>
    <row r="50" spans="1:15" x14ac:dyDescent="0.3">
      <c r="A50" t="str">
        <f>IF(Tabla1[[#This Row],[MAQUINARIA O EQUIPO (MACHINERY AND EQUIP)]]="","",CONCATENATE(Tabla1[[#This Row],[MAQUINARIA O EQUIPO (MACHINERY AND EQUIP)]],"-",Tabla1[[#This Row],[MODELO (MODEL)]],"-",Tabla1[[#This Row],[AÑO (YEAR)]],"-", Tabla1[[#This Row],[PROVEEDOR (SUPPLIER)]]))</f>
        <v/>
      </c>
      <c r="B50" s="244"/>
      <c r="C50" s="241"/>
      <c r="D50" s="245"/>
      <c r="E50" s="240"/>
      <c r="F50" s="1" t="str">
        <f>IF(Tabla1[[#This Row],[VALOR ALQUILES MES (MONTHLY RENT)]]="","",IF(Tabla1[[#This Row],[TIEMPO USO AL MES (TIME OF USE MONTH)]]="","",Tabla1[[#This Row],[VALOR ALQUILES MES (MONTHLY RENT)]]/Tabla1[[#This Row],[TIEMPO USO AL MES (TIME OF USE MONTH)]]))</f>
        <v/>
      </c>
      <c r="G50" s="256"/>
      <c r="H50" s="257"/>
      <c r="I50" s="1" t="str">
        <f>IF(Tabla1[[#This Row],[CONSUMO COMBUSTIBLE HORA  (UNIT HOUR VALUE)]]="","",Tabla1[[#This Row],[CONSUMO COMBUSTIBLE HORA  (UNIT HOUR VALUE)]]*Tabla1[[#This Row],[VALOR GALON COMBUSTIBLE (FUEL GALLON VALUE)]])</f>
        <v/>
      </c>
      <c r="J50" s="1" t="str">
        <f>IF(Tabla1[[#This Row],[VALOR UNITARIO HORA (UNIT HOUR VALUE)]]="","",Tabla1[[#This Row],[VALOR UNITARIO HORA (UNIT HOUR VALUE)]]+Tabla1[[#This Row],[VALOR COMBUSTIBLE POR HORA (FUEL GALLON VALUE PER HOUR)]])</f>
        <v/>
      </c>
      <c r="K50" s="244"/>
      <c r="L50" s="265"/>
      <c r="M50" s="265"/>
      <c r="N50" s="265"/>
      <c r="O50" s="266"/>
    </row>
    <row r="51" spans="1:15" x14ac:dyDescent="0.3">
      <c r="A51" t="str">
        <f>IF(Tabla1[[#This Row],[MAQUINARIA O EQUIPO (MACHINERY AND EQUIP)]]="","",CONCATENATE(Tabla1[[#This Row],[MAQUINARIA O EQUIPO (MACHINERY AND EQUIP)]],"-",Tabla1[[#This Row],[MODELO (MODEL)]],"-",Tabla1[[#This Row],[AÑO (YEAR)]],"-", Tabla1[[#This Row],[PROVEEDOR (SUPPLIER)]]))</f>
        <v/>
      </c>
      <c r="B51" s="244"/>
      <c r="C51" s="241"/>
      <c r="D51" s="245"/>
      <c r="E51" s="240"/>
      <c r="F51" s="1" t="str">
        <f>IF(Tabla1[[#This Row],[VALOR ALQUILES MES (MONTHLY RENT)]]="","",IF(Tabla1[[#This Row],[TIEMPO USO AL MES (TIME OF USE MONTH)]]="","",Tabla1[[#This Row],[VALOR ALQUILES MES (MONTHLY RENT)]]/Tabla1[[#This Row],[TIEMPO USO AL MES (TIME OF USE MONTH)]]))</f>
        <v/>
      </c>
      <c r="G51" s="256"/>
      <c r="H51" s="257"/>
      <c r="I51" s="1" t="str">
        <f>IF(Tabla1[[#This Row],[CONSUMO COMBUSTIBLE HORA  (UNIT HOUR VALUE)]]="","",Tabla1[[#This Row],[CONSUMO COMBUSTIBLE HORA  (UNIT HOUR VALUE)]]*Tabla1[[#This Row],[VALOR GALON COMBUSTIBLE (FUEL GALLON VALUE)]])</f>
        <v/>
      </c>
      <c r="J51" s="1" t="str">
        <f>IF(Tabla1[[#This Row],[VALOR UNITARIO HORA (UNIT HOUR VALUE)]]="","",Tabla1[[#This Row],[VALOR UNITARIO HORA (UNIT HOUR VALUE)]]+Tabla1[[#This Row],[VALOR COMBUSTIBLE POR HORA (FUEL GALLON VALUE PER HOUR)]])</f>
        <v/>
      </c>
      <c r="K51" s="244"/>
      <c r="L51" s="265"/>
      <c r="M51" s="265"/>
      <c r="N51" s="265"/>
      <c r="O51" s="266"/>
    </row>
    <row r="52" spans="1:15" x14ac:dyDescent="0.3">
      <c r="A52" t="str">
        <f>IF(Tabla1[[#This Row],[MAQUINARIA O EQUIPO (MACHINERY AND EQUIP)]]="","",CONCATENATE(Tabla1[[#This Row],[MAQUINARIA O EQUIPO (MACHINERY AND EQUIP)]],"-",Tabla1[[#This Row],[MODELO (MODEL)]],"-",Tabla1[[#This Row],[AÑO (YEAR)]],"-", Tabla1[[#This Row],[PROVEEDOR (SUPPLIER)]]))</f>
        <v/>
      </c>
      <c r="B52" s="244"/>
      <c r="C52" s="241"/>
      <c r="D52" s="245"/>
      <c r="E52" s="240"/>
      <c r="F52" s="1" t="str">
        <f>IF(Tabla1[[#This Row],[VALOR ALQUILES MES (MONTHLY RENT)]]="","",IF(Tabla1[[#This Row],[TIEMPO USO AL MES (TIME OF USE MONTH)]]="","",Tabla1[[#This Row],[VALOR ALQUILES MES (MONTHLY RENT)]]/Tabla1[[#This Row],[TIEMPO USO AL MES (TIME OF USE MONTH)]]))</f>
        <v/>
      </c>
      <c r="G52" s="256"/>
      <c r="H52" s="257"/>
      <c r="I52" s="1" t="str">
        <f>IF(Tabla1[[#This Row],[CONSUMO COMBUSTIBLE HORA  (UNIT HOUR VALUE)]]="","",Tabla1[[#This Row],[CONSUMO COMBUSTIBLE HORA  (UNIT HOUR VALUE)]]*Tabla1[[#This Row],[VALOR GALON COMBUSTIBLE (FUEL GALLON VALUE)]])</f>
        <v/>
      </c>
      <c r="J52" s="1" t="str">
        <f>IF(Tabla1[[#This Row],[VALOR UNITARIO HORA (UNIT HOUR VALUE)]]="","",Tabla1[[#This Row],[VALOR UNITARIO HORA (UNIT HOUR VALUE)]]+Tabla1[[#This Row],[VALOR COMBUSTIBLE POR HORA (FUEL GALLON VALUE PER HOUR)]])</f>
        <v/>
      </c>
      <c r="K52" s="244"/>
      <c r="L52" s="265"/>
      <c r="M52" s="265"/>
      <c r="N52" s="265"/>
      <c r="O52" s="266"/>
    </row>
    <row r="53" spans="1:15" x14ac:dyDescent="0.3">
      <c r="A53" t="str">
        <f>IF(Tabla1[[#This Row],[MAQUINARIA O EQUIPO (MACHINERY AND EQUIP)]]="","",CONCATENATE(Tabla1[[#This Row],[MAQUINARIA O EQUIPO (MACHINERY AND EQUIP)]],"-",Tabla1[[#This Row],[MODELO (MODEL)]],"-",Tabla1[[#This Row],[AÑO (YEAR)]],"-", Tabla1[[#This Row],[PROVEEDOR (SUPPLIER)]]))</f>
        <v/>
      </c>
      <c r="B53" s="244"/>
      <c r="C53" s="241"/>
      <c r="D53" s="245"/>
      <c r="E53" s="240"/>
      <c r="F53" s="1" t="str">
        <f>IF(Tabla1[[#This Row],[VALOR ALQUILES MES (MONTHLY RENT)]]="","",IF(Tabla1[[#This Row],[TIEMPO USO AL MES (TIME OF USE MONTH)]]="","",Tabla1[[#This Row],[VALOR ALQUILES MES (MONTHLY RENT)]]/Tabla1[[#This Row],[TIEMPO USO AL MES (TIME OF USE MONTH)]]))</f>
        <v/>
      </c>
      <c r="G53" s="256"/>
      <c r="H53" s="257"/>
      <c r="I53" s="1" t="str">
        <f>IF(Tabla1[[#This Row],[CONSUMO COMBUSTIBLE HORA  (UNIT HOUR VALUE)]]="","",Tabla1[[#This Row],[CONSUMO COMBUSTIBLE HORA  (UNIT HOUR VALUE)]]*Tabla1[[#This Row],[VALOR GALON COMBUSTIBLE (FUEL GALLON VALUE)]])</f>
        <v/>
      </c>
      <c r="J53" s="1" t="str">
        <f>IF(Tabla1[[#This Row],[VALOR UNITARIO HORA (UNIT HOUR VALUE)]]="","",Tabla1[[#This Row],[VALOR UNITARIO HORA (UNIT HOUR VALUE)]]+Tabla1[[#This Row],[VALOR COMBUSTIBLE POR HORA (FUEL GALLON VALUE PER HOUR)]])</f>
        <v/>
      </c>
      <c r="K53" s="244"/>
      <c r="L53" s="265"/>
      <c r="M53" s="265"/>
      <c r="N53" s="265"/>
      <c r="O53" s="266"/>
    </row>
    <row r="54" spans="1:15" x14ac:dyDescent="0.3">
      <c r="A54" t="str">
        <f>IF(Tabla1[[#This Row],[MAQUINARIA O EQUIPO (MACHINERY AND EQUIP)]]="","",CONCATENATE(Tabla1[[#This Row],[MAQUINARIA O EQUIPO (MACHINERY AND EQUIP)]],"-",Tabla1[[#This Row],[MODELO (MODEL)]],"-",Tabla1[[#This Row],[AÑO (YEAR)]],"-", Tabla1[[#This Row],[PROVEEDOR (SUPPLIER)]]))</f>
        <v/>
      </c>
      <c r="B54" s="244"/>
      <c r="C54" s="241"/>
      <c r="D54" s="245"/>
      <c r="E54" s="240"/>
      <c r="F54" s="1" t="str">
        <f>IF(Tabla1[[#This Row],[VALOR ALQUILES MES (MONTHLY RENT)]]="","",IF(Tabla1[[#This Row],[TIEMPO USO AL MES (TIME OF USE MONTH)]]="","",Tabla1[[#This Row],[VALOR ALQUILES MES (MONTHLY RENT)]]/Tabla1[[#This Row],[TIEMPO USO AL MES (TIME OF USE MONTH)]]))</f>
        <v/>
      </c>
      <c r="G54" s="256"/>
      <c r="H54" s="257"/>
      <c r="I54" s="1" t="str">
        <f>IF(Tabla1[[#This Row],[CONSUMO COMBUSTIBLE HORA  (UNIT HOUR VALUE)]]="","",Tabla1[[#This Row],[CONSUMO COMBUSTIBLE HORA  (UNIT HOUR VALUE)]]*Tabla1[[#This Row],[VALOR GALON COMBUSTIBLE (FUEL GALLON VALUE)]])</f>
        <v/>
      </c>
      <c r="J54" s="1" t="str">
        <f>IF(Tabla1[[#This Row],[VALOR UNITARIO HORA (UNIT HOUR VALUE)]]="","",Tabla1[[#This Row],[VALOR UNITARIO HORA (UNIT HOUR VALUE)]]+Tabla1[[#This Row],[VALOR COMBUSTIBLE POR HORA (FUEL GALLON VALUE PER HOUR)]])</f>
        <v/>
      </c>
      <c r="K54" s="244"/>
      <c r="L54" s="265"/>
      <c r="M54" s="265"/>
      <c r="N54" s="265"/>
      <c r="O54" s="266"/>
    </row>
    <row r="55" spans="1:15" x14ac:dyDescent="0.3">
      <c r="A55" t="str">
        <f>IF(Tabla1[[#This Row],[MAQUINARIA O EQUIPO (MACHINERY AND EQUIP)]]="","",CONCATENATE(Tabla1[[#This Row],[MAQUINARIA O EQUIPO (MACHINERY AND EQUIP)]],"-",Tabla1[[#This Row],[MODELO (MODEL)]],"-",Tabla1[[#This Row],[AÑO (YEAR)]],"-", Tabla1[[#This Row],[PROVEEDOR (SUPPLIER)]]))</f>
        <v/>
      </c>
      <c r="B55" s="244"/>
      <c r="C55" s="241"/>
      <c r="D55" s="245"/>
      <c r="E55" s="240"/>
      <c r="F55" s="1" t="str">
        <f>IF(Tabla1[[#This Row],[VALOR ALQUILES MES (MONTHLY RENT)]]="","",IF(Tabla1[[#This Row],[TIEMPO USO AL MES (TIME OF USE MONTH)]]="","",Tabla1[[#This Row],[VALOR ALQUILES MES (MONTHLY RENT)]]/Tabla1[[#This Row],[TIEMPO USO AL MES (TIME OF USE MONTH)]]))</f>
        <v/>
      </c>
      <c r="G55" s="256"/>
      <c r="H55" s="257"/>
      <c r="I55" s="1" t="str">
        <f>IF(Tabla1[[#This Row],[CONSUMO COMBUSTIBLE HORA  (UNIT HOUR VALUE)]]="","",Tabla1[[#This Row],[CONSUMO COMBUSTIBLE HORA  (UNIT HOUR VALUE)]]*Tabla1[[#This Row],[VALOR GALON COMBUSTIBLE (FUEL GALLON VALUE)]])</f>
        <v/>
      </c>
      <c r="J55" s="1" t="str">
        <f>IF(Tabla1[[#This Row],[VALOR UNITARIO HORA (UNIT HOUR VALUE)]]="","",Tabla1[[#This Row],[VALOR UNITARIO HORA (UNIT HOUR VALUE)]]+Tabla1[[#This Row],[VALOR COMBUSTIBLE POR HORA (FUEL GALLON VALUE PER HOUR)]])</f>
        <v/>
      </c>
      <c r="K55" s="244"/>
      <c r="L55" s="265"/>
      <c r="M55" s="265"/>
      <c r="N55" s="265"/>
      <c r="O55" s="266"/>
    </row>
    <row r="56" spans="1:15" x14ac:dyDescent="0.3">
      <c r="A56" t="str">
        <f>IF(Tabla1[[#This Row],[MAQUINARIA O EQUIPO (MACHINERY AND EQUIP)]]="","",CONCATENATE(Tabla1[[#This Row],[MAQUINARIA O EQUIPO (MACHINERY AND EQUIP)]],"-",Tabla1[[#This Row],[MODELO (MODEL)]],"-",Tabla1[[#This Row],[AÑO (YEAR)]],"-", Tabla1[[#This Row],[PROVEEDOR (SUPPLIER)]]))</f>
        <v/>
      </c>
      <c r="B56" s="244"/>
      <c r="C56" s="241"/>
      <c r="D56" s="245"/>
      <c r="E56" s="240"/>
      <c r="F56" s="1" t="str">
        <f>IF(Tabla1[[#This Row],[VALOR ALQUILES MES (MONTHLY RENT)]]="","",IF(Tabla1[[#This Row],[TIEMPO USO AL MES (TIME OF USE MONTH)]]="","",Tabla1[[#This Row],[VALOR ALQUILES MES (MONTHLY RENT)]]/Tabla1[[#This Row],[TIEMPO USO AL MES (TIME OF USE MONTH)]]))</f>
        <v/>
      </c>
      <c r="G56" s="256"/>
      <c r="H56" s="257"/>
      <c r="I56" s="1" t="str">
        <f>IF(Tabla1[[#This Row],[CONSUMO COMBUSTIBLE HORA  (UNIT HOUR VALUE)]]="","",Tabla1[[#This Row],[CONSUMO COMBUSTIBLE HORA  (UNIT HOUR VALUE)]]*Tabla1[[#This Row],[VALOR GALON COMBUSTIBLE (FUEL GALLON VALUE)]])</f>
        <v/>
      </c>
      <c r="J56" s="1" t="str">
        <f>IF(Tabla1[[#This Row],[VALOR UNITARIO HORA (UNIT HOUR VALUE)]]="","",Tabla1[[#This Row],[VALOR UNITARIO HORA (UNIT HOUR VALUE)]]+Tabla1[[#This Row],[VALOR COMBUSTIBLE POR HORA (FUEL GALLON VALUE PER HOUR)]])</f>
        <v/>
      </c>
      <c r="K56" s="244"/>
      <c r="L56" s="265"/>
      <c r="M56" s="265"/>
      <c r="N56" s="265"/>
      <c r="O56" s="266"/>
    </row>
    <row r="57" spans="1:15" x14ac:dyDescent="0.3">
      <c r="A57" t="str">
        <f>IF(Tabla1[[#This Row],[MAQUINARIA O EQUIPO (MACHINERY AND EQUIP)]]="","",CONCATENATE(Tabla1[[#This Row],[MAQUINARIA O EQUIPO (MACHINERY AND EQUIP)]],"-",Tabla1[[#This Row],[MODELO (MODEL)]],"-",Tabla1[[#This Row],[AÑO (YEAR)]],"-", Tabla1[[#This Row],[PROVEEDOR (SUPPLIER)]]))</f>
        <v/>
      </c>
      <c r="B57" s="246"/>
      <c r="C57" s="241"/>
      <c r="D57" s="247"/>
      <c r="E57" s="240"/>
      <c r="F57" s="1" t="str">
        <f>IF(Tabla1[[#This Row],[VALOR ALQUILES MES (MONTHLY RENT)]]="","",IF(Tabla1[[#This Row],[TIEMPO USO AL MES (TIME OF USE MONTH)]]="","",Tabla1[[#This Row],[VALOR ALQUILES MES (MONTHLY RENT)]]/Tabla1[[#This Row],[TIEMPO USO AL MES (TIME OF USE MONTH)]]))</f>
        <v/>
      </c>
      <c r="G57" s="256"/>
      <c r="H57" s="257"/>
      <c r="I57" s="1" t="str">
        <f>IF(Tabla1[[#This Row],[CONSUMO COMBUSTIBLE HORA  (UNIT HOUR VALUE)]]="","",Tabla1[[#This Row],[CONSUMO COMBUSTIBLE HORA  (UNIT HOUR VALUE)]]*Tabla1[[#This Row],[VALOR GALON COMBUSTIBLE (FUEL GALLON VALUE)]])</f>
        <v/>
      </c>
      <c r="J57" s="1" t="str">
        <f>IF(Tabla1[[#This Row],[VALOR UNITARIO HORA (UNIT HOUR VALUE)]]="","",Tabla1[[#This Row],[VALOR UNITARIO HORA (UNIT HOUR VALUE)]]+Tabla1[[#This Row],[VALOR COMBUSTIBLE POR HORA (FUEL GALLON VALUE PER HOUR)]])</f>
        <v/>
      </c>
      <c r="K57" s="246"/>
      <c r="L57" s="248"/>
      <c r="M57" s="248"/>
      <c r="N57" s="248"/>
      <c r="O57" s="267"/>
    </row>
    <row r="58" spans="1:15" x14ac:dyDescent="0.3">
      <c r="A58" t="str">
        <f>IF(Tabla1[[#This Row],[MAQUINARIA O EQUIPO (MACHINERY AND EQUIP)]]="","",CONCATENATE(Tabla1[[#This Row],[MAQUINARIA O EQUIPO (MACHINERY AND EQUIP)]],"-",Tabla1[[#This Row],[MODELO (MODEL)]],"-",Tabla1[[#This Row],[AÑO (YEAR)]],"-", Tabla1[[#This Row],[PROVEEDOR (SUPPLIER)]]))</f>
        <v/>
      </c>
      <c r="B58" s="246"/>
      <c r="C58" s="241"/>
      <c r="D58" s="247"/>
      <c r="E58" s="240"/>
      <c r="F58" s="1" t="str">
        <f>IF(Tabla1[[#This Row],[VALOR ALQUILES MES (MONTHLY RENT)]]="","",IF(Tabla1[[#This Row],[TIEMPO USO AL MES (TIME OF USE MONTH)]]="","",Tabla1[[#This Row],[VALOR ALQUILES MES (MONTHLY RENT)]]/Tabla1[[#This Row],[TIEMPO USO AL MES (TIME OF USE MONTH)]]))</f>
        <v/>
      </c>
      <c r="G58" s="258"/>
      <c r="H58" s="259"/>
      <c r="I58" s="1" t="str">
        <f>IF(Tabla1[[#This Row],[CONSUMO COMBUSTIBLE HORA  (UNIT HOUR VALUE)]]="","",Tabla1[[#This Row],[CONSUMO COMBUSTIBLE HORA  (UNIT HOUR VALUE)]]*Tabla1[[#This Row],[VALOR GALON COMBUSTIBLE (FUEL GALLON VALUE)]])</f>
        <v/>
      </c>
      <c r="J58" s="1" t="str">
        <f>IF(Tabla1[[#This Row],[VALOR UNITARIO HORA (UNIT HOUR VALUE)]]="","",Tabla1[[#This Row],[VALOR UNITARIO HORA (UNIT HOUR VALUE)]]+Tabla1[[#This Row],[VALOR COMBUSTIBLE POR HORA (FUEL GALLON VALUE PER HOUR)]])</f>
        <v/>
      </c>
      <c r="K58" s="246"/>
      <c r="L58" s="248"/>
      <c r="M58" s="248"/>
      <c r="N58" s="248"/>
      <c r="O58" s="267"/>
    </row>
    <row r="59" spans="1:15" x14ac:dyDescent="0.3">
      <c r="A59" t="str">
        <f>IF(Tabla1[[#This Row],[MAQUINARIA O EQUIPO (MACHINERY AND EQUIP)]]="","",CONCATENATE(Tabla1[[#This Row],[MAQUINARIA O EQUIPO (MACHINERY AND EQUIP)]],"-",Tabla1[[#This Row],[MODELO (MODEL)]],"-",Tabla1[[#This Row],[AÑO (YEAR)]],"-", Tabla1[[#This Row],[PROVEEDOR (SUPPLIER)]]))</f>
        <v/>
      </c>
      <c r="B59" s="246"/>
      <c r="C59" s="248"/>
      <c r="D59" s="247"/>
      <c r="E59" s="240"/>
      <c r="F59" s="1" t="str">
        <f>IF(Tabla1[[#This Row],[VALOR ALQUILES MES (MONTHLY RENT)]]="","",IF(Tabla1[[#This Row],[TIEMPO USO AL MES (TIME OF USE MONTH)]]="","",Tabla1[[#This Row],[VALOR ALQUILES MES (MONTHLY RENT)]]/Tabla1[[#This Row],[TIEMPO USO AL MES (TIME OF USE MONTH)]]))</f>
        <v/>
      </c>
      <c r="G59" s="258"/>
      <c r="H59" s="259"/>
      <c r="I59" s="1" t="str">
        <f>IF(Tabla1[[#This Row],[CONSUMO COMBUSTIBLE HORA  (UNIT HOUR VALUE)]]="","",Tabla1[[#This Row],[CONSUMO COMBUSTIBLE HORA  (UNIT HOUR VALUE)]]*Tabla1[[#This Row],[VALOR GALON COMBUSTIBLE (FUEL GALLON VALUE)]])</f>
        <v/>
      </c>
      <c r="J59" s="1" t="str">
        <f>IF(Tabla1[[#This Row],[VALOR UNITARIO HORA (UNIT HOUR VALUE)]]="","",Tabla1[[#This Row],[VALOR UNITARIO HORA (UNIT HOUR VALUE)]]+Tabla1[[#This Row],[VALOR COMBUSTIBLE POR HORA (FUEL GALLON VALUE PER HOUR)]])</f>
        <v/>
      </c>
      <c r="K59" s="246"/>
      <c r="L59" s="248"/>
      <c r="M59" s="248"/>
      <c r="N59" s="248"/>
      <c r="O59" s="267"/>
    </row>
    <row r="60" spans="1:15" x14ac:dyDescent="0.3">
      <c r="A60" t="str">
        <f>IF(Tabla1[[#This Row],[MAQUINARIA O EQUIPO (MACHINERY AND EQUIP)]]="","",CONCATENATE(Tabla1[[#This Row],[MAQUINARIA O EQUIPO (MACHINERY AND EQUIP)]],"-",Tabla1[[#This Row],[MODELO (MODEL)]],"-",Tabla1[[#This Row],[AÑO (YEAR)]],"-", Tabla1[[#This Row],[PROVEEDOR (SUPPLIER)]]))</f>
        <v/>
      </c>
      <c r="B60" s="246"/>
      <c r="C60" s="248"/>
      <c r="D60" s="247"/>
      <c r="E60" s="240"/>
      <c r="F60" s="1" t="str">
        <f>IF(Tabla1[[#This Row],[VALOR ALQUILES MES (MONTHLY RENT)]]="","",IF(Tabla1[[#This Row],[TIEMPO USO AL MES (TIME OF USE MONTH)]]="","",Tabla1[[#This Row],[VALOR ALQUILES MES (MONTHLY RENT)]]/Tabla1[[#This Row],[TIEMPO USO AL MES (TIME OF USE MONTH)]]))</f>
        <v/>
      </c>
      <c r="G60" s="258"/>
      <c r="H60" s="259"/>
      <c r="I60" s="1" t="str">
        <f>IF(Tabla1[[#This Row],[CONSUMO COMBUSTIBLE HORA  (UNIT HOUR VALUE)]]="","",Tabla1[[#This Row],[CONSUMO COMBUSTIBLE HORA  (UNIT HOUR VALUE)]]*Tabla1[[#This Row],[VALOR GALON COMBUSTIBLE (FUEL GALLON VALUE)]])</f>
        <v/>
      </c>
      <c r="J60" s="1" t="str">
        <f>IF(Tabla1[[#This Row],[VALOR UNITARIO HORA (UNIT HOUR VALUE)]]="","",Tabla1[[#This Row],[VALOR UNITARIO HORA (UNIT HOUR VALUE)]]+Tabla1[[#This Row],[VALOR COMBUSTIBLE POR HORA (FUEL GALLON VALUE PER HOUR)]])</f>
        <v/>
      </c>
      <c r="K60" s="246"/>
      <c r="L60" s="248"/>
      <c r="M60" s="248"/>
      <c r="N60" s="248"/>
      <c r="O60" s="267"/>
    </row>
    <row r="61" spans="1:15" x14ac:dyDescent="0.3">
      <c r="A61" t="str">
        <f>IF(Tabla1[[#This Row],[MAQUINARIA O EQUIPO (MACHINERY AND EQUIP)]]="","",CONCATENATE(Tabla1[[#This Row],[MAQUINARIA O EQUIPO (MACHINERY AND EQUIP)]],"-",Tabla1[[#This Row],[MODELO (MODEL)]],"-",Tabla1[[#This Row],[AÑO (YEAR)]],"-", Tabla1[[#This Row],[PROVEEDOR (SUPPLIER)]]))</f>
        <v/>
      </c>
      <c r="B61" s="246"/>
      <c r="C61" s="248"/>
      <c r="D61" s="247"/>
      <c r="E61" s="240"/>
      <c r="F61" s="1" t="str">
        <f>IF(Tabla1[[#This Row],[VALOR ALQUILES MES (MONTHLY RENT)]]="","",IF(Tabla1[[#This Row],[TIEMPO USO AL MES (TIME OF USE MONTH)]]="","",Tabla1[[#This Row],[VALOR ALQUILES MES (MONTHLY RENT)]]/Tabla1[[#This Row],[TIEMPO USO AL MES (TIME OF USE MONTH)]]))</f>
        <v/>
      </c>
      <c r="G61" s="258"/>
      <c r="H61" s="259"/>
      <c r="I61" s="1" t="str">
        <f>IF(Tabla1[[#This Row],[CONSUMO COMBUSTIBLE HORA  (UNIT HOUR VALUE)]]="","",Tabla1[[#This Row],[CONSUMO COMBUSTIBLE HORA  (UNIT HOUR VALUE)]]*Tabla1[[#This Row],[VALOR GALON COMBUSTIBLE (FUEL GALLON VALUE)]])</f>
        <v/>
      </c>
      <c r="J61" s="1" t="str">
        <f>IF(Tabla1[[#This Row],[VALOR UNITARIO HORA (UNIT HOUR VALUE)]]="","",Tabla1[[#This Row],[VALOR UNITARIO HORA (UNIT HOUR VALUE)]]+Tabla1[[#This Row],[VALOR COMBUSTIBLE POR HORA (FUEL GALLON VALUE PER HOUR)]])</f>
        <v/>
      </c>
      <c r="K61" s="246"/>
      <c r="L61" s="248"/>
      <c r="M61" s="248"/>
      <c r="N61" s="248"/>
      <c r="O61" s="267"/>
    </row>
    <row r="62" spans="1:15" x14ac:dyDescent="0.3">
      <c r="A62" t="str">
        <f>IF(Tabla1[[#This Row],[MAQUINARIA O EQUIPO (MACHINERY AND EQUIP)]]="","",CONCATENATE(Tabla1[[#This Row],[MAQUINARIA O EQUIPO (MACHINERY AND EQUIP)]],"-",Tabla1[[#This Row],[MODELO (MODEL)]],"-",Tabla1[[#This Row],[AÑO (YEAR)]],"-", Tabla1[[#This Row],[PROVEEDOR (SUPPLIER)]]))</f>
        <v/>
      </c>
      <c r="B62" s="246"/>
      <c r="C62" s="248"/>
      <c r="D62" s="247"/>
      <c r="E62" s="240"/>
      <c r="F62" s="1" t="str">
        <f>IF(Tabla1[[#This Row],[VALOR ALQUILES MES (MONTHLY RENT)]]="","",IF(Tabla1[[#This Row],[TIEMPO USO AL MES (TIME OF USE MONTH)]]="","",Tabla1[[#This Row],[VALOR ALQUILES MES (MONTHLY RENT)]]/Tabla1[[#This Row],[TIEMPO USO AL MES (TIME OF USE MONTH)]]))</f>
        <v/>
      </c>
      <c r="G62" s="258"/>
      <c r="H62" s="259"/>
      <c r="I62" s="1" t="str">
        <f>IF(Tabla1[[#This Row],[CONSUMO COMBUSTIBLE HORA  (UNIT HOUR VALUE)]]="","",Tabla1[[#This Row],[CONSUMO COMBUSTIBLE HORA  (UNIT HOUR VALUE)]]*Tabla1[[#This Row],[VALOR GALON COMBUSTIBLE (FUEL GALLON VALUE)]])</f>
        <v/>
      </c>
      <c r="J62" s="1" t="str">
        <f>IF(Tabla1[[#This Row],[VALOR UNITARIO HORA (UNIT HOUR VALUE)]]="","",Tabla1[[#This Row],[VALOR UNITARIO HORA (UNIT HOUR VALUE)]]+Tabla1[[#This Row],[VALOR COMBUSTIBLE POR HORA (FUEL GALLON VALUE PER HOUR)]])</f>
        <v/>
      </c>
      <c r="K62" s="246"/>
      <c r="L62" s="248"/>
      <c r="M62" s="248"/>
      <c r="N62" s="248"/>
      <c r="O62" s="267"/>
    </row>
    <row r="63" spans="1:15" x14ac:dyDescent="0.3">
      <c r="A63" t="str">
        <f>IF(Tabla1[[#This Row],[MAQUINARIA O EQUIPO (MACHINERY AND EQUIP)]]="","",CONCATENATE(Tabla1[[#This Row],[MAQUINARIA O EQUIPO (MACHINERY AND EQUIP)]],"-",Tabla1[[#This Row],[MODELO (MODEL)]],"-",Tabla1[[#This Row],[AÑO (YEAR)]],"-", Tabla1[[#This Row],[PROVEEDOR (SUPPLIER)]]))</f>
        <v/>
      </c>
      <c r="B63" s="246"/>
      <c r="C63" s="248"/>
      <c r="D63" s="247"/>
      <c r="E63" s="240"/>
      <c r="F63" s="1" t="str">
        <f>IF(Tabla1[[#This Row],[VALOR ALQUILES MES (MONTHLY RENT)]]="","",IF(Tabla1[[#This Row],[TIEMPO USO AL MES (TIME OF USE MONTH)]]="","",Tabla1[[#This Row],[VALOR ALQUILES MES (MONTHLY RENT)]]/Tabla1[[#This Row],[TIEMPO USO AL MES (TIME OF USE MONTH)]]))</f>
        <v/>
      </c>
      <c r="G63" s="258"/>
      <c r="H63" s="259"/>
      <c r="I63" s="1" t="str">
        <f>IF(Tabla1[[#This Row],[CONSUMO COMBUSTIBLE HORA  (UNIT HOUR VALUE)]]="","",Tabla1[[#This Row],[CONSUMO COMBUSTIBLE HORA  (UNIT HOUR VALUE)]]*Tabla1[[#This Row],[VALOR GALON COMBUSTIBLE (FUEL GALLON VALUE)]])</f>
        <v/>
      </c>
      <c r="J63" s="1" t="str">
        <f>IF(Tabla1[[#This Row],[VALOR UNITARIO HORA (UNIT HOUR VALUE)]]="","",Tabla1[[#This Row],[VALOR UNITARIO HORA (UNIT HOUR VALUE)]]+Tabla1[[#This Row],[VALOR COMBUSTIBLE POR HORA (FUEL GALLON VALUE PER HOUR)]])</f>
        <v/>
      </c>
      <c r="K63" s="246"/>
      <c r="L63" s="248"/>
      <c r="M63" s="248"/>
      <c r="N63" s="248"/>
      <c r="O63" s="267"/>
    </row>
    <row r="64" spans="1:15" x14ac:dyDescent="0.3">
      <c r="A64" t="str">
        <f>IF(Tabla1[[#This Row],[MAQUINARIA O EQUIPO (MACHINERY AND EQUIP)]]="","",CONCATENATE(Tabla1[[#This Row],[MAQUINARIA O EQUIPO (MACHINERY AND EQUIP)]],"-",Tabla1[[#This Row],[MODELO (MODEL)]],"-",Tabla1[[#This Row],[AÑO (YEAR)]],"-", Tabla1[[#This Row],[PROVEEDOR (SUPPLIER)]]))</f>
        <v/>
      </c>
      <c r="B64" s="246"/>
      <c r="C64" s="248"/>
      <c r="D64" s="247"/>
      <c r="E64" s="240"/>
      <c r="F64" s="1" t="str">
        <f>IF(Tabla1[[#This Row],[VALOR ALQUILES MES (MONTHLY RENT)]]="","",IF(Tabla1[[#This Row],[TIEMPO USO AL MES (TIME OF USE MONTH)]]="","",Tabla1[[#This Row],[VALOR ALQUILES MES (MONTHLY RENT)]]/Tabla1[[#This Row],[TIEMPO USO AL MES (TIME OF USE MONTH)]]))</f>
        <v/>
      </c>
      <c r="G64" s="258"/>
      <c r="H64" s="259"/>
      <c r="I64" s="1" t="str">
        <f>IF(Tabla1[[#This Row],[CONSUMO COMBUSTIBLE HORA  (UNIT HOUR VALUE)]]="","",Tabla1[[#This Row],[CONSUMO COMBUSTIBLE HORA  (UNIT HOUR VALUE)]]*Tabla1[[#This Row],[VALOR GALON COMBUSTIBLE (FUEL GALLON VALUE)]])</f>
        <v/>
      </c>
      <c r="J64" s="1" t="str">
        <f>IF(Tabla1[[#This Row],[VALOR UNITARIO HORA (UNIT HOUR VALUE)]]="","",Tabla1[[#This Row],[VALOR UNITARIO HORA (UNIT HOUR VALUE)]]+Tabla1[[#This Row],[VALOR COMBUSTIBLE POR HORA (FUEL GALLON VALUE PER HOUR)]])</f>
        <v/>
      </c>
      <c r="K64" s="246"/>
      <c r="L64" s="248"/>
      <c r="M64" s="248"/>
      <c r="N64" s="248"/>
      <c r="O64" s="267"/>
    </row>
    <row r="65" spans="1:15" x14ac:dyDescent="0.3">
      <c r="A65" t="str">
        <f>IF(Tabla1[[#This Row],[MAQUINARIA O EQUIPO (MACHINERY AND EQUIP)]]="","",CONCATENATE(Tabla1[[#This Row],[MAQUINARIA O EQUIPO (MACHINERY AND EQUIP)]],"-",Tabla1[[#This Row],[MODELO (MODEL)]],"-",Tabla1[[#This Row],[AÑO (YEAR)]],"-", Tabla1[[#This Row],[PROVEEDOR (SUPPLIER)]]))</f>
        <v/>
      </c>
      <c r="B65" s="246"/>
      <c r="C65" s="248"/>
      <c r="D65" s="247"/>
      <c r="E65" s="240"/>
      <c r="F65" s="1" t="str">
        <f>IF(Tabla1[[#This Row],[VALOR ALQUILES MES (MONTHLY RENT)]]="","",IF(Tabla1[[#This Row],[TIEMPO USO AL MES (TIME OF USE MONTH)]]="","",Tabla1[[#This Row],[VALOR ALQUILES MES (MONTHLY RENT)]]/Tabla1[[#This Row],[TIEMPO USO AL MES (TIME OF USE MONTH)]]))</f>
        <v/>
      </c>
      <c r="G65" s="258"/>
      <c r="H65" s="259"/>
      <c r="I65" s="1" t="str">
        <f>IF(Tabla1[[#This Row],[CONSUMO COMBUSTIBLE HORA  (UNIT HOUR VALUE)]]="","",Tabla1[[#This Row],[CONSUMO COMBUSTIBLE HORA  (UNIT HOUR VALUE)]]*Tabla1[[#This Row],[VALOR GALON COMBUSTIBLE (FUEL GALLON VALUE)]])</f>
        <v/>
      </c>
      <c r="J65" s="1" t="str">
        <f>IF(Tabla1[[#This Row],[VALOR UNITARIO HORA (UNIT HOUR VALUE)]]="","",Tabla1[[#This Row],[VALOR UNITARIO HORA (UNIT HOUR VALUE)]]+Tabla1[[#This Row],[VALOR COMBUSTIBLE POR HORA (FUEL GALLON VALUE PER HOUR)]])</f>
        <v/>
      </c>
      <c r="K65" s="246"/>
      <c r="L65" s="248"/>
      <c r="M65" s="248"/>
      <c r="N65" s="248"/>
      <c r="O65" s="267"/>
    </row>
    <row r="66" spans="1:15" x14ac:dyDescent="0.3">
      <c r="A66" t="str">
        <f>IF(Tabla1[[#This Row],[MAQUINARIA O EQUIPO (MACHINERY AND EQUIP)]]="","",CONCATENATE(Tabla1[[#This Row],[MAQUINARIA O EQUIPO (MACHINERY AND EQUIP)]],"-",Tabla1[[#This Row],[MODELO (MODEL)]],"-",Tabla1[[#This Row],[AÑO (YEAR)]],"-", Tabla1[[#This Row],[PROVEEDOR (SUPPLIER)]]))</f>
        <v/>
      </c>
      <c r="B66" s="246"/>
      <c r="C66" s="248"/>
      <c r="D66" s="247"/>
      <c r="E66" s="240"/>
      <c r="F66" s="1" t="str">
        <f>IF(Tabla1[[#This Row],[VALOR ALQUILES MES (MONTHLY RENT)]]="","",IF(Tabla1[[#This Row],[TIEMPO USO AL MES (TIME OF USE MONTH)]]="","",Tabla1[[#This Row],[VALOR ALQUILES MES (MONTHLY RENT)]]/Tabla1[[#This Row],[TIEMPO USO AL MES (TIME OF USE MONTH)]]))</f>
        <v/>
      </c>
      <c r="G66" s="258"/>
      <c r="H66" s="259"/>
      <c r="I66" s="1" t="str">
        <f>IF(Tabla1[[#This Row],[CONSUMO COMBUSTIBLE HORA  (UNIT HOUR VALUE)]]="","",Tabla1[[#This Row],[CONSUMO COMBUSTIBLE HORA  (UNIT HOUR VALUE)]]*Tabla1[[#This Row],[VALOR GALON COMBUSTIBLE (FUEL GALLON VALUE)]])</f>
        <v/>
      </c>
      <c r="J66" s="1" t="str">
        <f>IF(Tabla1[[#This Row],[VALOR UNITARIO HORA (UNIT HOUR VALUE)]]="","",Tabla1[[#This Row],[VALOR UNITARIO HORA (UNIT HOUR VALUE)]]+Tabla1[[#This Row],[VALOR COMBUSTIBLE POR HORA (FUEL GALLON VALUE PER HOUR)]])</f>
        <v/>
      </c>
      <c r="K66" s="246"/>
      <c r="L66" s="248"/>
      <c r="M66" s="248"/>
      <c r="N66" s="248"/>
      <c r="O66" s="267"/>
    </row>
    <row r="67" spans="1:15" x14ac:dyDescent="0.3">
      <c r="A67" t="str">
        <f>IF(Tabla1[[#This Row],[MAQUINARIA O EQUIPO (MACHINERY AND EQUIP)]]="","",CONCATENATE(Tabla1[[#This Row],[MAQUINARIA O EQUIPO (MACHINERY AND EQUIP)]],"-",Tabla1[[#This Row],[MODELO (MODEL)]],"-",Tabla1[[#This Row],[AÑO (YEAR)]],"-", Tabla1[[#This Row],[PROVEEDOR (SUPPLIER)]]))</f>
        <v/>
      </c>
      <c r="B67" s="246"/>
      <c r="C67" s="248"/>
      <c r="D67" s="247"/>
      <c r="E67" s="240"/>
      <c r="F67" s="1" t="str">
        <f>IF(Tabla1[[#This Row],[VALOR ALQUILES MES (MONTHLY RENT)]]="","",IF(Tabla1[[#This Row],[TIEMPO USO AL MES (TIME OF USE MONTH)]]="","",Tabla1[[#This Row],[VALOR ALQUILES MES (MONTHLY RENT)]]/Tabla1[[#This Row],[TIEMPO USO AL MES (TIME OF USE MONTH)]]))</f>
        <v/>
      </c>
      <c r="G67" s="258"/>
      <c r="H67" s="259"/>
      <c r="I67" s="1" t="str">
        <f>IF(Tabla1[[#This Row],[CONSUMO COMBUSTIBLE HORA  (UNIT HOUR VALUE)]]="","",Tabla1[[#This Row],[CONSUMO COMBUSTIBLE HORA  (UNIT HOUR VALUE)]]*Tabla1[[#This Row],[VALOR GALON COMBUSTIBLE (FUEL GALLON VALUE)]])</f>
        <v/>
      </c>
      <c r="J67" s="1" t="str">
        <f>IF(Tabla1[[#This Row],[VALOR UNITARIO HORA (UNIT HOUR VALUE)]]="","",Tabla1[[#This Row],[VALOR UNITARIO HORA (UNIT HOUR VALUE)]]+Tabla1[[#This Row],[VALOR COMBUSTIBLE POR HORA (FUEL GALLON VALUE PER HOUR)]])</f>
        <v/>
      </c>
      <c r="K67" s="246"/>
      <c r="L67" s="248"/>
      <c r="M67" s="248"/>
      <c r="N67" s="248"/>
      <c r="O67" s="267"/>
    </row>
    <row r="68" spans="1:15" x14ac:dyDescent="0.3">
      <c r="A68" t="str">
        <f>IF(Tabla1[[#This Row],[MAQUINARIA O EQUIPO (MACHINERY AND EQUIP)]]="","",CONCATENATE(Tabla1[[#This Row],[MAQUINARIA O EQUIPO (MACHINERY AND EQUIP)]],"-",Tabla1[[#This Row],[MODELO (MODEL)]],"-",Tabla1[[#This Row],[AÑO (YEAR)]],"-", Tabla1[[#This Row],[PROVEEDOR (SUPPLIER)]]))</f>
        <v/>
      </c>
      <c r="B68" s="246"/>
      <c r="C68" s="248"/>
      <c r="D68" s="247"/>
      <c r="E68" s="240"/>
      <c r="F68" s="1" t="str">
        <f>IF(Tabla1[[#This Row],[VALOR ALQUILES MES (MONTHLY RENT)]]="","",IF(Tabla1[[#This Row],[TIEMPO USO AL MES (TIME OF USE MONTH)]]="","",Tabla1[[#This Row],[VALOR ALQUILES MES (MONTHLY RENT)]]/Tabla1[[#This Row],[TIEMPO USO AL MES (TIME OF USE MONTH)]]))</f>
        <v/>
      </c>
      <c r="G68" s="258"/>
      <c r="H68" s="259"/>
      <c r="I68" s="1" t="str">
        <f>IF(Tabla1[[#This Row],[CONSUMO COMBUSTIBLE HORA  (UNIT HOUR VALUE)]]="","",Tabla1[[#This Row],[CONSUMO COMBUSTIBLE HORA  (UNIT HOUR VALUE)]]*Tabla1[[#This Row],[VALOR GALON COMBUSTIBLE (FUEL GALLON VALUE)]])</f>
        <v/>
      </c>
      <c r="J68" s="1" t="str">
        <f>IF(Tabla1[[#This Row],[VALOR UNITARIO HORA (UNIT HOUR VALUE)]]="","",Tabla1[[#This Row],[VALOR UNITARIO HORA (UNIT HOUR VALUE)]]+Tabla1[[#This Row],[VALOR COMBUSTIBLE POR HORA (FUEL GALLON VALUE PER HOUR)]])</f>
        <v/>
      </c>
      <c r="K68" s="246"/>
      <c r="L68" s="248"/>
      <c r="M68" s="248"/>
      <c r="N68" s="248"/>
      <c r="O68" s="267"/>
    </row>
    <row r="69" spans="1:15" x14ac:dyDescent="0.3">
      <c r="A69" t="str">
        <f>IF(Tabla1[[#This Row],[MAQUINARIA O EQUIPO (MACHINERY AND EQUIP)]]="","",CONCATENATE(Tabla1[[#This Row],[MAQUINARIA O EQUIPO (MACHINERY AND EQUIP)]],"-",Tabla1[[#This Row],[MODELO (MODEL)]],"-",Tabla1[[#This Row],[AÑO (YEAR)]],"-", Tabla1[[#This Row],[PROVEEDOR (SUPPLIER)]]))</f>
        <v/>
      </c>
      <c r="B69" s="246"/>
      <c r="C69" s="248"/>
      <c r="D69" s="247"/>
      <c r="E69" s="240"/>
      <c r="F69" s="1" t="str">
        <f>IF(Tabla1[[#This Row],[VALOR ALQUILES MES (MONTHLY RENT)]]="","",IF(Tabla1[[#This Row],[TIEMPO USO AL MES (TIME OF USE MONTH)]]="","",Tabla1[[#This Row],[VALOR ALQUILES MES (MONTHLY RENT)]]/Tabla1[[#This Row],[TIEMPO USO AL MES (TIME OF USE MONTH)]]))</f>
        <v/>
      </c>
      <c r="G69" s="258"/>
      <c r="H69" s="259"/>
      <c r="I69" s="1" t="str">
        <f>IF(Tabla1[[#This Row],[CONSUMO COMBUSTIBLE HORA  (UNIT HOUR VALUE)]]="","",Tabla1[[#This Row],[CONSUMO COMBUSTIBLE HORA  (UNIT HOUR VALUE)]]*Tabla1[[#This Row],[VALOR GALON COMBUSTIBLE (FUEL GALLON VALUE)]])</f>
        <v/>
      </c>
      <c r="J69" s="1" t="str">
        <f>IF(Tabla1[[#This Row],[VALOR UNITARIO HORA (UNIT HOUR VALUE)]]="","",Tabla1[[#This Row],[VALOR UNITARIO HORA (UNIT HOUR VALUE)]]+Tabla1[[#This Row],[VALOR COMBUSTIBLE POR HORA (FUEL GALLON VALUE PER HOUR)]])</f>
        <v/>
      </c>
      <c r="K69" s="246"/>
      <c r="L69" s="248"/>
      <c r="M69" s="248"/>
      <c r="N69" s="248"/>
      <c r="O69" s="267"/>
    </row>
    <row r="70" spans="1:15" x14ac:dyDescent="0.3">
      <c r="A70" t="str">
        <f>IF(Tabla1[[#This Row],[MAQUINARIA O EQUIPO (MACHINERY AND EQUIP)]]="","",CONCATENATE(Tabla1[[#This Row],[MAQUINARIA O EQUIPO (MACHINERY AND EQUIP)]],"-",Tabla1[[#This Row],[MODELO (MODEL)]],"-",Tabla1[[#This Row],[AÑO (YEAR)]],"-", Tabla1[[#This Row],[PROVEEDOR (SUPPLIER)]]))</f>
        <v/>
      </c>
      <c r="B70" s="246"/>
      <c r="C70" s="248"/>
      <c r="D70" s="247"/>
      <c r="E70" s="240"/>
      <c r="F70" s="1" t="str">
        <f>IF(Tabla1[[#This Row],[VALOR ALQUILES MES (MONTHLY RENT)]]="","",IF(Tabla1[[#This Row],[TIEMPO USO AL MES (TIME OF USE MONTH)]]="","",Tabla1[[#This Row],[VALOR ALQUILES MES (MONTHLY RENT)]]/Tabla1[[#This Row],[TIEMPO USO AL MES (TIME OF USE MONTH)]]))</f>
        <v/>
      </c>
      <c r="G70" s="258"/>
      <c r="H70" s="259"/>
      <c r="I70" s="1" t="str">
        <f>IF(Tabla1[[#This Row],[CONSUMO COMBUSTIBLE HORA  (UNIT HOUR VALUE)]]="","",Tabla1[[#This Row],[CONSUMO COMBUSTIBLE HORA  (UNIT HOUR VALUE)]]*Tabla1[[#This Row],[VALOR GALON COMBUSTIBLE (FUEL GALLON VALUE)]])</f>
        <v/>
      </c>
      <c r="J70" s="1" t="str">
        <f>IF(Tabla1[[#This Row],[VALOR UNITARIO HORA (UNIT HOUR VALUE)]]="","",Tabla1[[#This Row],[VALOR UNITARIO HORA (UNIT HOUR VALUE)]]+Tabla1[[#This Row],[VALOR COMBUSTIBLE POR HORA (FUEL GALLON VALUE PER HOUR)]])</f>
        <v/>
      </c>
      <c r="K70" s="246"/>
      <c r="L70" s="248"/>
      <c r="M70" s="248"/>
      <c r="N70" s="248"/>
      <c r="O70" s="267"/>
    </row>
    <row r="71" spans="1:15" x14ac:dyDescent="0.3">
      <c r="A71" t="str">
        <f>IF(Tabla1[[#This Row],[MAQUINARIA O EQUIPO (MACHINERY AND EQUIP)]]="","",CONCATENATE(Tabla1[[#This Row],[MAQUINARIA O EQUIPO (MACHINERY AND EQUIP)]],"-",Tabla1[[#This Row],[MODELO (MODEL)]],"-",Tabla1[[#This Row],[AÑO (YEAR)]],"-", Tabla1[[#This Row],[PROVEEDOR (SUPPLIER)]]))</f>
        <v/>
      </c>
      <c r="B71" s="246"/>
      <c r="C71" s="248"/>
      <c r="D71" s="247"/>
      <c r="E71" s="240"/>
      <c r="F71" s="1" t="str">
        <f>IF(Tabla1[[#This Row],[VALOR ALQUILES MES (MONTHLY RENT)]]="","",IF(Tabla1[[#This Row],[TIEMPO USO AL MES (TIME OF USE MONTH)]]="","",Tabla1[[#This Row],[VALOR ALQUILES MES (MONTHLY RENT)]]/Tabla1[[#This Row],[TIEMPO USO AL MES (TIME OF USE MONTH)]]))</f>
        <v/>
      </c>
      <c r="G71" s="258"/>
      <c r="H71" s="259"/>
      <c r="I71" s="1" t="str">
        <f>IF(Tabla1[[#This Row],[CONSUMO COMBUSTIBLE HORA  (UNIT HOUR VALUE)]]="","",Tabla1[[#This Row],[CONSUMO COMBUSTIBLE HORA  (UNIT HOUR VALUE)]]*Tabla1[[#This Row],[VALOR GALON COMBUSTIBLE (FUEL GALLON VALUE)]])</f>
        <v/>
      </c>
      <c r="J71" s="1" t="str">
        <f>IF(Tabla1[[#This Row],[VALOR UNITARIO HORA (UNIT HOUR VALUE)]]="","",Tabla1[[#This Row],[VALOR UNITARIO HORA (UNIT HOUR VALUE)]]+Tabla1[[#This Row],[VALOR COMBUSTIBLE POR HORA (FUEL GALLON VALUE PER HOUR)]])</f>
        <v/>
      </c>
      <c r="K71" s="246"/>
      <c r="L71" s="248"/>
      <c r="M71" s="248"/>
      <c r="N71" s="248"/>
      <c r="O71" s="267"/>
    </row>
    <row r="72" spans="1:15" x14ac:dyDescent="0.3">
      <c r="A72" t="str">
        <f>IF(Tabla1[[#This Row],[MAQUINARIA O EQUIPO (MACHINERY AND EQUIP)]]="","",CONCATENATE(Tabla1[[#This Row],[MAQUINARIA O EQUIPO (MACHINERY AND EQUIP)]],"-",Tabla1[[#This Row],[MODELO (MODEL)]],"-",Tabla1[[#This Row],[AÑO (YEAR)]],"-", Tabla1[[#This Row],[PROVEEDOR (SUPPLIER)]]))</f>
        <v/>
      </c>
      <c r="B72" s="246"/>
      <c r="C72" s="248"/>
      <c r="D72" s="247"/>
      <c r="E72" s="240"/>
      <c r="F72" s="1" t="str">
        <f>IF(Tabla1[[#This Row],[VALOR ALQUILES MES (MONTHLY RENT)]]="","",IF(Tabla1[[#This Row],[TIEMPO USO AL MES (TIME OF USE MONTH)]]="","",Tabla1[[#This Row],[VALOR ALQUILES MES (MONTHLY RENT)]]/Tabla1[[#This Row],[TIEMPO USO AL MES (TIME OF USE MONTH)]]))</f>
        <v/>
      </c>
      <c r="G72" s="258"/>
      <c r="H72" s="259"/>
      <c r="I72" s="1" t="str">
        <f>IF(Tabla1[[#This Row],[CONSUMO COMBUSTIBLE HORA  (UNIT HOUR VALUE)]]="","",Tabla1[[#This Row],[CONSUMO COMBUSTIBLE HORA  (UNIT HOUR VALUE)]]*Tabla1[[#This Row],[VALOR GALON COMBUSTIBLE (FUEL GALLON VALUE)]])</f>
        <v/>
      </c>
      <c r="J72" s="1" t="str">
        <f>IF(Tabla1[[#This Row],[VALOR UNITARIO HORA (UNIT HOUR VALUE)]]="","",Tabla1[[#This Row],[VALOR UNITARIO HORA (UNIT HOUR VALUE)]]+Tabla1[[#This Row],[VALOR COMBUSTIBLE POR HORA (FUEL GALLON VALUE PER HOUR)]])</f>
        <v/>
      </c>
      <c r="K72" s="246"/>
      <c r="L72" s="248"/>
      <c r="M72" s="248"/>
      <c r="N72" s="248"/>
      <c r="O72" s="267"/>
    </row>
    <row r="73" spans="1:15" x14ac:dyDescent="0.3">
      <c r="A73" t="str">
        <f>IF(Tabla1[[#This Row],[MAQUINARIA O EQUIPO (MACHINERY AND EQUIP)]]="","",CONCATENATE(Tabla1[[#This Row],[MAQUINARIA O EQUIPO (MACHINERY AND EQUIP)]],"-",Tabla1[[#This Row],[MODELO (MODEL)]],"-",Tabla1[[#This Row],[AÑO (YEAR)]],"-", Tabla1[[#This Row],[PROVEEDOR (SUPPLIER)]]))</f>
        <v/>
      </c>
      <c r="B73" s="246"/>
      <c r="C73" s="248"/>
      <c r="D73" s="247"/>
      <c r="E73" s="240"/>
      <c r="F73" s="1" t="str">
        <f>IF(Tabla1[[#This Row],[VALOR ALQUILES MES (MONTHLY RENT)]]="","",IF(Tabla1[[#This Row],[TIEMPO USO AL MES (TIME OF USE MONTH)]]="","",Tabla1[[#This Row],[VALOR ALQUILES MES (MONTHLY RENT)]]/Tabla1[[#This Row],[TIEMPO USO AL MES (TIME OF USE MONTH)]]))</f>
        <v/>
      </c>
      <c r="G73" s="258"/>
      <c r="H73" s="259"/>
      <c r="I73" s="1" t="str">
        <f>IF(Tabla1[[#This Row],[CONSUMO COMBUSTIBLE HORA  (UNIT HOUR VALUE)]]="","",Tabla1[[#This Row],[CONSUMO COMBUSTIBLE HORA  (UNIT HOUR VALUE)]]*Tabla1[[#This Row],[VALOR GALON COMBUSTIBLE (FUEL GALLON VALUE)]])</f>
        <v/>
      </c>
      <c r="J73" s="1" t="str">
        <f>IF(Tabla1[[#This Row],[VALOR UNITARIO HORA (UNIT HOUR VALUE)]]="","",Tabla1[[#This Row],[VALOR UNITARIO HORA (UNIT HOUR VALUE)]]+Tabla1[[#This Row],[VALOR COMBUSTIBLE POR HORA (FUEL GALLON VALUE PER HOUR)]])</f>
        <v/>
      </c>
      <c r="K73" s="246"/>
      <c r="L73" s="248"/>
      <c r="M73" s="248"/>
      <c r="N73" s="248"/>
      <c r="O73" s="267"/>
    </row>
    <row r="74" spans="1:15" x14ac:dyDescent="0.3">
      <c r="A74" t="str">
        <f>IF(Tabla1[[#This Row],[MAQUINARIA O EQUIPO (MACHINERY AND EQUIP)]]="","",CONCATENATE(Tabla1[[#This Row],[MAQUINARIA O EQUIPO (MACHINERY AND EQUIP)]],"-",Tabla1[[#This Row],[MODELO (MODEL)]],"-",Tabla1[[#This Row],[AÑO (YEAR)]],"-", Tabla1[[#This Row],[PROVEEDOR (SUPPLIER)]]))</f>
        <v/>
      </c>
      <c r="B74" s="246"/>
      <c r="C74" s="248"/>
      <c r="D74" s="247"/>
      <c r="E74" s="240"/>
      <c r="F74" s="1" t="str">
        <f>IF(Tabla1[[#This Row],[VALOR ALQUILES MES (MONTHLY RENT)]]="","",IF(Tabla1[[#This Row],[TIEMPO USO AL MES (TIME OF USE MONTH)]]="","",Tabla1[[#This Row],[VALOR ALQUILES MES (MONTHLY RENT)]]/Tabla1[[#This Row],[TIEMPO USO AL MES (TIME OF USE MONTH)]]))</f>
        <v/>
      </c>
      <c r="G74" s="258"/>
      <c r="H74" s="259"/>
      <c r="I74" s="1" t="str">
        <f>IF(Tabla1[[#This Row],[CONSUMO COMBUSTIBLE HORA  (UNIT HOUR VALUE)]]="","",Tabla1[[#This Row],[CONSUMO COMBUSTIBLE HORA  (UNIT HOUR VALUE)]]*Tabla1[[#This Row],[VALOR GALON COMBUSTIBLE (FUEL GALLON VALUE)]])</f>
        <v/>
      </c>
      <c r="J74" s="1" t="str">
        <f>IF(Tabla1[[#This Row],[VALOR UNITARIO HORA (UNIT HOUR VALUE)]]="","",Tabla1[[#This Row],[VALOR UNITARIO HORA (UNIT HOUR VALUE)]]+Tabla1[[#This Row],[VALOR COMBUSTIBLE POR HORA (FUEL GALLON VALUE PER HOUR)]])</f>
        <v/>
      </c>
      <c r="K74" s="246"/>
      <c r="L74" s="248"/>
      <c r="M74" s="248"/>
      <c r="N74" s="248"/>
      <c r="O74" s="267"/>
    </row>
    <row r="75" spans="1:15" x14ac:dyDescent="0.3">
      <c r="A75" t="str">
        <f>IF(Tabla1[[#This Row],[MAQUINARIA O EQUIPO (MACHINERY AND EQUIP)]]="","",CONCATENATE(Tabla1[[#This Row],[MAQUINARIA O EQUIPO (MACHINERY AND EQUIP)]],"-",Tabla1[[#This Row],[MODELO (MODEL)]],"-",Tabla1[[#This Row],[AÑO (YEAR)]],"-", Tabla1[[#This Row],[PROVEEDOR (SUPPLIER)]]))</f>
        <v/>
      </c>
      <c r="B75" s="246"/>
      <c r="C75" s="248"/>
      <c r="D75" s="247"/>
      <c r="E75" s="240"/>
      <c r="F75" s="1" t="str">
        <f>IF(Tabla1[[#This Row],[VALOR ALQUILES MES (MONTHLY RENT)]]="","",IF(Tabla1[[#This Row],[TIEMPO USO AL MES (TIME OF USE MONTH)]]="","",Tabla1[[#This Row],[VALOR ALQUILES MES (MONTHLY RENT)]]/Tabla1[[#This Row],[TIEMPO USO AL MES (TIME OF USE MONTH)]]))</f>
        <v/>
      </c>
      <c r="G75" s="258"/>
      <c r="H75" s="259"/>
      <c r="I75" s="1" t="str">
        <f>IF(Tabla1[[#This Row],[CONSUMO COMBUSTIBLE HORA  (UNIT HOUR VALUE)]]="","",Tabla1[[#This Row],[CONSUMO COMBUSTIBLE HORA  (UNIT HOUR VALUE)]]*Tabla1[[#This Row],[VALOR GALON COMBUSTIBLE (FUEL GALLON VALUE)]])</f>
        <v/>
      </c>
      <c r="J75" s="1" t="str">
        <f>IF(Tabla1[[#This Row],[VALOR UNITARIO HORA (UNIT HOUR VALUE)]]="","",Tabla1[[#This Row],[VALOR UNITARIO HORA (UNIT HOUR VALUE)]]+Tabla1[[#This Row],[VALOR COMBUSTIBLE POR HORA (FUEL GALLON VALUE PER HOUR)]])</f>
        <v/>
      </c>
      <c r="K75" s="246"/>
      <c r="L75" s="248"/>
      <c r="M75" s="248"/>
      <c r="N75" s="248"/>
      <c r="O75" s="267"/>
    </row>
    <row r="76" spans="1:15" x14ac:dyDescent="0.3">
      <c r="A76" t="str">
        <f>IF(Tabla1[[#This Row],[MAQUINARIA O EQUIPO (MACHINERY AND EQUIP)]]="","",CONCATENATE(Tabla1[[#This Row],[MAQUINARIA O EQUIPO (MACHINERY AND EQUIP)]],"-",Tabla1[[#This Row],[MODELO (MODEL)]],"-",Tabla1[[#This Row],[AÑO (YEAR)]],"-", Tabla1[[#This Row],[PROVEEDOR (SUPPLIER)]]))</f>
        <v/>
      </c>
      <c r="B76" s="246"/>
      <c r="C76" s="248"/>
      <c r="D76" s="247"/>
      <c r="E76" s="240"/>
      <c r="F76" s="1" t="str">
        <f>IF(Tabla1[[#This Row],[VALOR ALQUILES MES (MONTHLY RENT)]]="","",IF(Tabla1[[#This Row],[TIEMPO USO AL MES (TIME OF USE MONTH)]]="","",Tabla1[[#This Row],[VALOR ALQUILES MES (MONTHLY RENT)]]/Tabla1[[#This Row],[TIEMPO USO AL MES (TIME OF USE MONTH)]]))</f>
        <v/>
      </c>
      <c r="G76" s="258"/>
      <c r="H76" s="259"/>
      <c r="I76" s="1" t="str">
        <f>IF(Tabla1[[#This Row],[CONSUMO COMBUSTIBLE HORA  (UNIT HOUR VALUE)]]="","",Tabla1[[#This Row],[CONSUMO COMBUSTIBLE HORA  (UNIT HOUR VALUE)]]*Tabla1[[#This Row],[VALOR GALON COMBUSTIBLE (FUEL GALLON VALUE)]])</f>
        <v/>
      </c>
      <c r="J76" s="1" t="str">
        <f>IF(Tabla1[[#This Row],[VALOR UNITARIO HORA (UNIT HOUR VALUE)]]="","",Tabla1[[#This Row],[VALOR UNITARIO HORA (UNIT HOUR VALUE)]]+Tabla1[[#This Row],[VALOR COMBUSTIBLE POR HORA (FUEL GALLON VALUE PER HOUR)]])</f>
        <v/>
      </c>
      <c r="K76" s="246"/>
      <c r="L76" s="248"/>
      <c r="M76" s="248"/>
      <c r="N76" s="248"/>
      <c r="O76" s="267"/>
    </row>
    <row r="77" spans="1:15" x14ac:dyDescent="0.3">
      <c r="A77" t="str">
        <f>IF(Tabla1[[#This Row],[MAQUINARIA O EQUIPO (MACHINERY AND EQUIP)]]="","",CONCATENATE(Tabla1[[#This Row],[MAQUINARIA O EQUIPO (MACHINERY AND EQUIP)]],"-",Tabla1[[#This Row],[MODELO (MODEL)]],"-",Tabla1[[#This Row],[AÑO (YEAR)]],"-", Tabla1[[#This Row],[PROVEEDOR (SUPPLIER)]]))</f>
        <v/>
      </c>
      <c r="B77" s="246"/>
      <c r="C77" s="248"/>
      <c r="D77" s="247"/>
      <c r="E77" s="240"/>
      <c r="F77" s="1" t="str">
        <f>IF(Tabla1[[#This Row],[VALOR ALQUILES MES (MONTHLY RENT)]]="","",IF(Tabla1[[#This Row],[TIEMPO USO AL MES (TIME OF USE MONTH)]]="","",Tabla1[[#This Row],[VALOR ALQUILES MES (MONTHLY RENT)]]/Tabla1[[#This Row],[TIEMPO USO AL MES (TIME OF USE MONTH)]]))</f>
        <v/>
      </c>
      <c r="G77" s="258"/>
      <c r="H77" s="259"/>
      <c r="I77" s="1" t="str">
        <f>IF(Tabla1[[#This Row],[CONSUMO COMBUSTIBLE HORA  (UNIT HOUR VALUE)]]="","",Tabla1[[#This Row],[CONSUMO COMBUSTIBLE HORA  (UNIT HOUR VALUE)]]*Tabla1[[#This Row],[VALOR GALON COMBUSTIBLE (FUEL GALLON VALUE)]])</f>
        <v/>
      </c>
      <c r="J77" s="1" t="str">
        <f>IF(Tabla1[[#This Row],[VALOR UNITARIO HORA (UNIT HOUR VALUE)]]="","",Tabla1[[#This Row],[VALOR UNITARIO HORA (UNIT HOUR VALUE)]]+Tabla1[[#This Row],[VALOR COMBUSTIBLE POR HORA (FUEL GALLON VALUE PER HOUR)]])</f>
        <v/>
      </c>
      <c r="K77" s="246"/>
      <c r="L77" s="248"/>
      <c r="M77" s="248"/>
      <c r="N77" s="248"/>
      <c r="O77" s="267"/>
    </row>
    <row r="78" spans="1:15" x14ac:dyDescent="0.3">
      <c r="A78" t="str">
        <f>IF(Tabla1[[#This Row],[MAQUINARIA O EQUIPO (MACHINERY AND EQUIP)]]="","",CONCATENATE(Tabla1[[#This Row],[MAQUINARIA O EQUIPO (MACHINERY AND EQUIP)]],"-",Tabla1[[#This Row],[MODELO (MODEL)]],"-",Tabla1[[#This Row],[AÑO (YEAR)]],"-", Tabla1[[#This Row],[PROVEEDOR (SUPPLIER)]]))</f>
        <v/>
      </c>
      <c r="B78" s="246"/>
      <c r="C78" s="248"/>
      <c r="D78" s="247"/>
      <c r="E78" s="240"/>
      <c r="F78" s="1" t="str">
        <f>IF(Tabla1[[#This Row],[VALOR ALQUILES MES (MONTHLY RENT)]]="","",IF(Tabla1[[#This Row],[TIEMPO USO AL MES (TIME OF USE MONTH)]]="","",Tabla1[[#This Row],[VALOR ALQUILES MES (MONTHLY RENT)]]/Tabla1[[#This Row],[TIEMPO USO AL MES (TIME OF USE MONTH)]]))</f>
        <v/>
      </c>
      <c r="G78" s="258"/>
      <c r="H78" s="259"/>
      <c r="I78" s="1" t="str">
        <f>IF(Tabla1[[#This Row],[CONSUMO COMBUSTIBLE HORA  (UNIT HOUR VALUE)]]="","",Tabla1[[#This Row],[CONSUMO COMBUSTIBLE HORA  (UNIT HOUR VALUE)]]*Tabla1[[#This Row],[VALOR GALON COMBUSTIBLE (FUEL GALLON VALUE)]])</f>
        <v/>
      </c>
      <c r="J78" s="1" t="str">
        <f>IF(Tabla1[[#This Row],[VALOR UNITARIO HORA (UNIT HOUR VALUE)]]="","",Tabla1[[#This Row],[VALOR UNITARIO HORA (UNIT HOUR VALUE)]]+Tabla1[[#This Row],[VALOR COMBUSTIBLE POR HORA (FUEL GALLON VALUE PER HOUR)]])</f>
        <v/>
      </c>
      <c r="K78" s="246"/>
      <c r="L78" s="248"/>
      <c r="M78" s="248"/>
      <c r="N78" s="248"/>
      <c r="O78" s="267"/>
    </row>
    <row r="79" spans="1:15" x14ac:dyDescent="0.3">
      <c r="A79" t="str">
        <f>IF(Tabla1[[#This Row],[MAQUINARIA O EQUIPO (MACHINERY AND EQUIP)]]="","",CONCATENATE(Tabla1[[#This Row],[MAQUINARIA O EQUIPO (MACHINERY AND EQUIP)]],"-",Tabla1[[#This Row],[MODELO (MODEL)]],"-",Tabla1[[#This Row],[AÑO (YEAR)]],"-", Tabla1[[#This Row],[PROVEEDOR (SUPPLIER)]]))</f>
        <v/>
      </c>
      <c r="B79" s="246"/>
      <c r="C79" s="248"/>
      <c r="D79" s="247"/>
      <c r="E79" s="240"/>
      <c r="F79" s="1" t="str">
        <f>IF(Tabla1[[#This Row],[VALOR ALQUILES MES (MONTHLY RENT)]]="","",IF(Tabla1[[#This Row],[TIEMPO USO AL MES (TIME OF USE MONTH)]]="","",Tabla1[[#This Row],[VALOR ALQUILES MES (MONTHLY RENT)]]/Tabla1[[#This Row],[TIEMPO USO AL MES (TIME OF USE MONTH)]]))</f>
        <v/>
      </c>
      <c r="G79" s="258"/>
      <c r="H79" s="259"/>
      <c r="I79" s="1" t="str">
        <f>IF(Tabla1[[#This Row],[CONSUMO COMBUSTIBLE HORA  (UNIT HOUR VALUE)]]="","",Tabla1[[#This Row],[CONSUMO COMBUSTIBLE HORA  (UNIT HOUR VALUE)]]*Tabla1[[#This Row],[VALOR GALON COMBUSTIBLE (FUEL GALLON VALUE)]])</f>
        <v/>
      </c>
      <c r="J79" s="1" t="str">
        <f>IF(Tabla1[[#This Row],[VALOR UNITARIO HORA (UNIT HOUR VALUE)]]="","",Tabla1[[#This Row],[VALOR UNITARIO HORA (UNIT HOUR VALUE)]]+Tabla1[[#This Row],[VALOR COMBUSTIBLE POR HORA (FUEL GALLON VALUE PER HOUR)]])</f>
        <v/>
      </c>
      <c r="K79" s="246"/>
      <c r="L79" s="248"/>
      <c r="M79" s="248"/>
      <c r="N79" s="248"/>
      <c r="O79" s="267"/>
    </row>
    <row r="80" spans="1:15" x14ac:dyDescent="0.3">
      <c r="A80" t="str">
        <f>IF(Tabla1[[#This Row],[MAQUINARIA O EQUIPO (MACHINERY AND EQUIP)]]="","",CONCATENATE(Tabla1[[#This Row],[MAQUINARIA O EQUIPO (MACHINERY AND EQUIP)]],"-",Tabla1[[#This Row],[MODELO (MODEL)]],"-",Tabla1[[#This Row],[AÑO (YEAR)]],"-", Tabla1[[#This Row],[PROVEEDOR (SUPPLIER)]]))</f>
        <v/>
      </c>
      <c r="B80" s="246"/>
      <c r="C80" s="248"/>
      <c r="D80" s="247"/>
      <c r="E80" s="240"/>
      <c r="F80" s="1" t="str">
        <f>IF(Tabla1[[#This Row],[VALOR ALQUILES MES (MONTHLY RENT)]]="","",IF(Tabla1[[#This Row],[TIEMPO USO AL MES (TIME OF USE MONTH)]]="","",Tabla1[[#This Row],[VALOR ALQUILES MES (MONTHLY RENT)]]/Tabla1[[#This Row],[TIEMPO USO AL MES (TIME OF USE MONTH)]]))</f>
        <v/>
      </c>
      <c r="G80" s="258"/>
      <c r="H80" s="259"/>
      <c r="I80" s="1" t="str">
        <f>IF(Tabla1[[#This Row],[CONSUMO COMBUSTIBLE HORA  (UNIT HOUR VALUE)]]="","",Tabla1[[#This Row],[CONSUMO COMBUSTIBLE HORA  (UNIT HOUR VALUE)]]*Tabla1[[#This Row],[VALOR GALON COMBUSTIBLE (FUEL GALLON VALUE)]])</f>
        <v/>
      </c>
      <c r="J80" s="1" t="str">
        <f>IF(Tabla1[[#This Row],[VALOR UNITARIO HORA (UNIT HOUR VALUE)]]="","",Tabla1[[#This Row],[VALOR UNITARIO HORA (UNIT HOUR VALUE)]]+Tabla1[[#This Row],[VALOR COMBUSTIBLE POR HORA (FUEL GALLON VALUE PER HOUR)]])</f>
        <v/>
      </c>
      <c r="K80" s="246"/>
      <c r="L80" s="248"/>
      <c r="M80" s="248"/>
      <c r="N80" s="248"/>
      <c r="O80" s="267"/>
    </row>
    <row r="81" spans="1:15" x14ac:dyDescent="0.3">
      <c r="A81" t="str">
        <f>IF(Tabla1[[#This Row],[MAQUINARIA O EQUIPO (MACHINERY AND EQUIP)]]="","",CONCATENATE(Tabla1[[#This Row],[MAQUINARIA O EQUIPO (MACHINERY AND EQUIP)]],"-",Tabla1[[#This Row],[MODELO (MODEL)]],"-",Tabla1[[#This Row],[AÑO (YEAR)]],"-", Tabla1[[#This Row],[PROVEEDOR (SUPPLIER)]]))</f>
        <v/>
      </c>
      <c r="B81" s="246"/>
      <c r="C81" s="248"/>
      <c r="D81" s="247"/>
      <c r="E81" s="240"/>
      <c r="F81" s="1" t="str">
        <f>IF(Tabla1[[#This Row],[VALOR ALQUILES MES (MONTHLY RENT)]]="","",IF(Tabla1[[#This Row],[TIEMPO USO AL MES (TIME OF USE MONTH)]]="","",Tabla1[[#This Row],[VALOR ALQUILES MES (MONTHLY RENT)]]/Tabla1[[#This Row],[TIEMPO USO AL MES (TIME OF USE MONTH)]]))</f>
        <v/>
      </c>
      <c r="G81" s="258"/>
      <c r="H81" s="259"/>
      <c r="I81" s="1" t="str">
        <f>IF(Tabla1[[#This Row],[CONSUMO COMBUSTIBLE HORA  (UNIT HOUR VALUE)]]="","",Tabla1[[#This Row],[CONSUMO COMBUSTIBLE HORA  (UNIT HOUR VALUE)]]*Tabla1[[#This Row],[VALOR GALON COMBUSTIBLE (FUEL GALLON VALUE)]])</f>
        <v/>
      </c>
      <c r="J81" s="1" t="str">
        <f>IF(Tabla1[[#This Row],[VALOR UNITARIO HORA (UNIT HOUR VALUE)]]="","",Tabla1[[#This Row],[VALOR UNITARIO HORA (UNIT HOUR VALUE)]]+Tabla1[[#This Row],[VALOR COMBUSTIBLE POR HORA (FUEL GALLON VALUE PER HOUR)]])</f>
        <v/>
      </c>
      <c r="K81" s="246"/>
      <c r="L81" s="248"/>
      <c r="M81" s="248"/>
      <c r="N81" s="248"/>
      <c r="O81" s="267"/>
    </row>
    <row r="82" spans="1:15" x14ac:dyDescent="0.3">
      <c r="A82" t="str">
        <f>IF(Tabla1[[#This Row],[MAQUINARIA O EQUIPO (MACHINERY AND EQUIP)]]="","",CONCATENATE(Tabla1[[#This Row],[MAQUINARIA O EQUIPO (MACHINERY AND EQUIP)]],"-",Tabla1[[#This Row],[MODELO (MODEL)]],"-",Tabla1[[#This Row],[AÑO (YEAR)]],"-", Tabla1[[#This Row],[PROVEEDOR (SUPPLIER)]]))</f>
        <v/>
      </c>
      <c r="B82" s="246"/>
      <c r="C82" s="248"/>
      <c r="D82" s="247"/>
      <c r="E82" s="249"/>
      <c r="F82" s="1" t="str">
        <f>IF(Tabla1[[#This Row],[VALOR ALQUILES MES (MONTHLY RENT)]]="","",IF(Tabla1[[#This Row],[TIEMPO USO AL MES (TIME OF USE MONTH)]]="","",Tabla1[[#This Row],[VALOR ALQUILES MES (MONTHLY RENT)]]/Tabla1[[#This Row],[TIEMPO USO AL MES (TIME OF USE MONTH)]]))</f>
        <v/>
      </c>
      <c r="G82" s="258"/>
      <c r="H82" s="259"/>
      <c r="I82" s="1" t="str">
        <f>IF(Tabla1[[#This Row],[CONSUMO COMBUSTIBLE HORA  (UNIT HOUR VALUE)]]="","",Tabla1[[#This Row],[CONSUMO COMBUSTIBLE HORA  (UNIT HOUR VALUE)]]*Tabla1[[#This Row],[VALOR GALON COMBUSTIBLE (FUEL GALLON VALUE)]])</f>
        <v/>
      </c>
      <c r="J82" s="1" t="str">
        <f>IF(Tabla1[[#This Row],[VALOR UNITARIO HORA (UNIT HOUR VALUE)]]="","",Tabla1[[#This Row],[VALOR UNITARIO HORA (UNIT HOUR VALUE)]]+Tabla1[[#This Row],[VALOR COMBUSTIBLE POR HORA (FUEL GALLON VALUE PER HOUR)]])</f>
        <v/>
      </c>
      <c r="K82" s="246"/>
      <c r="L82" s="248"/>
      <c r="M82" s="248"/>
      <c r="N82" s="248"/>
      <c r="O82" s="267"/>
    </row>
    <row r="83" spans="1:15" x14ac:dyDescent="0.3">
      <c r="A83" t="str">
        <f>IF(Tabla1[[#This Row],[MAQUINARIA O EQUIPO (MACHINERY AND EQUIP)]]="","",CONCATENATE(Tabla1[[#This Row],[MAQUINARIA O EQUIPO (MACHINERY AND EQUIP)]],"-",Tabla1[[#This Row],[MODELO (MODEL)]],"-",Tabla1[[#This Row],[AÑO (YEAR)]],"-", Tabla1[[#This Row],[PROVEEDOR (SUPPLIER)]]))</f>
        <v/>
      </c>
      <c r="B83" s="246"/>
      <c r="C83" s="248"/>
      <c r="D83" s="247"/>
      <c r="E83" s="249"/>
      <c r="F83" s="1" t="str">
        <f>IF(Tabla1[[#This Row],[VALOR ALQUILES MES (MONTHLY RENT)]]="","",IF(Tabla1[[#This Row],[TIEMPO USO AL MES (TIME OF USE MONTH)]]="","",Tabla1[[#This Row],[VALOR ALQUILES MES (MONTHLY RENT)]]/Tabla1[[#This Row],[TIEMPO USO AL MES (TIME OF USE MONTH)]]))</f>
        <v/>
      </c>
      <c r="G83" s="258"/>
      <c r="H83" s="259"/>
      <c r="I83" s="1" t="str">
        <f>IF(Tabla1[[#This Row],[CONSUMO COMBUSTIBLE HORA  (UNIT HOUR VALUE)]]="","",Tabla1[[#This Row],[CONSUMO COMBUSTIBLE HORA  (UNIT HOUR VALUE)]]*Tabla1[[#This Row],[VALOR GALON COMBUSTIBLE (FUEL GALLON VALUE)]])</f>
        <v/>
      </c>
      <c r="J83" s="1" t="str">
        <f>IF(Tabla1[[#This Row],[VALOR UNITARIO HORA (UNIT HOUR VALUE)]]="","",Tabla1[[#This Row],[VALOR UNITARIO HORA (UNIT HOUR VALUE)]]+Tabla1[[#This Row],[VALOR COMBUSTIBLE POR HORA (FUEL GALLON VALUE PER HOUR)]])</f>
        <v/>
      </c>
      <c r="K83" s="246"/>
      <c r="L83" s="248"/>
      <c r="M83" s="248"/>
      <c r="N83" s="248"/>
      <c r="O83" s="267"/>
    </row>
    <row r="84" spans="1:15" x14ac:dyDescent="0.3">
      <c r="A84" t="str">
        <f>IF(Tabla1[[#This Row],[MAQUINARIA O EQUIPO (MACHINERY AND EQUIP)]]="","",CONCATENATE(Tabla1[[#This Row],[MAQUINARIA O EQUIPO (MACHINERY AND EQUIP)]],"-",Tabla1[[#This Row],[MODELO (MODEL)]],"-",Tabla1[[#This Row],[AÑO (YEAR)]],"-", Tabla1[[#This Row],[PROVEEDOR (SUPPLIER)]]))</f>
        <v/>
      </c>
      <c r="B84" s="246"/>
      <c r="C84" s="248"/>
      <c r="D84" s="247"/>
      <c r="E84" s="249"/>
      <c r="F84" s="1" t="str">
        <f>IF(Tabla1[[#This Row],[VALOR ALQUILES MES (MONTHLY RENT)]]="","",IF(Tabla1[[#This Row],[TIEMPO USO AL MES (TIME OF USE MONTH)]]="","",Tabla1[[#This Row],[VALOR ALQUILES MES (MONTHLY RENT)]]/Tabla1[[#This Row],[TIEMPO USO AL MES (TIME OF USE MONTH)]]))</f>
        <v/>
      </c>
      <c r="G84" s="258"/>
      <c r="H84" s="259"/>
      <c r="I84" s="1" t="str">
        <f>IF(Tabla1[[#This Row],[CONSUMO COMBUSTIBLE HORA  (UNIT HOUR VALUE)]]="","",Tabla1[[#This Row],[CONSUMO COMBUSTIBLE HORA  (UNIT HOUR VALUE)]]*Tabla1[[#This Row],[VALOR GALON COMBUSTIBLE (FUEL GALLON VALUE)]])</f>
        <v/>
      </c>
      <c r="J84" s="1" t="str">
        <f>IF(Tabla1[[#This Row],[VALOR UNITARIO HORA (UNIT HOUR VALUE)]]="","",Tabla1[[#This Row],[VALOR UNITARIO HORA (UNIT HOUR VALUE)]]+Tabla1[[#This Row],[VALOR COMBUSTIBLE POR HORA (FUEL GALLON VALUE PER HOUR)]])</f>
        <v/>
      </c>
      <c r="K84" s="246"/>
      <c r="L84" s="248"/>
      <c r="M84" s="248"/>
      <c r="N84" s="248"/>
      <c r="O84" s="267"/>
    </row>
    <row r="85" spans="1:15" x14ac:dyDescent="0.3">
      <c r="A85" t="str">
        <f>IF(Tabla1[[#This Row],[MAQUINARIA O EQUIPO (MACHINERY AND EQUIP)]]="","",CONCATENATE(Tabla1[[#This Row],[MAQUINARIA O EQUIPO (MACHINERY AND EQUIP)]],"-",Tabla1[[#This Row],[MODELO (MODEL)]],"-",Tabla1[[#This Row],[AÑO (YEAR)]],"-", Tabla1[[#This Row],[PROVEEDOR (SUPPLIER)]]))</f>
        <v/>
      </c>
      <c r="B85" s="246"/>
      <c r="C85" s="248"/>
      <c r="D85" s="247"/>
      <c r="E85" s="249"/>
      <c r="F85" s="1" t="str">
        <f>IF(Tabla1[[#This Row],[VALOR ALQUILES MES (MONTHLY RENT)]]="","",IF(Tabla1[[#This Row],[TIEMPO USO AL MES (TIME OF USE MONTH)]]="","",Tabla1[[#This Row],[VALOR ALQUILES MES (MONTHLY RENT)]]/Tabla1[[#This Row],[TIEMPO USO AL MES (TIME OF USE MONTH)]]))</f>
        <v/>
      </c>
      <c r="G85" s="258"/>
      <c r="H85" s="259"/>
      <c r="I85" s="1" t="str">
        <f>IF(Tabla1[[#This Row],[CONSUMO COMBUSTIBLE HORA  (UNIT HOUR VALUE)]]="","",Tabla1[[#This Row],[CONSUMO COMBUSTIBLE HORA  (UNIT HOUR VALUE)]]*Tabla1[[#This Row],[VALOR GALON COMBUSTIBLE (FUEL GALLON VALUE)]])</f>
        <v/>
      </c>
      <c r="J85" s="1" t="str">
        <f>IF(Tabla1[[#This Row],[VALOR UNITARIO HORA (UNIT HOUR VALUE)]]="","",Tabla1[[#This Row],[VALOR UNITARIO HORA (UNIT HOUR VALUE)]]+Tabla1[[#This Row],[VALOR COMBUSTIBLE POR HORA (FUEL GALLON VALUE PER HOUR)]])</f>
        <v/>
      </c>
      <c r="K85" s="246"/>
      <c r="L85" s="248"/>
      <c r="M85" s="248"/>
      <c r="N85" s="248"/>
      <c r="O85" s="267"/>
    </row>
    <row r="86" spans="1:15" x14ac:dyDescent="0.3">
      <c r="A86" t="str">
        <f>IF(Tabla1[[#This Row],[MAQUINARIA O EQUIPO (MACHINERY AND EQUIP)]]="","",CONCATENATE(Tabla1[[#This Row],[MAQUINARIA O EQUIPO (MACHINERY AND EQUIP)]],"-",Tabla1[[#This Row],[MODELO (MODEL)]],"-",Tabla1[[#This Row],[AÑO (YEAR)]],"-", Tabla1[[#This Row],[PROVEEDOR (SUPPLIER)]]))</f>
        <v/>
      </c>
      <c r="B86" s="246"/>
      <c r="C86" s="248"/>
      <c r="D86" s="247"/>
      <c r="E86" s="249"/>
      <c r="F86" s="1" t="str">
        <f>IF(Tabla1[[#This Row],[VALOR ALQUILES MES (MONTHLY RENT)]]="","",IF(Tabla1[[#This Row],[TIEMPO USO AL MES (TIME OF USE MONTH)]]="","",Tabla1[[#This Row],[VALOR ALQUILES MES (MONTHLY RENT)]]/Tabla1[[#This Row],[TIEMPO USO AL MES (TIME OF USE MONTH)]]))</f>
        <v/>
      </c>
      <c r="G86" s="258"/>
      <c r="H86" s="259"/>
      <c r="I86" s="1" t="str">
        <f>IF(Tabla1[[#This Row],[CONSUMO COMBUSTIBLE HORA  (UNIT HOUR VALUE)]]="","",Tabla1[[#This Row],[CONSUMO COMBUSTIBLE HORA  (UNIT HOUR VALUE)]]*Tabla1[[#This Row],[VALOR GALON COMBUSTIBLE (FUEL GALLON VALUE)]])</f>
        <v/>
      </c>
      <c r="J86" s="1" t="str">
        <f>IF(Tabla1[[#This Row],[VALOR UNITARIO HORA (UNIT HOUR VALUE)]]="","",Tabla1[[#This Row],[VALOR UNITARIO HORA (UNIT HOUR VALUE)]]+Tabla1[[#This Row],[VALOR COMBUSTIBLE POR HORA (FUEL GALLON VALUE PER HOUR)]])</f>
        <v/>
      </c>
      <c r="K86" s="246"/>
      <c r="L86" s="248"/>
      <c r="M86" s="248"/>
      <c r="N86" s="248"/>
      <c r="O86" s="267"/>
    </row>
    <row r="87" spans="1:15" ht="17.25" thickBot="1" x14ac:dyDescent="0.35">
      <c r="A87" t="str">
        <f>IF(Tabla1[[#This Row],[MAQUINARIA O EQUIPO (MACHINERY AND EQUIP)]]="","",CONCATENATE(Tabla1[[#This Row],[MAQUINARIA O EQUIPO (MACHINERY AND EQUIP)]],"-",Tabla1[[#This Row],[MODELO (MODEL)]],"-",Tabla1[[#This Row],[AÑO (YEAR)]],"-", Tabla1[[#This Row],[PROVEEDOR (SUPPLIER)]]))</f>
        <v/>
      </c>
      <c r="B87" s="250"/>
      <c r="C87" s="251"/>
      <c r="D87" s="252"/>
      <c r="E87" s="253"/>
      <c r="F87" s="1" t="str">
        <f>IF(Tabla1[[#This Row],[VALOR ALQUILES MES (MONTHLY RENT)]]="","",IF(Tabla1[[#This Row],[TIEMPO USO AL MES (TIME OF USE MONTH)]]="","",Tabla1[[#This Row],[VALOR ALQUILES MES (MONTHLY RENT)]]/Tabla1[[#This Row],[TIEMPO USO AL MES (TIME OF USE MONTH)]]))</f>
        <v/>
      </c>
      <c r="G87" s="260"/>
      <c r="H87" s="261"/>
      <c r="I87" s="1" t="str">
        <f>IF(Tabla1[[#This Row],[CONSUMO COMBUSTIBLE HORA  (UNIT HOUR VALUE)]]="","",Tabla1[[#This Row],[CONSUMO COMBUSTIBLE HORA  (UNIT HOUR VALUE)]]*Tabla1[[#This Row],[VALOR GALON COMBUSTIBLE (FUEL GALLON VALUE)]])</f>
        <v/>
      </c>
      <c r="J87" s="1" t="str">
        <f>IF(Tabla1[[#This Row],[VALOR UNITARIO HORA (UNIT HOUR VALUE)]]="","",Tabla1[[#This Row],[VALOR UNITARIO HORA (UNIT HOUR VALUE)]]+Tabla1[[#This Row],[VALOR COMBUSTIBLE POR HORA (FUEL GALLON VALUE PER HOUR)]])</f>
        <v/>
      </c>
      <c r="K87" s="250"/>
      <c r="L87" s="251"/>
      <c r="M87" s="251"/>
      <c r="N87" s="251"/>
      <c r="O87" s="268"/>
    </row>
  </sheetData>
  <mergeCells count="3">
    <mergeCell ref="C2:O2"/>
    <mergeCell ref="C1:O1"/>
    <mergeCell ref="B3:O3"/>
  </mergeCells>
  <phoneticPr fontId="10" type="noConversion"/>
  <pageMargins left="0.7" right="0.7" top="0.75" bottom="0.75" header="0.3" footer="0.3"/>
  <pageSetup orientation="portrait" r:id="rId1"/>
  <drawing r:id="rId2"/>
  <legacyDrawing r:id="rId3"/>
  <tableParts count="1">
    <tablePart r:id="rId4"/>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D6075A-B1F0-49AA-B8D0-1C9F6991725C}">
  <sheetPr codeName="Hoja4"/>
  <dimension ref="A1:N90"/>
  <sheetViews>
    <sheetView showGridLines="0" topLeftCell="C1" zoomScale="67" zoomScaleNormal="60" zoomScaleSheetLayoutView="70" workbookViewId="0">
      <pane ySplit="5" topLeftCell="A57" activePane="bottomLeft" state="frozen"/>
      <selection pane="bottomLeft" activeCell="E52" sqref="E52"/>
    </sheetView>
  </sheetViews>
  <sheetFormatPr defaultColWidth="11" defaultRowHeight="16.5" x14ac:dyDescent="0.3"/>
  <cols>
    <col min="1" max="1" width="33.375" bestFit="1" customWidth="1"/>
    <col min="2" max="2" width="15.125" bestFit="1" customWidth="1"/>
    <col min="3" max="3" width="47.75" bestFit="1" customWidth="1"/>
    <col min="4" max="4" width="34.75" bestFit="1" customWidth="1"/>
    <col min="5" max="5" width="43.125" bestFit="1" customWidth="1"/>
    <col min="6" max="6" width="38.375" bestFit="1" customWidth="1"/>
    <col min="7" max="7" width="22.375" bestFit="1" customWidth="1"/>
    <col min="9" max="9" width="31" bestFit="1" customWidth="1"/>
    <col min="10" max="10" width="30.75" bestFit="1" customWidth="1"/>
    <col min="11" max="11" width="31.125" bestFit="1" customWidth="1"/>
    <col min="12" max="12" width="43.125" bestFit="1" customWidth="1"/>
    <col min="13" max="13" width="28.375" bestFit="1" customWidth="1"/>
    <col min="14" max="14" width="22.375" bestFit="1" customWidth="1"/>
  </cols>
  <sheetData>
    <row r="1" spans="1:14" ht="33.75" thickBot="1" x14ac:dyDescent="0.35">
      <c r="A1" s="178" t="s">
        <v>226</v>
      </c>
      <c r="B1" s="460" t="str">
        <f>NOMBRE_DEL_PROYECTO</f>
        <v>MYT ENERGY PARQUE FOTOVOLTAICO TEPUY 108 MW</v>
      </c>
      <c r="C1" s="461"/>
      <c r="D1" s="461"/>
      <c r="E1" s="461"/>
      <c r="F1" s="461"/>
      <c r="G1" s="461"/>
      <c r="H1" s="461"/>
      <c r="I1" s="461"/>
      <c r="J1" s="461"/>
      <c r="K1" s="461"/>
      <c r="L1" s="461"/>
      <c r="M1" s="461"/>
      <c r="N1" s="462"/>
    </row>
    <row r="2" spans="1:14" ht="27" thickBot="1" x14ac:dyDescent="0.35">
      <c r="A2" s="178" t="s">
        <v>231</v>
      </c>
      <c r="B2" s="457">
        <f ca="1">FECHA</f>
        <v>45726</v>
      </c>
      <c r="C2" s="458"/>
      <c r="D2" s="458"/>
      <c r="E2" s="458"/>
      <c r="F2" s="458"/>
      <c r="G2" s="458"/>
      <c r="H2" s="458"/>
      <c r="I2" s="458"/>
      <c r="J2" s="458"/>
      <c r="K2" s="458"/>
      <c r="L2" s="458"/>
      <c r="M2" s="458"/>
      <c r="N2" s="459"/>
    </row>
    <row r="3" spans="1:14" ht="33.75" thickBot="1" x14ac:dyDescent="0.35">
      <c r="A3" s="178" t="s">
        <v>230</v>
      </c>
      <c r="B3" s="485">
        <f>DURCION_PROYECTO</f>
        <v>3</v>
      </c>
      <c r="C3" s="486"/>
      <c r="D3" s="486"/>
      <c r="E3" s="486"/>
      <c r="F3" s="486"/>
      <c r="G3" s="486"/>
      <c r="H3" s="486"/>
      <c r="I3" s="486"/>
      <c r="J3" s="486"/>
      <c r="K3" s="486"/>
      <c r="L3" s="486"/>
      <c r="M3" s="486"/>
      <c r="N3" s="487"/>
    </row>
    <row r="4" spans="1:14" x14ac:dyDescent="0.3">
      <c r="A4" s="488" t="s">
        <v>246</v>
      </c>
      <c r="B4" s="489"/>
      <c r="C4" s="489"/>
      <c r="D4" s="489"/>
      <c r="E4" s="489"/>
      <c r="F4" s="489"/>
      <c r="G4" s="489"/>
      <c r="H4" s="489"/>
      <c r="I4" s="489"/>
      <c r="J4" s="489"/>
      <c r="K4" s="489"/>
      <c r="L4" s="489"/>
      <c r="M4" s="489"/>
      <c r="N4" s="490"/>
    </row>
    <row r="5" spans="1:14" ht="17.25" thickBot="1" x14ac:dyDescent="0.35">
      <c r="A5" s="491"/>
      <c r="B5" s="492"/>
      <c r="C5" s="492"/>
      <c r="D5" s="492"/>
      <c r="E5" s="492"/>
      <c r="F5" s="492"/>
      <c r="G5" s="492"/>
      <c r="H5" s="492"/>
      <c r="I5" s="492"/>
      <c r="J5" s="492"/>
      <c r="K5" s="492"/>
      <c r="L5" s="492"/>
      <c r="M5" s="492"/>
      <c r="N5" s="493"/>
    </row>
    <row r="6" spans="1:14" ht="17.25" thickBot="1" x14ac:dyDescent="0.35">
      <c r="A6" s="9"/>
      <c r="B6" s="498" t="s">
        <v>247</v>
      </c>
      <c r="C6" s="499"/>
      <c r="D6" s="499"/>
      <c r="E6" s="499"/>
      <c r="F6" s="499"/>
      <c r="G6" s="500"/>
      <c r="I6" s="494" t="s">
        <v>248</v>
      </c>
      <c r="J6" s="495"/>
      <c r="K6" s="495"/>
      <c r="L6" s="495"/>
      <c r="M6" s="495"/>
      <c r="N6" s="496"/>
    </row>
    <row r="7" spans="1:14" ht="33" x14ac:dyDescent="0.3">
      <c r="A7" s="9"/>
      <c r="B7" s="180" t="s">
        <v>59</v>
      </c>
      <c r="C7" s="181" t="s">
        <v>249</v>
      </c>
      <c r="D7" s="181" t="s">
        <v>250</v>
      </c>
      <c r="E7" s="181" t="s">
        <v>251</v>
      </c>
      <c r="F7" s="181" t="s">
        <v>252</v>
      </c>
      <c r="G7" s="182" t="s">
        <v>85</v>
      </c>
      <c r="I7" s="180" t="s">
        <v>59</v>
      </c>
      <c r="J7" s="181" t="s">
        <v>249</v>
      </c>
      <c r="K7" s="181" t="s">
        <v>250</v>
      </c>
      <c r="L7" s="181" t="s">
        <v>251</v>
      </c>
      <c r="M7" s="181" t="s">
        <v>252</v>
      </c>
      <c r="N7" s="182" t="s">
        <v>85</v>
      </c>
    </row>
    <row r="8" spans="1:14" x14ac:dyDescent="0.3">
      <c r="A8" s="9"/>
      <c r="B8" s="175">
        <v>1</v>
      </c>
      <c r="C8" s="183" t="s">
        <v>317</v>
      </c>
      <c r="D8" s="184">
        <v>30107.000000000004</v>
      </c>
      <c r="E8" s="183">
        <v>3</v>
      </c>
      <c r="F8" s="3">
        <f>+IF(Tabla8[[#This Row],[CANTIDAD TOTAL PARA EL PROYECTO (PROJECT QUANTITY)]]="","",Tabla8[[#This Row],[CANTIDAD TOTAL PARA EL PROYECTO (PROJECT QUANTITY)]]/DURCION_PROYECTO)</f>
        <v>1</v>
      </c>
      <c r="G8" s="26">
        <f>+IF(Tabla8[[#This Row],[CANTIDAD MES (QUANTITY PER MONTH)]]="","",Tabla8[[#This Row],[VALOR UNITARIO (UNIT VALUE)]]*Tabla8[[#This Row],[CANTIDAD MES (QUANTITY PER MONTH)]])</f>
        <v>30107.000000000004</v>
      </c>
      <c r="I8" s="175">
        <v>1</v>
      </c>
      <c r="J8" s="183" t="s">
        <v>317</v>
      </c>
      <c r="K8" s="184">
        <v>58905.000000000007</v>
      </c>
      <c r="L8" s="183">
        <v>3</v>
      </c>
      <c r="M8" s="3">
        <f>+IF(Tabla810[[#This Row],[CANTIDAD TOTAL PARA EL PROYECTO (PROJECT QUANTITY)]]="","",Tabla810[[#This Row],[CANTIDAD TOTAL PARA EL PROYECTO (PROJECT QUANTITY)]]/DURCION_PROYECTO)</f>
        <v>1</v>
      </c>
      <c r="N8" s="26">
        <f>+IF(Tabla810[[#This Row],[CANTIDAD MES (QUANTITY PER MONTH)]]="","",Tabla810[[#This Row],[CANTIDAD MES (QUANTITY PER MONTH)]]*Tabla810[[#This Row],[VALOR UNITARIO (UNIT VALUE)]])</f>
        <v>58905.000000000007</v>
      </c>
    </row>
    <row r="9" spans="1:14" x14ac:dyDescent="0.3">
      <c r="A9" s="9"/>
      <c r="B9" s="175">
        <v>2</v>
      </c>
      <c r="C9" s="183" t="s">
        <v>318</v>
      </c>
      <c r="D9" s="184">
        <v>26834.500000000004</v>
      </c>
      <c r="E9" s="183">
        <v>2</v>
      </c>
      <c r="F9" s="3">
        <f>+IF(Tabla8[[#This Row],[CANTIDAD TOTAL PARA EL PROYECTO (PROJECT QUANTITY)]]="","",Tabla8[[#This Row],[CANTIDAD TOTAL PARA EL PROYECTO (PROJECT QUANTITY)]]/DURCION_PROYECTO)</f>
        <v>0.66666666666666663</v>
      </c>
      <c r="G9" s="26">
        <f>+IF(Tabla8[[#This Row],[CANTIDAD MES (QUANTITY PER MONTH)]]="","",Tabla8[[#This Row],[VALOR UNITARIO (UNIT VALUE)]]*Tabla8[[#This Row],[CANTIDAD MES (QUANTITY PER MONTH)]])</f>
        <v>17889.666666666668</v>
      </c>
      <c r="I9" s="175">
        <v>2</v>
      </c>
      <c r="J9" s="183" t="s">
        <v>318</v>
      </c>
      <c r="K9" s="184">
        <v>79194.5</v>
      </c>
      <c r="L9" s="183">
        <v>2</v>
      </c>
      <c r="M9" s="3">
        <f>+IF(Tabla810[[#This Row],[CANTIDAD TOTAL PARA EL PROYECTO (PROJECT QUANTITY)]]="","",Tabla810[[#This Row],[CANTIDAD TOTAL PARA EL PROYECTO (PROJECT QUANTITY)]]/DURCION_PROYECTO)</f>
        <v>0.66666666666666663</v>
      </c>
      <c r="N9" s="26">
        <f>+IF(Tabla810[[#This Row],[CANTIDAD MES (QUANTITY PER MONTH)]]="","",Tabla810[[#This Row],[CANTIDAD MES (QUANTITY PER MONTH)]]*Tabla810[[#This Row],[VALOR UNITARIO (UNIT VALUE)]])</f>
        <v>52796.333333333328</v>
      </c>
    </row>
    <row r="10" spans="1:14" x14ac:dyDescent="0.3">
      <c r="A10" s="9"/>
      <c r="B10" s="175">
        <v>3</v>
      </c>
      <c r="C10" s="183" t="s">
        <v>319</v>
      </c>
      <c r="D10" s="184">
        <v>184750</v>
      </c>
      <c r="E10" s="183">
        <v>1</v>
      </c>
      <c r="F10" s="3">
        <f>+IF(Tabla8[[#This Row],[CANTIDAD TOTAL PARA EL PROYECTO (PROJECT QUANTITY)]]="","",Tabla8[[#This Row],[CANTIDAD TOTAL PARA EL PROYECTO (PROJECT QUANTITY)]]/DURCION_PROYECTO)</f>
        <v>0.33333333333333331</v>
      </c>
      <c r="G10" s="26">
        <f>+IF(Tabla8[[#This Row],[CANTIDAD MES (QUANTITY PER MONTH)]]="","",Tabla8[[#This Row],[VALOR UNITARIO (UNIT VALUE)]]*Tabla8[[#This Row],[CANTIDAD MES (QUANTITY PER MONTH)]])</f>
        <v>61583.333333333328</v>
      </c>
      <c r="I10" s="175">
        <v>3</v>
      </c>
      <c r="J10" s="183" t="s">
        <v>320</v>
      </c>
      <c r="K10" s="184">
        <v>8901.2000000000007</v>
      </c>
      <c r="L10" s="183">
        <v>1</v>
      </c>
      <c r="M10" s="3">
        <f>+IF(Tabla810[[#This Row],[CANTIDAD TOTAL PARA EL PROYECTO (PROJECT QUANTITY)]]="","",Tabla810[[#This Row],[CANTIDAD TOTAL PARA EL PROYECTO (PROJECT QUANTITY)]]/DURCION_PROYECTO)</f>
        <v>0.33333333333333331</v>
      </c>
      <c r="N10" s="26">
        <f>+IF(Tabla810[[#This Row],[CANTIDAD MES (QUANTITY PER MONTH)]]="","",Tabla810[[#This Row],[CANTIDAD MES (QUANTITY PER MONTH)]]*Tabla810[[#This Row],[VALOR UNITARIO (UNIT VALUE)]])</f>
        <v>2967.0666666666666</v>
      </c>
    </row>
    <row r="11" spans="1:14" x14ac:dyDescent="0.3">
      <c r="A11" s="9"/>
      <c r="B11" s="175">
        <v>4</v>
      </c>
      <c r="C11" s="183" t="s">
        <v>320</v>
      </c>
      <c r="D11" s="184">
        <v>7854.0000000000009</v>
      </c>
      <c r="E11" s="183">
        <v>6</v>
      </c>
      <c r="F11" s="3">
        <f>+IF(Tabla8[[#This Row],[CANTIDAD TOTAL PARA EL PROYECTO (PROJECT QUANTITY)]]="","",Tabla8[[#This Row],[CANTIDAD TOTAL PARA EL PROYECTO (PROJECT QUANTITY)]]/DURCION_PROYECTO)</f>
        <v>2</v>
      </c>
      <c r="G11" s="26">
        <f>+IF(Tabla8[[#This Row],[CANTIDAD MES (QUANTITY PER MONTH)]]="","",Tabla8[[#This Row],[VALOR UNITARIO (UNIT VALUE)]]*Tabla8[[#This Row],[CANTIDAD MES (QUANTITY PER MONTH)]])</f>
        <v>15708.000000000002</v>
      </c>
      <c r="I11" s="175">
        <v>4</v>
      </c>
      <c r="J11" s="183" t="s">
        <v>329</v>
      </c>
      <c r="K11" s="184">
        <v>38500</v>
      </c>
      <c r="L11" s="183">
        <v>1</v>
      </c>
      <c r="M11" s="3">
        <f>+IF(Tabla810[[#This Row],[CANTIDAD TOTAL PARA EL PROYECTO (PROJECT QUANTITY)]]="","",Tabla810[[#This Row],[CANTIDAD TOTAL PARA EL PROYECTO (PROJECT QUANTITY)]]/DURCION_PROYECTO)</f>
        <v>0.33333333333333331</v>
      </c>
      <c r="N11" s="26">
        <f>+IF(Tabla810[[#This Row],[CANTIDAD MES (QUANTITY PER MONTH)]]="","",Tabla810[[#This Row],[CANTIDAD MES (QUANTITY PER MONTH)]]*Tabla810[[#This Row],[VALOR UNITARIO (UNIT VALUE)]])</f>
        <v>12833.333333333332</v>
      </c>
    </row>
    <row r="12" spans="1:14" x14ac:dyDescent="0.3">
      <c r="A12" s="9"/>
      <c r="B12" s="175">
        <v>5</v>
      </c>
      <c r="C12" s="183" t="s">
        <v>321</v>
      </c>
      <c r="D12" s="184">
        <v>38500</v>
      </c>
      <c r="E12" s="183">
        <v>1</v>
      </c>
      <c r="F12" s="3">
        <f>+IF(Tabla8[[#This Row],[CANTIDAD TOTAL PARA EL PROYECTO (PROJECT QUANTITY)]]="","",Tabla8[[#This Row],[CANTIDAD TOTAL PARA EL PROYECTO (PROJECT QUANTITY)]]/DURCION_PROYECTO)</f>
        <v>0.33333333333333331</v>
      </c>
      <c r="G12" s="26">
        <f>+IF(Tabla8[[#This Row],[CANTIDAD MES (QUANTITY PER MONTH)]]="","",Tabla8[[#This Row],[VALOR UNITARIO (UNIT VALUE)]]*Tabla8[[#This Row],[CANTIDAD MES (QUANTITY PER MONTH)]])</f>
        <v>12833.333333333332</v>
      </c>
      <c r="I12" s="175">
        <v>5</v>
      </c>
      <c r="J12" s="183" t="s">
        <v>322</v>
      </c>
      <c r="K12" s="184">
        <v>8508.5</v>
      </c>
      <c r="L12" s="183">
        <v>1</v>
      </c>
      <c r="M12" s="3">
        <f>+IF(Tabla810[[#This Row],[CANTIDAD TOTAL PARA EL PROYECTO (PROJECT QUANTITY)]]="","",Tabla810[[#This Row],[CANTIDAD TOTAL PARA EL PROYECTO (PROJECT QUANTITY)]]/DURCION_PROYECTO)</f>
        <v>0.33333333333333331</v>
      </c>
      <c r="N12" s="26">
        <f>+IF(Tabla810[[#This Row],[CANTIDAD MES (QUANTITY PER MONTH)]]="","",Tabla810[[#This Row],[CANTIDAD MES (QUANTITY PER MONTH)]]*Tabla810[[#This Row],[VALOR UNITARIO (UNIT VALUE)]])</f>
        <v>2836.1666666666665</v>
      </c>
    </row>
    <row r="13" spans="1:14" x14ac:dyDescent="0.3">
      <c r="A13" s="9"/>
      <c r="B13" s="175">
        <v>6</v>
      </c>
      <c r="C13" s="183" t="s">
        <v>322</v>
      </c>
      <c r="D13" s="184">
        <v>8508.5</v>
      </c>
      <c r="E13" s="183">
        <v>1</v>
      </c>
      <c r="F13" s="3">
        <f>+IF(Tabla8[[#This Row],[CANTIDAD TOTAL PARA EL PROYECTO (PROJECT QUANTITY)]]="","",Tabla8[[#This Row],[CANTIDAD TOTAL PARA EL PROYECTO (PROJECT QUANTITY)]]/DURCION_PROYECTO)</f>
        <v>0.33333333333333331</v>
      </c>
      <c r="G13" s="26">
        <f>+IF(Tabla8[[#This Row],[CANTIDAD MES (QUANTITY PER MONTH)]]="","",Tabla8[[#This Row],[VALOR UNITARIO (UNIT VALUE)]]*Tabla8[[#This Row],[CANTIDAD MES (QUANTITY PER MONTH)]])</f>
        <v>2836.1666666666665</v>
      </c>
      <c r="I13" s="175">
        <v>6</v>
      </c>
      <c r="J13" s="183" t="s">
        <v>323</v>
      </c>
      <c r="K13" s="184">
        <v>5497.8</v>
      </c>
      <c r="L13" s="183">
        <v>2</v>
      </c>
      <c r="M13" s="3">
        <f>+IF(Tabla810[[#This Row],[CANTIDAD TOTAL PARA EL PROYECTO (PROJECT QUANTITY)]]="","",Tabla810[[#This Row],[CANTIDAD TOTAL PARA EL PROYECTO (PROJECT QUANTITY)]]/DURCION_PROYECTO)</f>
        <v>0.66666666666666663</v>
      </c>
      <c r="N13" s="26">
        <f>+IF(Tabla810[[#This Row],[CANTIDAD MES (QUANTITY PER MONTH)]]="","",Tabla810[[#This Row],[CANTIDAD MES (QUANTITY PER MONTH)]]*Tabla810[[#This Row],[VALOR UNITARIO (UNIT VALUE)]])</f>
        <v>3665.2</v>
      </c>
    </row>
    <row r="14" spans="1:14" x14ac:dyDescent="0.3">
      <c r="A14" s="9"/>
      <c r="B14" s="175">
        <v>7</v>
      </c>
      <c r="C14" s="183" t="s">
        <v>323</v>
      </c>
      <c r="D14" s="184">
        <v>5497.8</v>
      </c>
      <c r="E14" s="183">
        <v>6</v>
      </c>
      <c r="F14" s="3">
        <f>+IF(Tabla8[[#This Row],[CANTIDAD TOTAL PARA EL PROYECTO (PROJECT QUANTITY)]]="","",Tabla8[[#This Row],[CANTIDAD TOTAL PARA EL PROYECTO (PROJECT QUANTITY)]]/DURCION_PROYECTO)</f>
        <v>2</v>
      </c>
      <c r="G14" s="26">
        <f>+IF(Tabla8[[#This Row],[CANTIDAD MES (QUANTITY PER MONTH)]]="","",Tabla8[[#This Row],[VALOR UNITARIO (UNIT VALUE)]]*Tabla8[[#This Row],[CANTIDAD MES (QUANTITY PER MONTH)]])</f>
        <v>10995.6</v>
      </c>
      <c r="I14" s="175">
        <v>7</v>
      </c>
      <c r="J14" s="183" t="s">
        <v>324</v>
      </c>
      <c r="K14" s="184">
        <v>5890.5000000000009</v>
      </c>
      <c r="L14" s="183">
        <v>6</v>
      </c>
      <c r="M14" s="3">
        <f>+IF(Tabla810[[#This Row],[CANTIDAD TOTAL PARA EL PROYECTO (PROJECT QUANTITY)]]="","",Tabla810[[#This Row],[CANTIDAD TOTAL PARA EL PROYECTO (PROJECT QUANTITY)]]/DURCION_PROYECTO)</f>
        <v>2</v>
      </c>
      <c r="N14" s="26">
        <f>+IF(Tabla810[[#This Row],[CANTIDAD MES (QUANTITY PER MONTH)]]="","",Tabla810[[#This Row],[CANTIDAD MES (QUANTITY PER MONTH)]]*Tabla810[[#This Row],[VALOR UNITARIO (UNIT VALUE)]])</f>
        <v>11781.000000000002</v>
      </c>
    </row>
    <row r="15" spans="1:14" x14ac:dyDescent="0.3">
      <c r="A15" s="9"/>
      <c r="B15" s="175">
        <v>8</v>
      </c>
      <c r="C15" s="183" t="s">
        <v>324</v>
      </c>
      <c r="D15" s="184">
        <v>5890.5000000000009</v>
      </c>
      <c r="E15" s="183">
        <v>6</v>
      </c>
      <c r="F15" s="3">
        <f>+IF(Tabla8[[#This Row],[CANTIDAD TOTAL PARA EL PROYECTO (PROJECT QUANTITY)]]="","",Tabla8[[#This Row],[CANTIDAD TOTAL PARA EL PROYECTO (PROJECT QUANTITY)]]/DURCION_PROYECTO)</f>
        <v>2</v>
      </c>
      <c r="G15" s="26">
        <f>+IF(Tabla8[[#This Row],[CANTIDAD MES (QUANTITY PER MONTH)]]="","",Tabla8[[#This Row],[VALOR UNITARIO (UNIT VALUE)]]*Tabla8[[#This Row],[CANTIDAD MES (QUANTITY PER MONTH)]])</f>
        <v>11781.000000000002</v>
      </c>
      <c r="I15" s="175">
        <v>8</v>
      </c>
      <c r="J15" s="183" t="s">
        <v>325</v>
      </c>
      <c r="K15" s="184">
        <v>24740.100000000002</v>
      </c>
      <c r="L15" s="183">
        <v>1</v>
      </c>
      <c r="M15" s="3">
        <f>+IF(Tabla810[[#This Row],[CANTIDAD TOTAL PARA EL PROYECTO (PROJECT QUANTITY)]]="","",Tabla810[[#This Row],[CANTIDAD TOTAL PARA EL PROYECTO (PROJECT QUANTITY)]]/DURCION_PROYECTO)</f>
        <v>0.33333333333333331</v>
      </c>
      <c r="N15" s="26">
        <f>+IF(Tabla810[[#This Row],[CANTIDAD MES (QUANTITY PER MONTH)]]="","",Tabla810[[#This Row],[CANTIDAD MES (QUANTITY PER MONTH)]]*Tabla810[[#This Row],[VALOR UNITARIO (UNIT VALUE)]])</f>
        <v>8246.7000000000007</v>
      </c>
    </row>
    <row r="16" spans="1:14" x14ac:dyDescent="0.3">
      <c r="A16" s="9"/>
      <c r="B16" s="175">
        <v>9</v>
      </c>
      <c r="C16" s="183" t="s">
        <v>325</v>
      </c>
      <c r="D16" s="184">
        <v>18195.100000000002</v>
      </c>
      <c r="E16" s="183">
        <v>2</v>
      </c>
      <c r="F16" s="3">
        <f>+IF(Tabla8[[#This Row],[CANTIDAD TOTAL PARA EL PROYECTO (PROJECT QUANTITY)]]="","",Tabla8[[#This Row],[CANTIDAD TOTAL PARA EL PROYECTO (PROJECT QUANTITY)]]/DURCION_PROYECTO)</f>
        <v>0.66666666666666663</v>
      </c>
      <c r="G16" s="26">
        <f>+IF(Tabla8[[#This Row],[CANTIDAD MES (QUANTITY PER MONTH)]]="","",Tabla8[[#This Row],[VALOR UNITARIO (UNIT VALUE)]]*Tabla8[[#This Row],[CANTIDAD MES (QUANTITY PER MONTH)]])</f>
        <v>12130.066666666668</v>
      </c>
      <c r="I16" s="175">
        <v>9</v>
      </c>
      <c r="J16" s="183" t="s">
        <v>326</v>
      </c>
      <c r="K16" s="184">
        <v>3272.5000000000005</v>
      </c>
      <c r="L16" s="183">
        <v>6</v>
      </c>
      <c r="M16" s="3">
        <f>+IF(Tabla810[[#This Row],[CANTIDAD TOTAL PARA EL PROYECTO (PROJECT QUANTITY)]]="","",Tabla810[[#This Row],[CANTIDAD TOTAL PARA EL PROYECTO (PROJECT QUANTITY)]]/DURCION_PROYECTO)</f>
        <v>2</v>
      </c>
      <c r="N16" s="26">
        <f>+IF(Tabla810[[#This Row],[CANTIDAD MES (QUANTITY PER MONTH)]]="","",Tabla810[[#This Row],[CANTIDAD MES (QUANTITY PER MONTH)]]*Tabla810[[#This Row],[VALOR UNITARIO (UNIT VALUE)]])</f>
        <v>6545.0000000000009</v>
      </c>
    </row>
    <row r="17" spans="1:14" x14ac:dyDescent="0.3">
      <c r="A17" s="9"/>
      <c r="B17" s="175">
        <v>10</v>
      </c>
      <c r="C17" s="183" t="s">
        <v>326</v>
      </c>
      <c r="D17" s="184">
        <v>3272.5000000000005</v>
      </c>
      <c r="E17" s="183">
        <v>6</v>
      </c>
      <c r="F17" s="3">
        <f>+IF(Tabla8[[#This Row],[CANTIDAD TOTAL PARA EL PROYECTO (PROJECT QUANTITY)]]="","",Tabla8[[#This Row],[CANTIDAD TOTAL PARA EL PROYECTO (PROJECT QUANTITY)]]/DURCION_PROYECTO)</f>
        <v>2</v>
      </c>
      <c r="G17" s="26">
        <f>+IF(Tabla8[[#This Row],[CANTIDAD MES (QUANTITY PER MONTH)]]="","",Tabla8[[#This Row],[VALOR UNITARIO (UNIT VALUE)]]*Tabla8[[#This Row],[CANTIDAD MES (QUANTITY PER MONTH)]])</f>
        <v>6545.0000000000009</v>
      </c>
      <c r="I17" s="175">
        <v>10</v>
      </c>
      <c r="J17" s="183"/>
      <c r="K17" s="184">
        <v>1100</v>
      </c>
      <c r="L17" s="183"/>
      <c r="M17" s="3" t="str">
        <f>+IF(Tabla810[[#This Row],[CANTIDAD TOTAL PARA EL PROYECTO (PROJECT QUANTITY)]]="","",Tabla810[[#This Row],[CANTIDAD TOTAL PARA EL PROYECTO (PROJECT QUANTITY)]]/DURCION_PROYECTO)</f>
        <v/>
      </c>
      <c r="N17" s="26" t="str">
        <f>+IF(Tabla810[[#This Row],[CANTIDAD MES (QUANTITY PER MONTH)]]="","",Tabla810[[#This Row],[CANTIDAD MES (QUANTITY PER MONTH)]]*Tabla810[[#This Row],[VALOR UNITARIO (UNIT VALUE)]])</f>
        <v/>
      </c>
    </row>
    <row r="18" spans="1:14" x14ac:dyDescent="0.3">
      <c r="A18" s="9"/>
      <c r="B18" s="175">
        <v>11</v>
      </c>
      <c r="C18" s="183"/>
      <c r="D18" s="184"/>
      <c r="E18" s="183"/>
      <c r="F18" s="3" t="str">
        <f>+IF(Tabla8[[#This Row],[CANTIDAD TOTAL PARA EL PROYECTO (PROJECT QUANTITY)]]="","",Tabla8[[#This Row],[CANTIDAD TOTAL PARA EL PROYECTO (PROJECT QUANTITY)]]/DURCION_PROYECTO)</f>
        <v/>
      </c>
      <c r="G18" s="26" t="str">
        <f>+IF(Tabla8[[#This Row],[CANTIDAD MES (QUANTITY PER MONTH)]]="","",Tabla8[[#This Row],[VALOR UNITARIO (UNIT VALUE)]]*Tabla8[[#This Row],[CANTIDAD MES (QUANTITY PER MONTH)]])</f>
        <v/>
      </c>
      <c r="I18" s="175">
        <v>11</v>
      </c>
      <c r="J18" s="183" t="s">
        <v>330</v>
      </c>
      <c r="K18" s="184">
        <v>184750</v>
      </c>
      <c r="L18" s="183">
        <v>1</v>
      </c>
      <c r="M18" s="3">
        <f>+IF(Tabla810[[#This Row],[CANTIDAD TOTAL PARA EL PROYECTO (PROJECT QUANTITY)]]="","",Tabla810[[#This Row],[CANTIDAD TOTAL PARA EL PROYECTO (PROJECT QUANTITY)]]/DURCION_PROYECTO)</f>
        <v>0.33333333333333331</v>
      </c>
      <c r="N18" s="26">
        <f>+IF(Tabla810[[#This Row],[CANTIDAD MES (QUANTITY PER MONTH)]]="","",Tabla810[[#This Row],[CANTIDAD MES (QUANTITY PER MONTH)]]*Tabla810[[#This Row],[VALOR UNITARIO (UNIT VALUE)]])</f>
        <v>61583.333333333328</v>
      </c>
    </row>
    <row r="19" spans="1:14" x14ac:dyDescent="0.3">
      <c r="A19" s="9"/>
      <c r="B19" s="175">
        <v>12</v>
      </c>
      <c r="C19" s="183" t="s">
        <v>327</v>
      </c>
      <c r="D19" s="184">
        <v>94000</v>
      </c>
      <c r="E19" s="183">
        <v>1</v>
      </c>
      <c r="F19" s="3">
        <f>+IF(Tabla8[[#This Row],[CANTIDAD TOTAL PARA EL PROYECTO (PROJECT QUANTITY)]]="","",Tabla8[[#This Row],[CANTIDAD TOTAL PARA EL PROYECTO (PROJECT QUANTITY)]]/DURCION_PROYECTO)</f>
        <v>0.33333333333333331</v>
      </c>
      <c r="G19" s="26">
        <f>+IF(Tabla8[[#This Row],[CANTIDAD MES (QUANTITY PER MONTH)]]="","",Tabla8[[#This Row],[VALOR UNITARIO (UNIT VALUE)]]*Tabla8[[#This Row],[CANTIDAD MES (QUANTITY PER MONTH)]])</f>
        <v>31333.333333333332</v>
      </c>
      <c r="I19" s="175">
        <v>12</v>
      </c>
      <c r="J19" s="183" t="s">
        <v>331</v>
      </c>
      <c r="K19" s="184">
        <v>94000</v>
      </c>
      <c r="L19" s="183">
        <v>1</v>
      </c>
      <c r="M19" s="3">
        <f>+IF(Tabla810[[#This Row],[CANTIDAD TOTAL PARA EL PROYECTO (PROJECT QUANTITY)]]="","",Tabla810[[#This Row],[CANTIDAD TOTAL PARA EL PROYECTO (PROJECT QUANTITY)]]/DURCION_PROYECTO)</f>
        <v>0.33333333333333331</v>
      </c>
      <c r="N19" s="26">
        <f>+IF(Tabla810[[#This Row],[CANTIDAD MES (QUANTITY PER MONTH)]]="","",Tabla810[[#This Row],[CANTIDAD MES (QUANTITY PER MONTH)]]*Tabla810[[#This Row],[VALOR UNITARIO (UNIT VALUE)]])</f>
        <v>31333.333333333332</v>
      </c>
    </row>
    <row r="20" spans="1:14" x14ac:dyDescent="0.3">
      <c r="A20" s="9"/>
      <c r="B20" s="175">
        <v>13</v>
      </c>
      <c r="C20" s="183" t="s">
        <v>328</v>
      </c>
      <c r="D20" s="184">
        <v>20000</v>
      </c>
      <c r="E20" s="183">
        <v>1</v>
      </c>
      <c r="F20" s="3">
        <f>+IF(Tabla8[[#This Row],[CANTIDAD TOTAL PARA EL PROYECTO (PROJECT QUANTITY)]]="","",Tabla8[[#This Row],[CANTIDAD TOTAL PARA EL PROYECTO (PROJECT QUANTITY)]]/DURCION_PROYECTO)</f>
        <v>0.33333333333333331</v>
      </c>
      <c r="G20" s="26">
        <f>+IF(Tabla8[[#This Row],[CANTIDAD MES (QUANTITY PER MONTH)]]="","",Tabla8[[#This Row],[VALOR UNITARIO (UNIT VALUE)]]*Tabla8[[#This Row],[CANTIDAD MES (QUANTITY PER MONTH)]])</f>
        <v>6666.6666666666661</v>
      </c>
      <c r="I20" s="175">
        <v>13</v>
      </c>
      <c r="J20" s="183" t="s">
        <v>328</v>
      </c>
      <c r="K20" s="184">
        <v>20000</v>
      </c>
      <c r="L20" s="183">
        <v>1</v>
      </c>
      <c r="M20" s="3">
        <f>+IF(Tabla810[[#This Row],[CANTIDAD TOTAL PARA EL PROYECTO (PROJECT QUANTITY)]]="","",Tabla810[[#This Row],[CANTIDAD TOTAL PARA EL PROYECTO (PROJECT QUANTITY)]]/DURCION_PROYECTO)</f>
        <v>0.33333333333333331</v>
      </c>
      <c r="N20" s="26">
        <f>+IF(Tabla810[[#This Row],[CANTIDAD MES (QUANTITY PER MONTH)]]="","",Tabla810[[#This Row],[CANTIDAD MES (QUANTITY PER MONTH)]]*Tabla810[[#This Row],[VALOR UNITARIO (UNIT VALUE)]])</f>
        <v>6666.6666666666661</v>
      </c>
    </row>
    <row r="21" spans="1:14" x14ac:dyDescent="0.3">
      <c r="A21" s="9"/>
      <c r="B21" s="175">
        <v>14</v>
      </c>
      <c r="C21" s="183"/>
      <c r="D21" s="184"/>
      <c r="E21" s="183"/>
      <c r="F21" s="3" t="str">
        <f>+IF(Tabla8[[#This Row],[CANTIDAD TOTAL PARA EL PROYECTO (PROJECT QUANTITY)]]="","",Tabla8[[#This Row],[CANTIDAD TOTAL PARA EL PROYECTO (PROJECT QUANTITY)]]/DURCION_PROYECTO)</f>
        <v/>
      </c>
      <c r="G21" s="26" t="str">
        <f>+IF(Tabla8[[#This Row],[CANTIDAD MES (QUANTITY PER MONTH)]]="","",Tabla8[[#This Row],[VALOR UNITARIO (UNIT VALUE)]]*Tabla8[[#This Row],[CANTIDAD MES (QUANTITY PER MONTH)]])</f>
        <v/>
      </c>
      <c r="I21" s="175">
        <v>14</v>
      </c>
      <c r="J21" s="183"/>
      <c r="K21" s="184"/>
      <c r="L21" s="183"/>
      <c r="M21" s="3" t="str">
        <f>+IF(Tabla810[[#This Row],[CANTIDAD TOTAL PARA EL PROYECTO (PROJECT QUANTITY)]]="","",Tabla810[[#This Row],[CANTIDAD TOTAL PARA EL PROYECTO (PROJECT QUANTITY)]]/DURCION_PROYECTO)</f>
        <v/>
      </c>
      <c r="N21" s="26" t="str">
        <f>+IF(Tabla810[[#This Row],[CANTIDAD MES (QUANTITY PER MONTH)]]="","",Tabla810[[#This Row],[CANTIDAD MES (QUANTITY PER MONTH)]]*Tabla810[[#This Row],[VALOR UNITARIO (UNIT VALUE)]])</f>
        <v/>
      </c>
    </row>
    <row r="22" spans="1:14" x14ac:dyDescent="0.3">
      <c r="A22" s="9"/>
      <c r="B22" s="175">
        <v>15</v>
      </c>
      <c r="C22" s="183"/>
      <c r="D22" s="184"/>
      <c r="E22" s="183"/>
      <c r="F22" s="3" t="str">
        <f>+IF(Tabla8[[#This Row],[CANTIDAD TOTAL PARA EL PROYECTO (PROJECT QUANTITY)]]="","",Tabla8[[#This Row],[CANTIDAD TOTAL PARA EL PROYECTO (PROJECT QUANTITY)]]/DURCION_PROYECTO)</f>
        <v/>
      </c>
      <c r="G22" s="26" t="str">
        <f>+IF(Tabla8[[#This Row],[CANTIDAD MES (QUANTITY PER MONTH)]]="","",Tabla8[[#This Row],[VALOR UNITARIO (UNIT VALUE)]]*Tabla8[[#This Row],[CANTIDAD MES (QUANTITY PER MONTH)]])</f>
        <v/>
      </c>
      <c r="I22" s="175">
        <v>15</v>
      </c>
      <c r="J22" s="183"/>
      <c r="K22" s="184"/>
      <c r="L22" s="183"/>
      <c r="M22" s="3" t="str">
        <f>+IF(Tabla810[[#This Row],[CANTIDAD TOTAL PARA EL PROYECTO (PROJECT QUANTITY)]]="","",Tabla810[[#This Row],[CANTIDAD TOTAL PARA EL PROYECTO (PROJECT QUANTITY)]]/DURCION_PROYECTO)</f>
        <v/>
      </c>
      <c r="N22" s="26" t="str">
        <f>+IF(Tabla810[[#This Row],[CANTIDAD MES (QUANTITY PER MONTH)]]="","",Tabla810[[#This Row],[CANTIDAD MES (QUANTITY PER MONTH)]]*Tabla810[[#This Row],[VALOR UNITARIO (UNIT VALUE)]])</f>
        <v/>
      </c>
    </row>
    <row r="23" spans="1:14" x14ac:dyDescent="0.3">
      <c r="A23" s="9"/>
      <c r="B23" s="175">
        <v>16</v>
      </c>
      <c r="C23" s="183"/>
      <c r="D23" s="184"/>
      <c r="E23" s="183"/>
      <c r="F23" s="3" t="str">
        <f>+IF(Tabla8[[#This Row],[CANTIDAD TOTAL PARA EL PROYECTO (PROJECT QUANTITY)]]="","",Tabla8[[#This Row],[CANTIDAD TOTAL PARA EL PROYECTO (PROJECT QUANTITY)]]/DURCION_PROYECTO)</f>
        <v/>
      </c>
      <c r="G23" s="26" t="str">
        <f>+IF(Tabla8[[#This Row],[CANTIDAD MES (QUANTITY PER MONTH)]]="","",Tabla8[[#This Row],[VALOR UNITARIO (UNIT VALUE)]]*Tabla8[[#This Row],[CANTIDAD MES (QUANTITY PER MONTH)]])</f>
        <v/>
      </c>
      <c r="I23" s="175">
        <v>16</v>
      </c>
      <c r="J23" s="183"/>
      <c r="K23" s="184"/>
      <c r="L23" s="183"/>
      <c r="M23" s="3" t="str">
        <f>+IF(Tabla810[[#This Row],[CANTIDAD TOTAL PARA EL PROYECTO (PROJECT QUANTITY)]]="","",Tabla810[[#This Row],[CANTIDAD TOTAL PARA EL PROYECTO (PROJECT QUANTITY)]]/DURCION_PROYECTO)</f>
        <v/>
      </c>
      <c r="N23" s="26" t="str">
        <f>+IF(Tabla810[[#This Row],[CANTIDAD MES (QUANTITY PER MONTH)]]="","",Tabla810[[#This Row],[CANTIDAD MES (QUANTITY PER MONTH)]]*Tabla810[[#This Row],[VALOR UNITARIO (UNIT VALUE)]])</f>
        <v/>
      </c>
    </row>
    <row r="24" spans="1:14" x14ac:dyDescent="0.3">
      <c r="A24" s="9"/>
      <c r="B24" s="175">
        <v>17</v>
      </c>
      <c r="C24" s="185"/>
      <c r="D24" s="186"/>
      <c r="E24" s="185"/>
      <c r="F24" s="160" t="str">
        <f>+IF(Tabla8[[#This Row],[CANTIDAD TOTAL PARA EL PROYECTO (PROJECT QUANTITY)]]="","",Tabla8[[#This Row],[CANTIDAD TOTAL PARA EL PROYECTO (PROJECT QUANTITY)]]/DURCION_PROYECTO)</f>
        <v/>
      </c>
      <c r="G24" s="161" t="str">
        <f>+IF(Tabla8[[#This Row],[CANTIDAD MES (QUANTITY PER MONTH)]]="","",Tabla8[[#This Row],[VALOR UNITARIO (UNIT VALUE)]]*Tabla8[[#This Row],[CANTIDAD MES (QUANTITY PER MONTH)]])</f>
        <v/>
      </c>
      <c r="I24" s="175">
        <v>17</v>
      </c>
      <c r="J24" s="185"/>
      <c r="K24" s="186"/>
      <c r="L24" s="185"/>
      <c r="M24" s="160" t="str">
        <f>+IF(Tabla810[[#This Row],[CANTIDAD TOTAL PARA EL PROYECTO (PROJECT QUANTITY)]]="","",Tabla810[[#This Row],[CANTIDAD TOTAL PARA EL PROYECTO (PROJECT QUANTITY)]]/DURCION_PROYECTO)</f>
        <v/>
      </c>
      <c r="N24" s="161" t="str">
        <f>+IF(Tabla810[[#This Row],[CANTIDAD MES (QUANTITY PER MONTH)]]="","",Tabla810[[#This Row],[CANTIDAD MES (QUANTITY PER MONTH)]]*Tabla810[[#This Row],[VALOR UNITARIO (UNIT VALUE)]])</f>
        <v/>
      </c>
    </row>
    <row r="25" spans="1:14" x14ac:dyDescent="0.3">
      <c r="B25" s="175">
        <v>18</v>
      </c>
      <c r="C25" s="185"/>
      <c r="D25" s="186"/>
      <c r="E25" s="185"/>
      <c r="F25" s="160" t="str">
        <f>+IF(Tabla8[[#This Row],[CANTIDAD TOTAL PARA EL PROYECTO (PROJECT QUANTITY)]]="","",Tabla8[[#This Row],[CANTIDAD TOTAL PARA EL PROYECTO (PROJECT QUANTITY)]]/DURCION_PROYECTO)</f>
        <v/>
      </c>
      <c r="G25" s="161" t="str">
        <f>+IF(Tabla8[[#This Row],[CANTIDAD MES (QUANTITY PER MONTH)]]="","",Tabla8[[#This Row],[VALOR UNITARIO (UNIT VALUE)]]*Tabla8[[#This Row],[CANTIDAD MES (QUANTITY PER MONTH)]])</f>
        <v/>
      </c>
      <c r="I25" s="175">
        <v>18</v>
      </c>
      <c r="J25" s="185"/>
      <c r="K25" s="186"/>
      <c r="L25" s="185"/>
      <c r="M25" s="160" t="str">
        <f>+IF(Tabla810[[#This Row],[CANTIDAD TOTAL PARA EL PROYECTO (PROJECT QUANTITY)]]="","",Tabla810[[#This Row],[CANTIDAD TOTAL PARA EL PROYECTO (PROJECT QUANTITY)]]/DURCION_PROYECTO)</f>
        <v/>
      </c>
      <c r="N25" s="161" t="str">
        <f>+IF(Tabla810[[#This Row],[CANTIDAD MES (QUANTITY PER MONTH)]]="","",Tabla810[[#This Row],[CANTIDAD MES (QUANTITY PER MONTH)]]*Tabla810[[#This Row],[VALOR UNITARIO (UNIT VALUE)]])</f>
        <v/>
      </c>
    </row>
    <row r="26" spans="1:14" x14ac:dyDescent="0.3">
      <c r="B26" s="175">
        <v>19</v>
      </c>
      <c r="C26" s="185"/>
      <c r="D26" s="186"/>
      <c r="E26" s="185"/>
      <c r="F26" s="160" t="str">
        <f>+IF(Tabla8[[#This Row],[CANTIDAD TOTAL PARA EL PROYECTO (PROJECT QUANTITY)]]="","",Tabla8[[#This Row],[CANTIDAD TOTAL PARA EL PROYECTO (PROJECT QUANTITY)]]/DURCION_PROYECTO)</f>
        <v/>
      </c>
      <c r="G26" s="161" t="str">
        <f>+IF(Tabla8[[#This Row],[CANTIDAD MES (QUANTITY PER MONTH)]]="","",Tabla8[[#This Row],[VALOR UNITARIO (UNIT VALUE)]]*Tabla8[[#This Row],[CANTIDAD MES (QUANTITY PER MONTH)]])</f>
        <v/>
      </c>
      <c r="I26" s="175">
        <v>19</v>
      </c>
      <c r="J26" s="185"/>
      <c r="K26" s="186"/>
      <c r="L26" s="185"/>
      <c r="M26" s="160" t="str">
        <f>+IF(Tabla810[[#This Row],[CANTIDAD TOTAL PARA EL PROYECTO (PROJECT QUANTITY)]]="","",Tabla810[[#This Row],[CANTIDAD TOTAL PARA EL PROYECTO (PROJECT QUANTITY)]]/DURCION_PROYECTO)</f>
        <v/>
      </c>
      <c r="N26" s="161" t="str">
        <f>+IF(Tabla810[[#This Row],[CANTIDAD MES (QUANTITY PER MONTH)]]="","",Tabla810[[#This Row],[CANTIDAD MES (QUANTITY PER MONTH)]]*Tabla810[[#This Row],[VALOR UNITARIO (UNIT VALUE)]])</f>
        <v/>
      </c>
    </row>
    <row r="27" spans="1:14" ht="17.25" thickBot="1" x14ac:dyDescent="0.35">
      <c r="B27" s="179">
        <v>20</v>
      </c>
      <c r="C27" s="187"/>
      <c r="D27" s="188"/>
      <c r="E27" s="187"/>
      <c r="F27" s="88" t="str">
        <f>+IF(Tabla8[[#This Row],[CANTIDAD TOTAL PARA EL PROYECTO (PROJECT QUANTITY)]]="","",Tabla8[[#This Row],[CANTIDAD TOTAL PARA EL PROYECTO (PROJECT QUANTITY)]]/DURCION_PROYECTO)</f>
        <v/>
      </c>
      <c r="G27" s="89" t="str">
        <f>+IF(Tabla8[[#This Row],[CANTIDAD MES (QUANTITY PER MONTH)]]="","",Tabla8[[#This Row],[VALOR UNITARIO (UNIT VALUE)]]*Tabla8[[#This Row],[CANTIDAD MES (QUANTITY PER MONTH)]])</f>
        <v/>
      </c>
      <c r="I27" s="175">
        <v>20</v>
      </c>
      <c r="J27" s="187"/>
      <c r="K27" s="188"/>
      <c r="L27" s="187"/>
      <c r="M27" s="88" t="str">
        <f>+IF(Tabla810[[#This Row],[CANTIDAD TOTAL PARA EL PROYECTO (PROJECT QUANTITY)]]="","",Tabla810[[#This Row],[CANTIDAD TOTAL PARA EL PROYECTO (PROJECT QUANTITY)]]/DURCION_PROYECTO)</f>
        <v/>
      </c>
      <c r="N27" s="89" t="str">
        <f>+IF(Tabla810[[#This Row],[CANTIDAD MES (QUANTITY PER MONTH)]]="","",Tabla810[[#This Row],[CANTIDAD MES (QUANTITY PER MONTH)]]*Tabla810[[#This Row],[VALOR UNITARIO (UNIT VALUE)]])</f>
        <v/>
      </c>
    </row>
    <row r="28" spans="1:14" x14ac:dyDescent="0.3">
      <c r="C28" s="480" t="s">
        <v>253</v>
      </c>
      <c r="D28" s="481"/>
      <c r="E28" s="481"/>
      <c r="F28" s="481"/>
      <c r="G28" s="162">
        <f>+SUM(G8:G27)</f>
        <v>220409.16666666669</v>
      </c>
      <c r="J28" s="480" t="s">
        <v>253</v>
      </c>
      <c r="K28" s="481"/>
      <c r="L28" s="481"/>
      <c r="M28" s="481"/>
      <c r="N28" s="91">
        <f>+SUM(N8:N27)</f>
        <v>260159.13333333336</v>
      </c>
    </row>
    <row r="29" spans="1:14" x14ac:dyDescent="0.3">
      <c r="A29" s="9"/>
      <c r="C29" s="480" t="s">
        <v>61</v>
      </c>
      <c r="D29" s="481"/>
      <c r="E29" s="482">
        <v>0</v>
      </c>
      <c r="F29" s="482"/>
      <c r="G29" s="158">
        <f>+E29*G28</f>
        <v>0</v>
      </c>
      <c r="J29" s="480" t="s">
        <v>61</v>
      </c>
      <c r="K29" s="481"/>
      <c r="L29" s="497">
        <v>0</v>
      </c>
      <c r="M29" s="497"/>
      <c r="N29" s="87">
        <f>+L29*N28</f>
        <v>0</v>
      </c>
    </row>
    <row r="30" spans="1:14" ht="17.25" thickBot="1" x14ac:dyDescent="0.35">
      <c r="A30" s="9"/>
      <c r="C30" s="483" t="s">
        <v>254</v>
      </c>
      <c r="D30" s="484"/>
      <c r="E30" s="484"/>
      <c r="F30" s="484"/>
      <c r="G30" s="159">
        <f>+G29+G28</f>
        <v>220409.16666666669</v>
      </c>
      <c r="J30" s="483" t="s">
        <v>254</v>
      </c>
      <c r="K30" s="484"/>
      <c r="L30" s="484"/>
      <c r="M30" s="484"/>
      <c r="N30" s="90">
        <f>+N29+N28</f>
        <v>260159.13333333336</v>
      </c>
    </row>
    <row r="31" spans="1:14" ht="17.25" thickBot="1" x14ac:dyDescent="0.35">
      <c r="A31" s="6"/>
      <c r="B31" s="7"/>
      <c r="C31" s="7"/>
      <c r="D31" s="7"/>
      <c r="E31" s="7"/>
      <c r="F31" s="7"/>
      <c r="G31" s="7"/>
      <c r="H31" s="7"/>
      <c r="I31" s="7"/>
      <c r="J31" s="7"/>
      <c r="K31" s="7"/>
      <c r="L31" s="7"/>
      <c r="M31" s="7"/>
      <c r="N31" s="8"/>
    </row>
    <row r="32" spans="1:14" ht="17.25" thickBot="1" x14ac:dyDescent="0.35">
      <c r="A32" s="9"/>
      <c r="C32" s="501" t="s">
        <v>203</v>
      </c>
      <c r="D32" s="502"/>
      <c r="E32" s="502"/>
      <c r="F32" s="503"/>
      <c r="I32" s="501" t="s">
        <v>202</v>
      </c>
      <c r="J32" s="502"/>
      <c r="K32" s="502"/>
      <c r="L32" s="503"/>
      <c r="N32" s="11"/>
    </row>
    <row r="33" spans="1:14" x14ac:dyDescent="0.3">
      <c r="A33" s="9"/>
      <c r="C33" s="478"/>
      <c r="D33" s="479"/>
      <c r="E33" s="200" t="s">
        <v>255</v>
      </c>
      <c r="F33" s="201" t="s">
        <v>256</v>
      </c>
      <c r="I33" s="478"/>
      <c r="J33" s="479"/>
      <c r="K33" s="200" t="s">
        <v>255</v>
      </c>
      <c r="L33" s="201" t="s">
        <v>256</v>
      </c>
      <c r="N33" s="11"/>
    </row>
    <row r="34" spans="1:14" ht="28.15" customHeight="1" x14ac:dyDescent="0.3">
      <c r="A34" s="9"/>
      <c r="C34" s="476" t="s">
        <v>257</v>
      </c>
      <c r="D34" s="477"/>
      <c r="E34" s="189" t="s">
        <v>200</v>
      </c>
      <c r="F34" s="190"/>
      <c r="I34" s="476" t="s">
        <v>257</v>
      </c>
      <c r="J34" s="477"/>
      <c r="K34" s="127" t="s">
        <v>200</v>
      </c>
      <c r="L34" s="190"/>
      <c r="N34" s="11"/>
    </row>
    <row r="35" spans="1:14" ht="28.15" customHeight="1" x14ac:dyDescent="0.3">
      <c r="A35" s="9"/>
      <c r="C35" s="476" t="s">
        <v>258</v>
      </c>
      <c r="D35" s="477"/>
      <c r="E35" s="189" t="s">
        <v>200</v>
      </c>
      <c r="F35" s="190">
        <v>20000</v>
      </c>
      <c r="I35" s="476" t="s">
        <v>258</v>
      </c>
      <c r="J35" s="477"/>
      <c r="K35" s="127" t="s">
        <v>200</v>
      </c>
      <c r="L35" s="190">
        <v>20000</v>
      </c>
      <c r="N35" s="11"/>
    </row>
    <row r="36" spans="1:14" x14ac:dyDescent="0.3">
      <c r="A36" s="9"/>
      <c r="C36" s="9"/>
      <c r="F36" s="11"/>
      <c r="I36" s="9"/>
      <c r="L36" s="11"/>
      <c r="N36" s="11"/>
    </row>
    <row r="37" spans="1:14" x14ac:dyDescent="0.3">
      <c r="A37" s="9"/>
      <c r="C37" s="472" t="s">
        <v>62</v>
      </c>
      <c r="D37" s="473"/>
      <c r="E37" s="473"/>
      <c r="F37" s="11"/>
      <c r="I37" s="472" t="s">
        <v>62</v>
      </c>
      <c r="J37" s="473"/>
      <c r="K37" s="473"/>
      <c r="L37" s="11"/>
      <c r="N37" s="11"/>
    </row>
    <row r="38" spans="1:14" x14ac:dyDescent="0.3">
      <c r="A38" s="9"/>
      <c r="C38" s="37" t="s">
        <v>59</v>
      </c>
      <c r="D38" s="38" t="s">
        <v>64</v>
      </c>
      <c r="E38" s="38" t="s">
        <v>5</v>
      </c>
      <c r="F38" s="11"/>
      <c r="I38" s="37" t="s">
        <v>59</v>
      </c>
      <c r="J38" s="38" t="s">
        <v>64</v>
      </c>
      <c r="K38" s="38" t="s">
        <v>5</v>
      </c>
      <c r="L38" s="11"/>
      <c r="N38" s="11"/>
    </row>
    <row r="39" spans="1:14" x14ac:dyDescent="0.3">
      <c r="A39" s="9"/>
      <c r="C39" s="27" t="s">
        <v>259</v>
      </c>
      <c r="D39" s="184">
        <f>+IF(E34="NO","0",F34)</f>
        <v>0</v>
      </c>
      <c r="E39" s="23">
        <f>+D39*30</f>
        <v>0</v>
      </c>
      <c r="F39" s="11"/>
      <c r="I39" s="27" t="s">
        <v>259</v>
      </c>
      <c r="J39" s="184">
        <f>+IF(K34="NO","0",L34)</f>
        <v>0</v>
      </c>
      <c r="K39" s="23">
        <f>+J39*30</f>
        <v>0</v>
      </c>
      <c r="L39" s="11"/>
      <c r="N39" s="11"/>
    </row>
    <row r="40" spans="1:14" x14ac:dyDescent="0.3">
      <c r="A40" s="9"/>
      <c r="C40" s="27" t="s">
        <v>260</v>
      </c>
      <c r="D40" s="184">
        <f>+IF(E35="NO","0",F35)</f>
        <v>20000</v>
      </c>
      <c r="E40" s="23">
        <f>+D40*30</f>
        <v>600000</v>
      </c>
      <c r="F40" s="11"/>
      <c r="I40" s="27" t="s">
        <v>260</v>
      </c>
      <c r="J40" s="184">
        <f>+IF(K35="NO","0",L35)</f>
        <v>20000</v>
      </c>
      <c r="K40" s="23">
        <f>+J40*30</f>
        <v>600000</v>
      </c>
      <c r="L40" s="11"/>
      <c r="N40" s="11"/>
    </row>
    <row r="41" spans="1:14" x14ac:dyDescent="0.3">
      <c r="A41" s="9"/>
      <c r="C41" s="27" t="s">
        <v>261</v>
      </c>
      <c r="D41" s="184">
        <f>+IF(E36="NO","0",F36)</f>
        <v>0</v>
      </c>
      <c r="E41" s="23">
        <f>+D41*30</f>
        <v>0</v>
      </c>
      <c r="F41" s="11"/>
      <c r="I41" s="27" t="s">
        <v>261</v>
      </c>
      <c r="J41" s="184">
        <f>+IF(K36="NO","0",L36)</f>
        <v>0</v>
      </c>
      <c r="K41" s="23">
        <f>+J41*30</f>
        <v>0</v>
      </c>
      <c r="L41" s="11"/>
      <c r="N41" s="11"/>
    </row>
    <row r="42" spans="1:14" x14ac:dyDescent="0.3">
      <c r="A42" s="9"/>
      <c r="C42" s="510" t="s">
        <v>262</v>
      </c>
      <c r="D42" s="475"/>
      <c r="E42" s="23">
        <f>+E40+E39</f>
        <v>600000</v>
      </c>
      <c r="F42" s="11"/>
      <c r="I42" s="510" t="s">
        <v>262</v>
      </c>
      <c r="J42" s="475"/>
      <c r="K42" s="23">
        <f>+K40+K39</f>
        <v>600000</v>
      </c>
      <c r="L42" s="11"/>
      <c r="N42" s="11"/>
    </row>
    <row r="43" spans="1:14" ht="17.25" thickBot="1" x14ac:dyDescent="0.35">
      <c r="A43" s="9"/>
      <c r="C43" s="35" t="s">
        <v>66</v>
      </c>
      <c r="D43" s="191">
        <v>0</v>
      </c>
      <c r="E43" s="23">
        <f>D43*E42</f>
        <v>0</v>
      </c>
      <c r="F43" s="11"/>
      <c r="I43" s="35" t="s">
        <v>66</v>
      </c>
      <c r="J43" s="191">
        <v>0</v>
      </c>
      <c r="K43" s="23">
        <f>J43*K42</f>
        <v>0</v>
      </c>
      <c r="L43" s="11"/>
      <c r="N43" s="11"/>
    </row>
    <row r="44" spans="1:14" ht="17.25" thickBot="1" x14ac:dyDescent="0.35">
      <c r="A44" s="9"/>
      <c r="C44" s="470" t="s">
        <v>263</v>
      </c>
      <c r="D44" s="471"/>
      <c r="E44" s="34">
        <f>+E43+E42</f>
        <v>600000</v>
      </c>
      <c r="F44" s="14"/>
      <c r="I44" s="470" t="s">
        <v>263</v>
      </c>
      <c r="J44" s="471"/>
      <c r="K44" s="34">
        <f>+K43+K42</f>
        <v>600000</v>
      </c>
      <c r="L44" s="14"/>
      <c r="N44" s="11"/>
    </row>
    <row r="45" spans="1:14" x14ac:dyDescent="0.3">
      <c r="A45" s="9"/>
      <c r="N45" s="11"/>
    </row>
    <row r="46" spans="1:14" ht="17.25" thickBot="1" x14ac:dyDescent="0.35">
      <c r="A46" s="15"/>
      <c r="B46" s="13"/>
      <c r="C46" s="13"/>
      <c r="D46" s="13"/>
      <c r="E46" s="13"/>
      <c r="F46" s="13"/>
      <c r="G46" s="13"/>
      <c r="H46" s="13"/>
      <c r="I46" s="13"/>
      <c r="J46" s="13"/>
      <c r="K46" s="13"/>
      <c r="L46" s="13"/>
      <c r="M46" s="13"/>
      <c r="N46" s="14"/>
    </row>
    <row r="47" spans="1:14" x14ac:dyDescent="0.3">
      <c r="A47" s="6"/>
      <c r="B47" s="7"/>
      <c r="C47" s="7"/>
      <c r="D47" s="7"/>
      <c r="E47" s="7"/>
      <c r="F47" s="7"/>
      <c r="G47" s="7"/>
      <c r="H47" s="7"/>
      <c r="I47" s="7"/>
      <c r="J47" s="7"/>
      <c r="K47" s="7"/>
      <c r="L47" s="7"/>
      <c r="M47" s="7"/>
      <c r="N47" s="8"/>
    </row>
    <row r="48" spans="1:14" x14ac:dyDescent="0.3">
      <c r="A48" s="9"/>
      <c r="C48" s="472" t="s">
        <v>264</v>
      </c>
      <c r="D48" s="473"/>
      <c r="E48" s="473"/>
      <c r="N48" s="11"/>
    </row>
    <row r="49" spans="1:14" x14ac:dyDescent="0.3">
      <c r="A49" s="9"/>
      <c r="C49" s="36" t="s">
        <v>59</v>
      </c>
      <c r="D49" s="202" t="s">
        <v>250</v>
      </c>
      <c r="E49" s="173" t="s">
        <v>85</v>
      </c>
      <c r="N49" s="11"/>
    </row>
    <row r="50" spans="1:14" x14ac:dyDescent="0.3">
      <c r="A50" s="9"/>
      <c r="C50" s="183" t="s">
        <v>586</v>
      </c>
      <c r="D50" s="184">
        <v>80180</v>
      </c>
      <c r="E50" s="23">
        <f>+D50/DURCION_PROYECTO</f>
        <v>26726.666666666668</v>
      </c>
      <c r="N50" s="11"/>
    </row>
    <row r="51" spans="1:14" x14ac:dyDescent="0.3">
      <c r="A51" s="9"/>
      <c r="C51" s="183"/>
      <c r="D51" s="184"/>
      <c r="E51" s="23">
        <f>+D51/DURCION_PROYECTO</f>
        <v>0</v>
      </c>
      <c r="N51" s="11"/>
    </row>
    <row r="52" spans="1:14" x14ac:dyDescent="0.3">
      <c r="A52" s="9"/>
      <c r="C52" s="183"/>
      <c r="D52" s="184"/>
      <c r="E52" s="23">
        <f>+D52/DURCION_PROYECTO</f>
        <v>0</v>
      </c>
      <c r="N52" s="11"/>
    </row>
    <row r="53" spans="1:14" x14ac:dyDescent="0.3">
      <c r="A53" s="9"/>
      <c r="C53" s="183"/>
      <c r="D53" s="184"/>
      <c r="E53" s="23">
        <f>+D53/DURCION_PROYECTO</f>
        <v>0</v>
      </c>
      <c r="N53" s="11"/>
    </row>
    <row r="54" spans="1:14" x14ac:dyDescent="0.3">
      <c r="A54" s="9"/>
      <c r="C54" s="183"/>
      <c r="D54" s="184"/>
      <c r="E54" s="23">
        <f>+D54/DURCION_PROYECTO</f>
        <v>0</v>
      </c>
      <c r="N54" s="11"/>
    </row>
    <row r="55" spans="1:14" x14ac:dyDescent="0.3">
      <c r="A55" s="9"/>
      <c r="C55" s="475" t="s">
        <v>85</v>
      </c>
      <c r="D55" s="475"/>
      <c r="E55" s="23">
        <f>+SUM(E50:E54)</f>
        <v>26726.666666666668</v>
      </c>
      <c r="N55" s="11"/>
    </row>
    <row r="56" spans="1:14" ht="17.25" thickBot="1" x14ac:dyDescent="0.35">
      <c r="A56" s="9"/>
      <c r="C56" s="3" t="s">
        <v>61</v>
      </c>
      <c r="D56" s="22"/>
      <c r="E56" s="23">
        <f>+E55*D56</f>
        <v>0</v>
      </c>
      <c r="N56" s="11"/>
    </row>
    <row r="57" spans="1:14" ht="17.25" thickBot="1" x14ac:dyDescent="0.35">
      <c r="A57" s="9"/>
      <c r="C57" s="470" t="s">
        <v>265</v>
      </c>
      <c r="D57" s="471"/>
      <c r="E57" s="23">
        <f>+E56+E55</f>
        <v>26726.666666666668</v>
      </c>
      <c r="N57" s="11"/>
    </row>
    <row r="58" spans="1:14" ht="17.25" thickBot="1" x14ac:dyDescent="0.35">
      <c r="A58" s="15"/>
      <c r="B58" s="13"/>
      <c r="C58" s="13"/>
      <c r="D58" s="13"/>
      <c r="E58" s="13"/>
      <c r="F58" s="13"/>
      <c r="G58" s="13"/>
      <c r="H58" s="13"/>
      <c r="I58" s="13"/>
      <c r="J58" s="13"/>
      <c r="K58" s="13"/>
      <c r="L58" s="13"/>
      <c r="M58" s="13"/>
      <c r="N58" s="14"/>
    </row>
    <row r="59" spans="1:14" x14ac:dyDescent="0.3">
      <c r="A59" s="6"/>
      <c r="B59" s="7"/>
      <c r="C59" s="7"/>
      <c r="D59" s="7"/>
      <c r="E59" s="7"/>
      <c r="F59" s="7"/>
      <c r="G59" s="7"/>
      <c r="H59" s="7"/>
      <c r="I59" s="7"/>
      <c r="J59" s="7"/>
      <c r="K59" s="7"/>
      <c r="L59" s="7"/>
      <c r="M59" s="7"/>
      <c r="N59" s="8"/>
    </row>
    <row r="60" spans="1:14" x14ac:dyDescent="0.3">
      <c r="A60" s="9"/>
      <c r="N60" s="11"/>
    </row>
    <row r="61" spans="1:14" x14ac:dyDescent="0.3">
      <c r="A61" s="9"/>
      <c r="C61" s="473" t="s">
        <v>67</v>
      </c>
      <c r="D61" s="473"/>
      <c r="N61" s="11"/>
    </row>
    <row r="62" spans="1:14" x14ac:dyDescent="0.3">
      <c r="A62" s="9"/>
      <c r="C62" s="3" t="s">
        <v>213</v>
      </c>
      <c r="D62" s="192">
        <v>8.3299999999999999E-2</v>
      </c>
      <c r="N62" s="11"/>
    </row>
    <row r="63" spans="1:14" x14ac:dyDescent="0.3">
      <c r="A63" s="9"/>
      <c r="C63" s="3" t="s">
        <v>214</v>
      </c>
      <c r="D63" s="192">
        <v>0.01</v>
      </c>
      <c r="N63" s="11"/>
    </row>
    <row r="64" spans="1:14" x14ac:dyDescent="0.3">
      <c r="A64" s="9"/>
      <c r="C64" s="3" t="s">
        <v>215</v>
      </c>
      <c r="D64" s="192">
        <v>8.3299999999999999E-2</v>
      </c>
      <c r="N64" s="11"/>
    </row>
    <row r="65" spans="1:14" x14ac:dyDescent="0.3">
      <c r="A65" s="9"/>
      <c r="C65" s="3" t="s">
        <v>216</v>
      </c>
      <c r="D65" s="192">
        <v>4.1700000000000001E-2</v>
      </c>
      <c r="N65" s="11"/>
    </row>
    <row r="66" spans="1:14" x14ac:dyDescent="0.3">
      <c r="A66" s="9"/>
      <c r="C66" s="3" t="s">
        <v>217</v>
      </c>
      <c r="D66" s="192">
        <v>0.02</v>
      </c>
      <c r="N66" s="11"/>
    </row>
    <row r="67" spans="1:14" x14ac:dyDescent="0.3">
      <c r="A67" s="9"/>
      <c r="C67" s="3" t="s">
        <v>218</v>
      </c>
      <c r="D67" s="192">
        <v>0.03</v>
      </c>
      <c r="N67" s="11"/>
    </row>
    <row r="68" spans="1:14" x14ac:dyDescent="0.3">
      <c r="A68" s="9"/>
      <c r="C68" s="3" t="s">
        <v>219</v>
      </c>
      <c r="D68" s="192">
        <v>0.04</v>
      </c>
      <c r="N68" s="11"/>
    </row>
    <row r="69" spans="1:14" x14ac:dyDescent="0.3">
      <c r="A69" s="9"/>
      <c r="C69" s="3" t="s">
        <v>220</v>
      </c>
      <c r="D69" s="192">
        <v>8.5000000000000006E-2</v>
      </c>
      <c r="N69" s="11"/>
    </row>
    <row r="70" spans="1:14" x14ac:dyDescent="0.3">
      <c r="A70" s="9"/>
      <c r="C70" s="3" t="s">
        <v>221</v>
      </c>
      <c r="D70" s="192">
        <v>3.7499999999999999E-3</v>
      </c>
      <c r="N70" s="11"/>
    </row>
    <row r="71" spans="1:14" x14ac:dyDescent="0.3">
      <c r="A71" s="9"/>
      <c r="C71" s="3" t="s">
        <v>222</v>
      </c>
      <c r="D71" s="192">
        <v>8.3899999999999999E-3</v>
      </c>
      <c r="N71" s="11"/>
    </row>
    <row r="72" spans="1:14" x14ac:dyDescent="0.3">
      <c r="A72" s="9"/>
      <c r="C72" s="3" t="s">
        <v>223</v>
      </c>
      <c r="D72" s="192">
        <v>0.16</v>
      </c>
      <c r="N72" s="11"/>
    </row>
    <row r="73" spans="1:14" x14ac:dyDescent="0.3">
      <c r="A73" s="9"/>
      <c r="C73" s="3" t="s">
        <v>224</v>
      </c>
      <c r="D73" s="192">
        <v>6.9599999999999995E-2</v>
      </c>
      <c r="N73" s="11"/>
    </row>
    <row r="74" spans="1:14" x14ac:dyDescent="0.3">
      <c r="A74" s="9"/>
      <c r="C74" s="3" t="s">
        <v>225</v>
      </c>
      <c r="D74" s="192">
        <v>1.6000000000000001E-4</v>
      </c>
      <c r="N74" s="11"/>
    </row>
    <row r="75" spans="1:14" x14ac:dyDescent="0.3">
      <c r="A75" s="9"/>
      <c r="C75" s="20" t="s">
        <v>47</v>
      </c>
      <c r="D75" s="22">
        <f>+SUM(D62:D74)</f>
        <v>0.63519999999999999</v>
      </c>
      <c r="N75" s="11"/>
    </row>
    <row r="76" spans="1:14" ht="17.25" thickBot="1" x14ac:dyDescent="0.35">
      <c r="A76" s="15"/>
      <c r="B76" s="13"/>
      <c r="C76" s="13"/>
      <c r="D76" s="13"/>
      <c r="E76" s="13"/>
      <c r="F76" s="13"/>
      <c r="G76" s="13"/>
      <c r="H76" s="13"/>
      <c r="I76" s="13"/>
      <c r="J76" s="13"/>
      <c r="K76" s="13"/>
      <c r="L76" s="13"/>
      <c r="M76" s="13"/>
      <c r="N76" s="14"/>
    </row>
    <row r="77" spans="1:14" ht="17.25" thickBot="1" x14ac:dyDescent="0.35">
      <c r="A77" s="6"/>
      <c r="B77" s="7"/>
      <c r="C77" s="7"/>
      <c r="D77" s="7"/>
      <c r="E77" s="7"/>
      <c r="F77" s="7"/>
      <c r="G77" s="7"/>
      <c r="H77" s="7"/>
      <c r="I77" s="7"/>
      <c r="J77" s="7"/>
      <c r="K77" s="7"/>
      <c r="L77" s="7"/>
      <c r="M77" s="7"/>
      <c r="N77" s="8"/>
    </row>
    <row r="78" spans="1:14" x14ac:dyDescent="0.3">
      <c r="A78" s="9"/>
      <c r="C78" s="504" t="s">
        <v>204</v>
      </c>
      <c r="D78" s="505"/>
      <c r="E78" s="506"/>
      <c r="I78" s="507" t="s">
        <v>205</v>
      </c>
      <c r="J78" s="508"/>
      <c r="K78" s="509"/>
      <c r="N78" s="11"/>
    </row>
    <row r="79" spans="1:14" x14ac:dyDescent="0.3">
      <c r="A79" s="9"/>
      <c r="C79" s="472" t="s">
        <v>110</v>
      </c>
      <c r="D79" s="473"/>
      <c r="E79" s="474"/>
      <c r="I79" s="472" t="s">
        <v>110</v>
      </c>
      <c r="J79" s="473"/>
      <c r="K79" s="474"/>
      <c r="N79" s="11"/>
    </row>
    <row r="80" spans="1:14" ht="29.65" customHeight="1" x14ac:dyDescent="0.3">
      <c r="A80" s="9"/>
      <c r="C80" s="198" t="s">
        <v>69</v>
      </c>
      <c r="D80" s="42" t="s">
        <v>70</v>
      </c>
      <c r="E80" s="199" t="s">
        <v>71</v>
      </c>
      <c r="I80" s="154" t="s">
        <v>69</v>
      </c>
      <c r="J80" s="21" t="s">
        <v>70</v>
      </c>
      <c r="K80" s="155" t="s">
        <v>71</v>
      </c>
      <c r="N80" s="11"/>
    </row>
    <row r="81" spans="1:14" x14ac:dyDescent="0.3">
      <c r="A81" s="9"/>
      <c r="C81" s="193" t="s">
        <v>189</v>
      </c>
      <c r="D81" s="194"/>
      <c r="E81" s="195">
        <f>+D81/DURCION_PROYECTO</f>
        <v>0</v>
      </c>
      <c r="I81" s="27" t="s">
        <v>189</v>
      </c>
      <c r="J81" s="23"/>
      <c r="K81" s="26"/>
      <c r="N81" s="11"/>
    </row>
    <row r="82" spans="1:14" x14ac:dyDescent="0.3">
      <c r="A82" s="9"/>
      <c r="C82" s="193" t="s">
        <v>190</v>
      </c>
      <c r="D82" s="194"/>
      <c r="E82" s="195"/>
      <c r="I82" s="27" t="s">
        <v>190</v>
      </c>
      <c r="J82" s="23"/>
      <c r="K82" s="195"/>
      <c r="N82" s="11"/>
    </row>
    <row r="83" spans="1:14" ht="17.25" thickBot="1" x14ac:dyDescent="0.35">
      <c r="A83" s="9"/>
      <c r="C83" s="27"/>
      <c r="D83" s="23"/>
      <c r="E83" s="196">
        <f>+D83/DURCION_PROYECTO</f>
        <v>0</v>
      </c>
      <c r="I83" s="27"/>
      <c r="J83" s="23"/>
      <c r="K83" s="26">
        <f>+J83/DURCION_PROYECTO</f>
        <v>0</v>
      </c>
      <c r="N83" s="11"/>
    </row>
    <row r="84" spans="1:14" ht="17.25" thickBot="1" x14ac:dyDescent="0.35">
      <c r="A84" s="9"/>
      <c r="C84" s="470" t="s">
        <v>72</v>
      </c>
      <c r="D84" s="471"/>
      <c r="E84" s="197">
        <f>+SUM(E81:E83)</f>
        <v>0</v>
      </c>
      <c r="I84" s="470" t="s">
        <v>72</v>
      </c>
      <c r="J84" s="471"/>
      <c r="K84" s="89">
        <f>+SUM(K81:K83)</f>
        <v>0</v>
      </c>
      <c r="N84" s="11"/>
    </row>
    <row r="85" spans="1:14" ht="17.25" thickBot="1" x14ac:dyDescent="0.35">
      <c r="A85" s="15"/>
      <c r="B85" s="13"/>
      <c r="C85" s="13"/>
      <c r="D85" s="13"/>
      <c r="E85" s="13"/>
      <c r="F85" s="13"/>
      <c r="G85" s="13"/>
      <c r="H85" s="13"/>
      <c r="I85" s="13"/>
      <c r="J85" s="13"/>
      <c r="K85" s="13"/>
      <c r="L85" s="13"/>
      <c r="M85" s="13"/>
      <c r="N85" s="14"/>
    </row>
    <row r="86" spans="1:14" ht="17.25" thickBot="1" x14ac:dyDescent="0.35">
      <c r="N86" s="11"/>
    </row>
    <row r="87" spans="1:14" ht="26.25" x14ac:dyDescent="0.45">
      <c r="C87" s="156" t="s">
        <v>206</v>
      </c>
      <c r="D87" s="466" t="s">
        <v>207</v>
      </c>
      <c r="E87" s="467"/>
      <c r="N87" s="11"/>
    </row>
    <row r="88" spans="1:14" ht="27" thickBot="1" x14ac:dyDescent="0.5">
      <c r="C88" s="157">
        <f>+EPP_AYUDANTES+ALOJA_ALIME+EXAMENES_MEDICO+DESCUENTOS_LEGALES+TRANSPORTE</f>
        <v>847136.46853333339</v>
      </c>
      <c r="D88" s="468">
        <f>+TRANSPORTE_NO_OPERATIVOS+DESCUENTOS_LEGALES+EXAMENES_MEDICO+ALOJAMIENTO_NO_OPERATIVOS+EPP_ADMINISTRATIVOS</f>
        <v>886886.43519999995</v>
      </c>
      <c r="E88" s="469"/>
      <c r="N88" s="11"/>
    </row>
    <row r="89" spans="1:14" x14ac:dyDescent="0.3">
      <c r="N89" s="11"/>
    </row>
    <row r="90" spans="1:14" ht="17.25" thickBot="1" x14ac:dyDescent="0.35">
      <c r="B90" s="13"/>
      <c r="C90" s="13"/>
      <c r="D90" s="13"/>
      <c r="E90" s="13"/>
      <c r="F90" s="13"/>
      <c r="G90" s="13"/>
      <c r="I90" s="13"/>
      <c r="J90" s="13"/>
      <c r="K90" s="13"/>
      <c r="L90" s="13"/>
      <c r="M90" s="13"/>
      <c r="N90" s="14"/>
    </row>
  </sheetData>
  <mergeCells count="40">
    <mergeCell ref="I44:J44"/>
    <mergeCell ref="I32:L32"/>
    <mergeCell ref="C32:F32"/>
    <mergeCell ref="I79:K79"/>
    <mergeCell ref="I84:J84"/>
    <mergeCell ref="C78:E78"/>
    <mergeCell ref="I78:K78"/>
    <mergeCell ref="C42:D42"/>
    <mergeCell ref="I34:J34"/>
    <mergeCell ref="I35:J35"/>
    <mergeCell ref="I37:K37"/>
    <mergeCell ref="I42:J42"/>
    <mergeCell ref="C44:D44"/>
    <mergeCell ref="C61:D61"/>
    <mergeCell ref="C37:E37"/>
    <mergeCell ref="C34:D34"/>
    <mergeCell ref="B1:N1"/>
    <mergeCell ref="B2:N2"/>
    <mergeCell ref="B3:N3"/>
    <mergeCell ref="A4:N5"/>
    <mergeCell ref="I33:J33"/>
    <mergeCell ref="I6:N6"/>
    <mergeCell ref="J28:M28"/>
    <mergeCell ref="J29:K29"/>
    <mergeCell ref="L29:M29"/>
    <mergeCell ref="J30:M30"/>
    <mergeCell ref="B6:G6"/>
    <mergeCell ref="C28:F28"/>
    <mergeCell ref="C35:D35"/>
    <mergeCell ref="C33:D33"/>
    <mergeCell ref="C29:D29"/>
    <mergeCell ref="E29:F29"/>
    <mergeCell ref="C30:F30"/>
    <mergeCell ref="D87:E87"/>
    <mergeCell ref="D88:E88"/>
    <mergeCell ref="C84:D84"/>
    <mergeCell ref="C79:E79"/>
    <mergeCell ref="C48:E48"/>
    <mergeCell ref="C55:D55"/>
    <mergeCell ref="C57:D57"/>
  </mergeCells>
  <phoneticPr fontId="42" type="noConversion"/>
  <dataValidations count="1">
    <dataValidation type="list" allowBlank="1" showInputMessage="1" showErrorMessage="1" sqref="E34:E35 K34:K35" xr:uid="{20B1A55D-0581-4704-8846-216914B1CA0A}">
      <formula1>"SI,NO"</formula1>
    </dataValidation>
  </dataValidations>
  <pageMargins left="0.7" right="0.7" top="0.75" bottom="0.75" header="0.3" footer="0.3"/>
  <pageSetup scale="22" orientation="portrait" r:id="rId1"/>
  <colBreaks count="1" manualBreakCount="1">
    <brk id="14" max="1048575" man="1"/>
  </colBreaks>
  <drawing r:id="rId2"/>
  <legacyDrawing r:id="rId3"/>
  <tableParts count="2">
    <tablePart r:id="rId4"/>
    <tablePart r:id="rId5"/>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E388D-4C6D-4929-B440-549CCD2DC36F}">
  <sheetPr codeName="Hoja5">
    <tabColor theme="9" tint="0.39997558519241921"/>
  </sheetPr>
  <dimension ref="A1:P44"/>
  <sheetViews>
    <sheetView showGridLines="0" view="pageBreakPreview" zoomScale="83" zoomScaleNormal="40" zoomScaleSheetLayoutView="40" workbookViewId="0">
      <pane ySplit="4" topLeftCell="A24" activePane="bottomLeft" state="frozen"/>
      <selection pane="bottomLeft" activeCell="C39" sqref="C39:E39"/>
    </sheetView>
  </sheetViews>
  <sheetFormatPr defaultColWidth="11" defaultRowHeight="16.5" x14ac:dyDescent="0.3"/>
  <cols>
    <col min="1" max="1" width="43.375" bestFit="1" customWidth="1"/>
    <col min="2" max="2" width="15.125" bestFit="1" customWidth="1"/>
    <col min="3" max="3" width="19.625" bestFit="1" customWidth="1"/>
    <col min="4" max="4" width="19.625" customWidth="1"/>
    <col min="5" max="5" width="19.375" bestFit="1" customWidth="1"/>
    <col min="6" max="6" width="23.375" bestFit="1" customWidth="1"/>
    <col min="7" max="7" width="44.625" bestFit="1" customWidth="1"/>
    <col min="8" max="8" width="37.375" bestFit="1" customWidth="1"/>
    <col min="9" max="9" width="24" bestFit="1" customWidth="1"/>
    <col min="10" max="10" width="32.375" bestFit="1" customWidth="1"/>
    <col min="11" max="11" width="35.125" bestFit="1" customWidth="1"/>
    <col min="12" max="12" width="34.375" bestFit="1" customWidth="1"/>
    <col min="13" max="13" width="55.375" bestFit="1" customWidth="1"/>
    <col min="14" max="14" width="35.125" bestFit="1" customWidth="1"/>
    <col min="15" max="15" width="22.75" bestFit="1" customWidth="1"/>
  </cols>
  <sheetData>
    <row r="1" spans="1:16" ht="47.25" customHeight="1" thickBot="1" x14ac:dyDescent="0.35">
      <c r="A1" s="278" t="s">
        <v>226</v>
      </c>
      <c r="B1" s="511" t="str">
        <f>NOMBRE_DEL_PROYECTO</f>
        <v>MYT ENERGY PARQUE FOTOVOLTAICO TEPUY 108 MW</v>
      </c>
      <c r="C1" s="512"/>
      <c r="D1" s="512"/>
      <c r="E1" s="512"/>
      <c r="F1" s="512"/>
      <c r="G1" s="512"/>
      <c r="H1" s="512"/>
      <c r="I1" s="512"/>
      <c r="J1" s="512"/>
      <c r="K1" s="513"/>
      <c r="O1" s="520" t="s">
        <v>201</v>
      </c>
      <c r="P1" s="145"/>
    </row>
    <row r="2" spans="1:16" ht="27" customHeight="1" thickBot="1" x14ac:dyDescent="0.35">
      <c r="A2" s="279" t="s">
        <v>231</v>
      </c>
      <c r="B2" s="514">
        <f ca="1">FECHA</f>
        <v>45726</v>
      </c>
      <c r="C2" s="515"/>
      <c r="D2" s="515"/>
      <c r="E2" s="515"/>
      <c r="F2" s="515"/>
      <c r="G2" s="515"/>
      <c r="H2" s="515"/>
      <c r="I2" s="515"/>
      <c r="J2" s="515"/>
      <c r="K2" s="516"/>
      <c r="O2" s="520"/>
      <c r="P2" s="145" t="s">
        <v>200</v>
      </c>
    </row>
    <row r="3" spans="1:16" ht="48" customHeight="1" thickBot="1" x14ac:dyDescent="0.35">
      <c r="A3" s="517" t="s">
        <v>131</v>
      </c>
      <c r="B3" s="518"/>
      <c r="C3" s="518"/>
      <c r="D3" s="518"/>
      <c r="E3" s="518"/>
      <c r="F3" s="518"/>
      <c r="G3" s="518"/>
      <c r="H3" s="518"/>
      <c r="I3" s="518"/>
      <c r="J3" s="518"/>
      <c r="K3" s="519"/>
      <c r="P3" s="145" t="s">
        <v>65</v>
      </c>
    </row>
    <row r="4" spans="1:16" ht="17.25" thickBot="1" x14ac:dyDescent="0.35">
      <c r="A4" t="s">
        <v>9</v>
      </c>
      <c r="B4" t="s">
        <v>10</v>
      </c>
      <c r="C4" t="s">
        <v>11</v>
      </c>
      <c r="D4" t="s">
        <v>590</v>
      </c>
      <c r="E4" t="s">
        <v>106</v>
      </c>
      <c r="F4" t="s">
        <v>103</v>
      </c>
      <c r="G4" s="163" t="s">
        <v>208</v>
      </c>
      <c r="H4" s="163" t="s">
        <v>209</v>
      </c>
      <c r="I4" s="163" t="s">
        <v>210</v>
      </c>
      <c r="J4" t="s">
        <v>104</v>
      </c>
      <c r="K4" t="s">
        <v>105</v>
      </c>
      <c r="L4" t="s">
        <v>12</v>
      </c>
      <c r="M4" t="s">
        <v>120</v>
      </c>
      <c r="N4" t="s">
        <v>13</v>
      </c>
      <c r="O4" t="s">
        <v>14</v>
      </c>
    </row>
    <row r="5" spans="1:16" ht="19.899999999999999" customHeight="1" x14ac:dyDescent="0.3">
      <c r="A5" s="269" t="s">
        <v>298</v>
      </c>
      <c r="B5" t="s">
        <v>184</v>
      </c>
      <c r="C5" s="272">
        <v>2700000</v>
      </c>
      <c r="D5" s="415" t="s">
        <v>200</v>
      </c>
      <c r="E5" s="273" t="s">
        <v>65</v>
      </c>
      <c r="F5" s="19">
        <f>IF(Tabla2[[#This Row],[ADMINISTRATIVO]]="","",+DESCUENTOS_LEGALES)</f>
        <v>0.63519999999999999</v>
      </c>
      <c r="G5" s="164">
        <f>IF(Tabla2[[#This Row],[V MENSUAL ]]="","",IF(PAIS="CHILE",(Tabla2[[#This Row],[V MENSUAL ]]/30)*2,0))</f>
        <v>0</v>
      </c>
      <c r="H5" s="164">
        <f>+IF(Tabla2[[#This Row],[V MENSUAL ]]="","",IF(PAIS="CHILE",(Tabla2[[#This Row],[V MENSUAL ]]/30)*1.5,0))</f>
        <v>0</v>
      </c>
      <c r="I5" s="164">
        <f>IF(Tabla2[[#This Row],[V MENSUAL ]]="","",IF(PAIS="CHILE",IF(Tabla2[[#This Row],[V MENSUAL ]]*0.25&gt;133396,133396,Tabla2[[#This Row],[V MENSUAL ]]*0.25),0))</f>
        <v>0</v>
      </c>
      <c r="J5" s="1">
        <f>IF(Tabla2[[#This Row],[LOCAL]]="SI",0,1500000)</f>
        <v>0</v>
      </c>
      <c r="K5" s="19">
        <f>IF(Tabla2[[#This Row],[ADMINISTRATIVO]]="","",Tabla2[[#This Row],[OTRAS OBLIGACIONES]]/Tabla2[[#This Row],[V MENSUAL ]])</f>
        <v>0</v>
      </c>
      <c r="L5" s="19">
        <f>IF(Tabla2[[#This Row],[ADMINISTRATIVO]]="","",1+Tabla2[[#This Row],[% OTRAS OBLIGACIONES]]+Tabla2[[#This Row],[DESCUENTOS LEGALES]])</f>
        <v>1.6352</v>
      </c>
      <c r="M5" s="1">
        <f>IF(Tabla2[[#This Row],[V MENSUAL ]]="","",IF(Tabla2[[#This Row],[FACTOR PRESTACIONAL]]="","",Tabla2[[#This Row],[V MENSUAL ]]*Tabla2[[#This Row],[FACTOR PRESTACIONAL]]))</f>
        <v>4415040</v>
      </c>
      <c r="N5" s="28">
        <v>110</v>
      </c>
      <c r="O5" s="1">
        <f>IF(Tabla2[[#This Row],[VALOR MES MAS FACTOR PRESTACIONAL ]]="","",IF(Tabla2[[#This Row],[HORAS TRABAJO AL MES]]="","",Tabla2[[#This Row],[VALOR MES MAS FACTOR PRESTACIONAL ]]/Tabla2[[#This Row],[HORAS TRABAJO AL MES]]))</f>
        <v>40136.727272727272</v>
      </c>
    </row>
    <row r="6" spans="1:16" ht="19.899999999999999" customHeight="1" x14ac:dyDescent="0.3">
      <c r="A6" s="270" t="s">
        <v>299</v>
      </c>
      <c r="B6" t="s">
        <v>184</v>
      </c>
      <c r="C6" s="274">
        <v>1500000</v>
      </c>
      <c r="D6" s="416" t="s">
        <v>200</v>
      </c>
      <c r="E6" s="275" t="s">
        <v>65</v>
      </c>
      <c r="F6" s="19">
        <f>IF(Tabla2[[#This Row],[ADMINISTRATIVO]]="","",+DESCUENTOS_LEGALES)</f>
        <v>0.63519999999999999</v>
      </c>
      <c r="G6" s="164">
        <f>IF(Tabla2[[#This Row],[V MENSUAL ]]="","",IF(PAIS="CHILE",(Tabla2[[#This Row],[V MENSUAL ]]/30)*2,0))</f>
        <v>0</v>
      </c>
      <c r="H6" s="164">
        <f>+IF(Tabla2[[#This Row],[V MENSUAL ]]="","",IF(PAIS="CHILE",(Tabla2[[#This Row],[V MENSUAL ]]/30)*1.5,0))</f>
        <v>0</v>
      </c>
      <c r="I6" s="164">
        <f>IF(Tabla2[[#This Row],[V MENSUAL ]]="","",IF(PAIS="CHILE",IF(Tabla2[[#This Row],[V MENSUAL ]]*0.25&gt;133396,133396,Tabla2[[#This Row],[V MENSUAL ]]*0.25),0))</f>
        <v>0</v>
      </c>
      <c r="J6" s="1">
        <f>IF(Tabla2[[#This Row],[LOCAL]]="SI",0,1500000)</f>
        <v>0</v>
      </c>
      <c r="K6" s="19">
        <f>IF(Tabla2[[#This Row],[ADMINISTRATIVO]]="","",Tabla2[[#This Row],[OTRAS OBLIGACIONES]]/Tabla2[[#This Row],[V MENSUAL ]])</f>
        <v>0</v>
      </c>
      <c r="L6" s="19">
        <f>IF(Tabla2[[#This Row],[ADMINISTRATIVO]]="","",1+Tabla2[[#This Row],[% OTRAS OBLIGACIONES]]+Tabla2[[#This Row],[DESCUENTOS LEGALES]])</f>
        <v>1.6352</v>
      </c>
      <c r="M6" s="1">
        <f>IF(Tabla2[[#This Row],[V MENSUAL ]]="","",IF(Tabla2[[#This Row],[FACTOR PRESTACIONAL]]="","",Tabla2[[#This Row],[V MENSUAL ]]*Tabla2[[#This Row],[FACTOR PRESTACIONAL]]))</f>
        <v>2452800</v>
      </c>
      <c r="N6" s="28">
        <v>110</v>
      </c>
      <c r="O6" s="1">
        <f>IF(Tabla2[[#This Row],[VALOR MES MAS FACTOR PRESTACIONAL ]]="","",IF(Tabla2[[#This Row],[HORAS TRABAJO AL MES]]="","",Tabla2[[#This Row],[VALOR MES MAS FACTOR PRESTACIONAL ]]/Tabla2[[#This Row],[HORAS TRABAJO AL MES]]))</f>
        <v>22298.18181818182</v>
      </c>
    </row>
    <row r="7" spans="1:16" ht="19.899999999999999" customHeight="1" x14ac:dyDescent="0.3">
      <c r="A7" s="270" t="s">
        <v>300</v>
      </c>
      <c r="B7" t="s">
        <v>184</v>
      </c>
      <c r="C7" s="274">
        <v>4000000</v>
      </c>
      <c r="D7" s="416" t="s">
        <v>65</v>
      </c>
      <c r="E7" s="275" t="s">
        <v>200</v>
      </c>
      <c r="F7" s="19">
        <f>IF(Tabla2[[#This Row],[ADMINISTRATIVO]]="","",+DESCUENTOS_LEGALES)</f>
        <v>0.63519999999999999</v>
      </c>
      <c r="G7" s="164">
        <f>IF(Tabla2[[#This Row],[V MENSUAL ]]="","",IF(PAIS="CHILE",(Tabla2[[#This Row],[V MENSUAL ]]/30)*2,0))</f>
        <v>0</v>
      </c>
      <c r="H7" s="164">
        <f>+IF(Tabla2[[#This Row],[V MENSUAL ]]="","",IF(PAIS="CHILE",(Tabla2[[#This Row],[V MENSUAL ]]/30)*1.5,0))</f>
        <v>0</v>
      </c>
      <c r="I7" s="164">
        <f>IF(Tabla2[[#This Row],[V MENSUAL ]]="","",IF(PAIS="CHILE",IF(Tabla2[[#This Row],[V MENSUAL ]]*0.25&gt;133396,133396,Tabla2[[#This Row],[V MENSUAL ]]*0.25),0))</f>
        <v>0</v>
      </c>
      <c r="J7" s="1">
        <f>IF(Tabla2[[#This Row],[LOCAL]]="SI",0,1500000)</f>
        <v>1500000</v>
      </c>
      <c r="K7" s="19">
        <f>IF(Tabla2[[#This Row],[ADMINISTRATIVO]]="","",Tabla2[[#This Row],[OTRAS OBLIGACIONES]]/Tabla2[[#This Row],[V MENSUAL ]])</f>
        <v>0.375</v>
      </c>
      <c r="L7" s="19">
        <f>IF(Tabla2[[#This Row],[ADMINISTRATIVO]]="","",1+Tabla2[[#This Row],[% OTRAS OBLIGACIONES]]+Tabla2[[#This Row],[DESCUENTOS LEGALES]])</f>
        <v>2.0102000000000002</v>
      </c>
      <c r="M7" s="1">
        <f>IF(Tabla2[[#This Row],[V MENSUAL ]]="","",IF(Tabla2[[#This Row],[FACTOR PRESTACIONAL]]="","",Tabla2[[#This Row],[V MENSUAL ]]*Tabla2[[#This Row],[FACTOR PRESTACIONAL]]))</f>
        <v>8040800.0000000009</v>
      </c>
      <c r="N7" s="28">
        <v>110</v>
      </c>
      <c r="O7" s="1">
        <f>IF(Tabla2[[#This Row],[VALOR MES MAS FACTOR PRESTACIONAL ]]="","",IF(Tabla2[[#This Row],[HORAS TRABAJO AL MES]]="","",Tabla2[[#This Row],[VALOR MES MAS FACTOR PRESTACIONAL ]]/Tabla2[[#This Row],[HORAS TRABAJO AL MES]]))</f>
        <v>73098.181818181823</v>
      </c>
    </row>
    <row r="8" spans="1:16" ht="19.899999999999999" customHeight="1" x14ac:dyDescent="0.3">
      <c r="A8" s="270" t="s">
        <v>301</v>
      </c>
      <c r="B8" t="s">
        <v>184</v>
      </c>
      <c r="C8" s="274">
        <v>10800000</v>
      </c>
      <c r="D8" s="416" t="s">
        <v>65</v>
      </c>
      <c r="E8" s="275" t="s">
        <v>200</v>
      </c>
      <c r="F8" s="19">
        <f>IF(Tabla2[[#This Row],[ADMINISTRATIVO]]="","",+DESCUENTOS_LEGALES)</f>
        <v>0.63519999999999999</v>
      </c>
      <c r="G8" s="164">
        <f>IF(Tabla2[[#This Row],[V MENSUAL ]]="","",IF(PAIS="CHILE",(Tabla2[[#This Row],[V MENSUAL ]]/30)*2,0))</f>
        <v>0</v>
      </c>
      <c r="H8" s="164">
        <f>+IF(Tabla2[[#This Row],[V MENSUAL ]]="","",IF(PAIS="CHILE",(Tabla2[[#This Row],[V MENSUAL ]]/30)*1.5,0))</f>
        <v>0</v>
      </c>
      <c r="I8" s="164">
        <f>IF(Tabla2[[#This Row],[V MENSUAL ]]="","",IF(PAIS="CHILE",IF(Tabla2[[#This Row],[V MENSUAL ]]*0.25&gt;133396,133396,Tabla2[[#This Row],[V MENSUAL ]]*0.25),0))</f>
        <v>0</v>
      </c>
      <c r="J8" s="1">
        <f>IF(Tabla2[[#This Row],[LOCAL]]="SI",0,1500000)</f>
        <v>1500000</v>
      </c>
      <c r="K8" s="19">
        <f>IF(Tabla2[[#This Row],[ADMINISTRATIVO]]="","",Tabla2[[#This Row],[OTRAS OBLIGACIONES]]/Tabla2[[#This Row],[V MENSUAL ]])</f>
        <v>0.1388888888888889</v>
      </c>
      <c r="L8" s="19">
        <f>IF(Tabla2[[#This Row],[ADMINISTRATIVO]]="","",1+Tabla2[[#This Row],[% OTRAS OBLIGACIONES]]+Tabla2[[#This Row],[DESCUENTOS LEGALES]])</f>
        <v>1.7740888888888888</v>
      </c>
      <c r="M8" s="1">
        <f>IF(Tabla2[[#This Row],[V MENSUAL ]]="","",IF(Tabla2[[#This Row],[FACTOR PRESTACIONAL]]="","",Tabla2[[#This Row],[V MENSUAL ]]*Tabla2[[#This Row],[FACTOR PRESTACIONAL]]))</f>
        <v>19160160</v>
      </c>
      <c r="N8" s="28">
        <v>110</v>
      </c>
      <c r="O8" s="1">
        <f>IF(Tabla2[[#This Row],[VALOR MES MAS FACTOR PRESTACIONAL ]]="","",IF(Tabla2[[#This Row],[HORAS TRABAJO AL MES]]="","",Tabla2[[#This Row],[VALOR MES MAS FACTOR PRESTACIONAL ]]/Tabla2[[#This Row],[HORAS TRABAJO AL MES]]))</f>
        <v>174183.27272727274</v>
      </c>
    </row>
    <row r="9" spans="1:16" ht="19.899999999999999" customHeight="1" x14ac:dyDescent="0.3">
      <c r="A9" s="270" t="s">
        <v>303</v>
      </c>
      <c r="B9" t="s">
        <v>184</v>
      </c>
      <c r="C9" s="274">
        <v>4000000</v>
      </c>
      <c r="D9" s="416" t="s">
        <v>65</v>
      </c>
      <c r="E9" s="275" t="s">
        <v>200</v>
      </c>
      <c r="F9" s="19">
        <f>IF(Tabla2[[#This Row],[ADMINISTRATIVO]]="","",+DESCUENTOS_LEGALES)</f>
        <v>0.63519999999999999</v>
      </c>
      <c r="G9" s="164">
        <f>IF(Tabla2[[#This Row],[V MENSUAL ]]="","",IF(PAIS="CHILE",(Tabla2[[#This Row],[V MENSUAL ]]/30)*2,0))</f>
        <v>0</v>
      </c>
      <c r="H9" s="164">
        <f>+IF(Tabla2[[#This Row],[V MENSUAL ]]="","",IF(PAIS="CHILE",(Tabla2[[#This Row],[V MENSUAL ]]/30)*1.5,0))</f>
        <v>0</v>
      </c>
      <c r="I9" s="164">
        <f>IF(Tabla2[[#This Row],[V MENSUAL ]]="","",IF(PAIS="CHILE",IF(Tabla2[[#This Row],[V MENSUAL ]]*0.25&gt;133396,133396,Tabla2[[#This Row],[V MENSUAL ]]*0.25),0))</f>
        <v>0</v>
      </c>
      <c r="J9" s="1">
        <f>IF(Tabla2[[#This Row],[LOCAL]]="SI",0,1500000)</f>
        <v>1500000</v>
      </c>
      <c r="K9" s="19">
        <f>IF(Tabla2[[#This Row],[ADMINISTRATIVO]]="","",Tabla2[[#This Row],[OTRAS OBLIGACIONES]]/Tabla2[[#This Row],[V MENSUAL ]])</f>
        <v>0.375</v>
      </c>
      <c r="L9" s="19">
        <f>IF(Tabla2[[#This Row],[ADMINISTRATIVO]]="","",1+Tabla2[[#This Row],[% OTRAS OBLIGACIONES]]+Tabla2[[#This Row],[DESCUENTOS LEGALES]])</f>
        <v>2.0102000000000002</v>
      </c>
      <c r="M9" s="1">
        <f>IF(Tabla2[[#This Row],[V MENSUAL ]]="","",IF(Tabla2[[#This Row],[FACTOR PRESTACIONAL]]="","",Tabla2[[#This Row],[V MENSUAL ]]*Tabla2[[#This Row],[FACTOR PRESTACIONAL]]))</f>
        <v>8040800.0000000009</v>
      </c>
      <c r="N9" s="28">
        <v>110</v>
      </c>
      <c r="O9" s="1">
        <f>IF(Tabla2[[#This Row],[VALOR MES MAS FACTOR PRESTACIONAL ]]="","",IF(Tabla2[[#This Row],[HORAS TRABAJO AL MES]]="","",Tabla2[[#This Row],[VALOR MES MAS FACTOR PRESTACIONAL ]]/Tabla2[[#This Row],[HORAS TRABAJO AL MES]]))</f>
        <v>73098.181818181823</v>
      </c>
    </row>
    <row r="10" spans="1:16" ht="19.899999999999999" customHeight="1" x14ac:dyDescent="0.3">
      <c r="A10" s="270" t="s">
        <v>304</v>
      </c>
      <c r="B10" t="s">
        <v>184</v>
      </c>
      <c r="C10" s="274">
        <v>1658800</v>
      </c>
      <c r="D10" s="416" t="s">
        <v>200</v>
      </c>
      <c r="E10" s="275" t="s">
        <v>65</v>
      </c>
      <c r="F10" s="19">
        <f>IF(Tabla2[[#This Row],[ADMINISTRATIVO]]="","",+DESCUENTOS_LEGALES)</f>
        <v>0.63519999999999999</v>
      </c>
      <c r="G10" s="164">
        <f>IF(Tabla2[[#This Row],[V MENSUAL ]]="","",IF(PAIS="CHILE",(Tabla2[[#This Row],[V MENSUAL ]]/30)*2,0))</f>
        <v>0</v>
      </c>
      <c r="H10" s="164">
        <f>+IF(Tabla2[[#This Row],[V MENSUAL ]]="","",IF(PAIS="CHILE",(Tabla2[[#This Row],[V MENSUAL ]]/30)*1.5,0))</f>
        <v>0</v>
      </c>
      <c r="I10" s="164">
        <f>IF(Tabla2[[#This Row],[V MENSUAL ]]="","",IF(PAIS="CHILE",IF(Tabla2[[#This Row],[V MENSUAL ]]*0.25&gt;133396,133396,Tabla2[[#This Row],[V MENSUAL ]]*0.25),0))</f>
        <v>0</v>
      </c>
      <c r="J10" s="1">
        <f>IF(Tabla2[[#This Row],[LOCAL]]="SI",0,1500000)</f>
        <v>0</v>
      </c>
      <c r="K10" s="19">
        <f>IF(Tabla2[[#This Row],[ADMINISTRATIVO]]="","",Tabla2[[#This Row],[OTRAS OBLIGACIONES]]/Tabla2[[#This Row],[V MENSUAL ]])</f>
        <v>0</v>
      </c>
      <c r="L10" s="19">
        <f>IF(Tabla2[[#This Row],[ADMINISTRATIVO]]="","",1+Tabla2[[#This Row],[% OTRAS OBLIGACIONES]]+Tabla2[[#This Row],[DESCUENTOS LEGALES]])</f>
        <v>1.6352</v>
      </c>
      <c r="M10" s="1">
        <f>IF(Tabla2[[#This Row],[V MENSUAL ]]="","",IF(Tabla2[[#This Row],[FACTOR PRESTACIONAL]]="","",Tabla2[[#This Row],[V MENSUAL ]]*Tabla2[[#This Row],[FACTOR PRESTACIONAL]]))</f>
        <v>2712469.76</v>
      </c>
      <c r="N10" s="28">
        <v>110</v>
      </c>
      <c r="O10" s="1">
        <f>IF(Tabla2[[#This Row],[VALOR MES MAS FACTOR PRESTACIONAL ]]="","",IF(Tabla2[[#This Row],[HORAS TRABAJO AL MES]]="","",Tabla2[[#This Row],[VALOR MES MAS FACTOR PRESTACIONAL ]]/Tabla2[[#This Row],[HORAS TRABAJO AL MES]]))</f>
        <v>24658.815999999999</v>
      </c>
    </row>
    <row r="11" spans="1:16" ht="19.899999999999999" customHeight="1" x14ac:dyDescent="0.3">
      <c r="A11" s="270" t="s">
        <v>305</v>
      </c>
      <c r="B11" t="s">
        <v>184</v>
      </c>
      <c r="C11" s="274">
        <v>2500000</v>
      </c>
      <c r="D11" s="416" t="s">
        <v>65</v>
      </c>
      <c r="E11" s="275" t="s">
        <v>65</v>
      </c>
      <c r="F11" s="19">
        <f>IF(Tabla2[[#This Row],[ADMINISTRATIVO]]="","",+DESCUENTOS_LEGALES)</f>
        <v>0.63519999999999999</v>
      </c>
      <c r="G11" s="164">
        <f>IF(Tabla2[[#This Row],[V MENSUAL ]]="","",IF(PAIS="CHILE",(Tabla2[[#This Row],[V MENSUAL ]]/30)*2,0))</f>
        <v>0</v>
      </c>
      <c r="H11" s="164">
        <f>+IF(Tabla2[[#This Row],[V MENSUAL ]]="","",IF(PAIS="CHILE",(Tabla2[[#This Row],[V MENSUAL ]]/30)*1.5,0))</f>
        <v>0</v>
      </c>
      <c r="I11" s="164">
        <f>IF(Tabla2[[#This Row],[V MENSUAL ]]="","",IF(PAIS="CHILE",IF(Tabla2[[#This Row],[V MENSUAL ]]*0.25&gt;133396,133396,Tabla2[[#This Row],[V MENSUAL ]]*0.25),0))</f>
        <v>0</v>
      </c>
      <c r="J11" s="1">
        <f>IF(Tabla2[[#This Row],[LOCAL]]="SI",0,1500000)</f>
        <v>1500000</v>
      </c>
      <c r="K11" s="19">
        <f>IF(Tabla2[[#This Row],[ADMINISTRATIVO]]="","",Tabla2[[#This Row],[OTRAS OBLIGACIONES]]/Tabla2[[#This Row],[V MENSUAL ]])</f>
        <v>0.6</v>
      </c>
      <c r="L11" s="19">
        <f>IF(Tabla2[[#This Row],[ADMINISTRATIVO]]="","",1+Tabla2[[#This Row],[% OTRAS OBLIGACIONES]]+Tabla2[[#This Row],[DESCUENTOS LEGALES]])</f>
        <v>2.2351999999999999</v>
      </c>
      <c r="M11" s="1">
        <f>IF(Tabla2[[#This Row],[V MENSUAL ]]="","",IF(Tabla2[[#This Row],[FACTOR PRESTACIONAL]]="","",Tabla2[[#This Row],[V MENSUAL ]]*Tabla2[[#This Row],[FACTOR PRESTACIONAL]]))</f>
        <v>5588000</v>
      </c>
      <c r="N11" s="28">
        <v>110</v>
      </c>
      <c r="O11" s="1">
        <f>IF(Tabla2[[#This Row],[VALOR MES MAS FACTOR PRESTACIONAL ]]="","",IF(Tabla2[[#This Row],[HORAS TRABAJO AL MES]]="","",Tabla2[[#This Row],[VALOR MES MAS FACTOR PRESTACIONAL ]]/Tabla2[[#This Row],[HORAS TRABAJO AL MES]]))</f>
        <v>50800</v>
      </c>
    </row>
    <row r="12" spans="1:16" ht="19.899999999999999" customHeight="1" x14ac:dyDescent="0.3">
      <c r="A12" s="270" t="s">
        <v>306</v>
      </c>
      <c r="B12" t="s">
        <v>184</v>
      </c>
      <c r="C12" s="274">
        <v>2200000</v>
      </c>
      <c r="D12" s="416" t="s">
        <v>65</v>
      </c>
      <c r="E12" s="275" t="s">
        <v>200</v>
      </c>
      <c r="F12" s="19">
        <f>IF(Tabla2[[#This Row],[ADMINISTRATIVO]]="","",+DESCUENTOS_LEGALES)</f>
        <v>0.63519999999999999</v>
      </c>
      <c r="G12" s="164">
        <f>IF(Tabla2[[#This Row],[V MENSUAL ]]="","",IF(PAIS="CHILE",(Tabla2[[#This Row],[V MENSUAL ]]/30)*2,0))</f>
        <v>0</v>
      </c>
      <c r="H12" s="164">
        <f>+IF(Tabla2[[#This Row],[V MENSUAL ]]="","",IF(PAIS="CHILE",(Tabla2[[#This Row],[V MENSUAL ]]/30)*1.5,0))</f>
        <v>0</v>
      </c>
      <c r="I12" s="164">
        <f>IF(Tabla2[[#This Row],[V MENSUAL ]]="","",IF(PAIS="CHILE",IF(Tabla2[[#This Row],[V MENSUAL ]]*0.25&gt;133396,133396,Tabla2[[#This Row],[V MENSUAL ]]*0.25),0))</f>
        <v>0</v>
      </c>
      <c r="J12" s="1">
        <f>IF(Tabla2[[#This Row],[LOCAL]]="SI",0,1500000)</f>
        <v>1500000</v>
      </c>
      <c r="K12" s="19">
        <f>IF(Tabla2[[#This Row],[ADMINISTRATIVO]]="","",Tabla2[[#This Row],[OTRAS OBLIGACIONES]]/Tabla2[[#This Row],[V MENSUAL ]])</f>
        <v>0.68181818181818177</v>
      </c>
      <c r="L12" s="19">
        <f>IF(Tabla2[[#This Row],[ADMINISTRATIVO]]="","",1+Tabla2[[#This Row],[% OTRAS OBLIGACIONES]]+Tabla2[[#This Row],[DESCUENTOS LEGALES]])</f>
        <v>2.3170181818181819</v>
      </c>
      <c r="M12" s="1">
        <f>IF(Tabla2[[#This Row],[V MENSUAL ]]="","",IF(Tabla2[[#This Row],[FACTOR PRESTACIONAL]]="","",Tabla2[[#This Row],[V MENSUAL ]]*Tabla2[[#This Row],[FACTOR PRESTACIONAL]]))</f>
        <v>5097440</v>
      </c>
      <c r="N12" s="28">
        <v>110</v>
      </c>
      <c r="O12" s="1">
        <f>IF(Tabla2[[#This Row],[VALOR MES MAS FACTOR PRESTACIONAL ]]="","",IF(Tabla2[[#This Row],[HORAS TRABAJO AL MES]]="","",Tabla2[[#This Row],[VALOR MES MAS FACTOR PRESTACIONAL ]]/Tabla2[[#This Row],[HORAS TRABAJO AL MES]]))</f>
        <v>46340.36363636364</v>
      </c>
    </row>
    <row r="13" spans="1:16" ht="19.899999999999999" customHeight="1" x14ac:dyDescent="0.3">
      <c r="A13" s="270" t="s">
        <v>307</v>
      </c>
      <c r="B13" t="s">
        <v>184</v>
      </c>
      <c r="C13" s="274">
        <v>2500000</v>
      </c>
      <c r="D13" s="416" t="s">
        <v>65</v>
      </c>
      <c r="E13" s="275" t="s">
        <v>200</v>
      </c>
      <c r="F13" s="19">
        <f>IF(Tabla2[[#This Row],[ADMINISTRATIVO]]="","",+DESCUENTOS_LEGALES)</f>
        <v>0.63519999999999999</v>
      </c>
      <c r="G13" s="164">
        <f>IF(Tabla2[[#This Row],[V MENSUAL ]]="","",IF(PAIS="CHILE",(Tabla2[[#This Row],[V MENSUAL ]]/30)*2,0))</f>
        <v>0</v>
      </c>
      <c r="H13" s="164">
        <f>+IF(Tabla2[[#This Row],[V MENSUAL ]]="","",IF(PAIS="CHILE",(Tabla2[[#This Row],[V MENSUAL ]]/30)*1.5,0))</f>
        <v>0</v>
      </c>
      <c r="I13" s="164">
        <f>IF(Tabla2[[#This Row],[V MENSUAL ]]="","",IF(PAIS="CHILE",IF(Tabla2[[#This Row],[V MENSUAL ]]*0.25&gt;133396,133396,Tabla2[[#This Row],[V MENSUAL ]]*0.25),0))</f>
        <v>0</v>
      </c>
      <c r="J13" s="1">
        <f>IF(Tabla2[[#This Row],[LOCAL]]="SI",0,1500000)</f>
        <v>1500000</v>
      </c>
      <c r="K13" s="19">
        <f>IF(Tabla2[[#This Row],[ADMINISTRATIVO]]="","",Tabla2[[#This Row],[OTRAS OBLIGACIONES]]/Tabla2[[#This Row],[V MENSUAL ]])</f>
        <v>0.6</v>
      </c>
      <c r="L13" s="19">
        <f>IF(Tabla2[[#This Row],[ADMINISTRATIVO]]="","",1+Tabla2[[#This Row],[% OTRAS OBLIGACIONES]]+Tabla2[[#This Row],[DESCUENTOS LEGALES]])</f>
        <v>2.2351999999999999</v>
      </c>
      <c r="M13" s="1">
        <f>IF(Tabla2[[#This Row],[V MENSUAL ]]="","",IF(Tabla2[[#This Row],[FACTOR PRESTACIONAL]]="","",Tabla2[[#This Row],[V MENSUAL ]]*Tabla2[[#This Row],[FACTOR PRESTACIONAL]]))</f>
        <v>5588000</v>
      </c>
      <c r="N13" s="28">
        <v>110</v>
      </c>
      <c r="O13" s="1">
        <f>IF(Tabla2[[#This Row],[VALOR MES MAS FACTOR PRESTACIONAL ]]="","",IF(Tabla2[[#This Row],[HORAS TRABAJO AL MES]]="","",Tabla2[[#This Row],[VALOR MES MAS FACTOR PRESTACIONAL ]]/Tabla2[[#This Row],[HORAS TRABAJO AL MES]]))</f>
        <v>50800</v>
      </c>
    </row>
    <row r="14" spans="1:16" ht="19.899999999999999" customHeight="1" x14ac:dyDescent="0.3">
      <c r="A14" s="270" t="s">
        <v>308</v>
      </c>
      <c r="B14" t="s">
        <v>184</v>
      </c>
      <c r="C14" s="274">
        <v>1800000</v>
      </c>
      <c r="D14" s="416" t="s">
        <v>65</v>
      </c>
      <c r="E14" s="275" t="s">
        <v>200</v>
      </c>
      <c r="F14" s="19">
        <f>IF(Tabla2[[#This Row],[ADMINISTRATIVO]]="","",+DESCUENTOS_LEGALES)</f>
        <v>0.63519999999999999</v>
      </c>
      <c r="G14" s="164">
        <f>IF(Tabla2[[#This Row],[V MENSUAL ]]="","",IF(PAIS="CHILE",(Tabla2[[#This Row],[V MENSUAL ]]/30)*2,0))</f>
        <v>0</v>
      </c>
      <c r="H14" s="164">
        <f>+IF(Tabla2[[#This Row],[V MENSUAL ]]="","",IF(PAIS="CHILE",(Tabla2[[#This Row],[V MENSUAL ]]/30)*1.5,0))</f>
        <v>0</v>
      </c>
      <c r="I14" s="164">
        <f>IF(Tabla2[[#This Row],[V MENSUAL ]]="","",IF(PAIS="CHILE",IF(Tabla2[[#This Row],[V MENSUAL ]]*0.25&gt;133396,133396,Tabla2[[#This Row],[V MENSUAL ]]*0.25),0))</f>
        <v>0</v>
      </c>
      <c r="J14" s="1">
        <f>IF(Tabla2[[#This Row],[LOCAL]]="SI",0,1500000)</f>
        <v>1500000</v>
      </c>
      <c r="K14" s="19">
        <f>IF(Tabla2[[#This Row],[ADMINISTRATIVO]]="","",Tabla2[[#This Row],[OTRAS OBLIGACIONES]]/Tabla2[[#This Row],[V MENSUAL ]])</f>
        <v>0.83333333333333337</v>
      </c>
      <c r="L14" s="19">
        <f>IF(Tabla2[[#This Row],[ADMINISTRATIVO]]="","",1+Tabla2[[#This Row],[% OTRAS OBLIGACIONES]]+Tabla2[[#This Row],[DESCUENTOS LEGALES]])</f>
        <v>2.4685333333333332</v>
      </c>
      <c r="M14" s="1">
        <f>IF(Tabla2[[#This Row],[V MENSUAL ]]="","",IF(Tabla2[[#This Row],[FACTOR PRESTACIONAL]]="","",Tabla2[[#This Row],[V MENSUAL ]]*Tabla2[[#This Row],[FACTOR PRESTACIONAL]]))</f>
        <v>4443360</v>
      </c>
      <c r="N14" s="28">
        <v>110</v>
      </c>
      <c r="O14" s="1">
        <f>IF(Tabla2[[#This Row],[VALOR MES MAS FACTOR PRESTACIONAL ]]="","",IF(Tabla2[[#This Row],[HORAS TRABAJO AL MES]]="","",Tabla2[[#This Row],[VALOR MES MAS FACTOR PRESTACIONAL ]]/Tabla2[[#This Row],[HORAS TRABAJO AL MES]]))</f>
        <v>40394.181818181816</v>
      </c>
    </row>
    <row r="15" spans="1:16" ht="19.899999999999999" customHeight="1" x14ac:dyDescent="0.3">
      <c r="A15" s="270" t="s">
        <v>309</v>
      </c>
      <c r="B15" t="s">
        <v>184</v>
      </c>
      <c r="C15" s="274">
        <v>4000000</v>
      </c>
      <c r="D15" s="416" t="s">
        <v>65</v>
      </c>
      <c r="E15" s="275" t="s">
        <v>200</v>
      </c>
      <c r="F15" s="19">
        <f>IF(Tabla2[[#This Row],[ADMINISTRATIVO]]="","",+DESCUENTOS_LEGALES)</f>
        <v>0.63519999999999999</v>
      </c>
      <c r="G15" s="164">
        <f>IF(Tabla2[[#This Row],[V MENSUAL ]]="","",IF(PAIS="CHILE",(Tabla2[[#This Row],[V MENSUAL ]]/30)*2,0))</f>
        <v>0</v>
      </c>
      <c r="H15" s="164">
        <f>+IF(Tabla2[[#This Row],[V MENSUAL ]]="","",IF(PAIS="CHILE",(Tabla2[[#This Row],[V MENSUAL ]]/30)*1.5,0))</f>
        <v>0</v>
      </c>
      <c r="I15" s="164">
        <f>IF(Tabla2[[#This Row],[V MENSUAL ]]="","",IF(PAIS="CHILE",IF(Tabla2[[#This Row],[V MENSUAL ]]*0.25&gt;133396,133396,Tabla2[[#This Row],[V MENSUAL ]]*0.25),0))</f>
        <v>0</v>
      </c>
      <c r="J15" s="1">
        <f>IF(Tabla2[[#This Row],[LOCAL]]="SI",0,1500000)</f>
        <v>1500000</v>
      </c>
      <c r="K15" s="19">
        <f>IF(Tabla2[[#This Row],[ADMINISTRATIVO]]="","",Tabla2[[#This Row],[OTRAS OBLIGACIONES]]/Tabla2[[#This Row],[V MENSUAL ]])</f>
        <v>0.375</v>
      </c>
      <c r="L15" s="19">
        <f>IF(Tabla2[[#This Row],[ADMINISTRATIVO]]="","",1+Tabla2[[#This Row],[% OTRAS OBLIGACIONES]]+Tabla2[[#This Row],[DESCUENTOS LEGALES]])</f>
        <v>2.0102000000000002</v>
      </c>
      <c r="M15" s="1">
        <f>IF(Tabla2[[#This Row],[V MENSUAL ]]="","",IF(Tabla2[[#This Row],[FACTOR PRESTACIONAL]]="","",Tabla2[[#This Row],[V MENSUAL ]]*Tabla2[[#This Row],[FACTOR PRESTACIONAL]]))</f>
        <v>8040800.0000000009</v>
      </c>
      <c r="N15" s="28">
        <v>110</v>
      </c>
      <c r="O15" s="1">
        <f>IF(Tabla2[[#This Row],[VALOR MES MAS FACTOR PRESTACIONAL ]]="","",IF(Tabla2[[#This Row],[HORAS TRABAJO AL MES]]="","",Tabla2[[#This Row],[VALOR MES MAS FACTOR PRESTACIONAL ]]/Tabla2[[#This Row],[HORAS TRABAJO AL MES]]))</f>
        <v>73098.181818181823</v>
      </c>
    </row>
    <row r="16" spans="1:16" ht="19.899999999999999" customHeight="1" x14ac:dyDescent="0.3">
      <c r="A16" s="270" t="s">
        <v>310</v>
      </c>
      <c r="B16" t="s">
        <v>184</v>
      </c>
      <c r="C16" s="274">
        <v>3000000</v>
      </c>
      <c r="D16" s="416" t="s">
        <v>65</v>
      </c>
      <c r="E16" s="275" t="s">
        <v>200</v>
      </c>
      <c r="F16" s="19">
        <f>IF(Tabla2[[#This Row],[ADMINISTRATIVO]]="","",+DESCUENTOS_LEGALES)</f>
        <v>0.63519999999999999</v>
      </c>
      <c r="G16" s="164">
        <f>IF(Tabla2[[#This Row],[V MENSUAL ]]="","",IF(PAIS="CHILE",(Tabla2[[#This Row],[V MENSUAL ]]/30)*2,0))</f>
        <v>0</v>
      </c>
      <c r="H16" s="164">
        <f>+IF(Tabla2[[#This Row],[V MENSUAL ]]="","",IF(PAIS="CHILE",(Tabla2[[#This Row],[V MENSUAL ]]/30)*1.5,0))</f>
        <v>0</v>
      </c>
      <c r="I16" s="164">
        <f>IF(Tabla2[[#This Row],[V MENSUAL ]]="","",IF(PAIS="CHILE",IF(Tabla2[[#This Row],[V MENSUAL ]]*0.25&gt;133396,133396,Tabla2[[#This Row],[V MENSUAL ]]*0.25),0))</f>
        <v>0</v>
      </c>
      <c r="J16" s="1">
        <f>IF(Tabla2[[#This Row],[LOCAL]]="SI",0,1500000)</f>
        <v>1500000</v>
      </c>
      <c r="K16" s="19">
        <f>IF(Tabla2[[#This Row],[ADMINISTRATIVO]]="","",Tabla2[[#This Row],[OTRAS OBLIGACIONES]]/Tabla2[[#This Row],[V MENSUAL ]])</f>
        <v>0.5</v>
      </c>
      <c r="L16" s="19">
        <f>IF(Tabla2[[#This Row],[ADMINISTRATIVO]]="","",1+Tabla2[[#This Row],[% OTRAS OBLIGACIONES]]+Tabla2[[#This Row],[DESCUENTOS LEGALES]])</f>
        <v>2.1352000000000002</v>
      </c>
      <c r="M16" s="1">
        <f>IF(Tabla2[[#This Row],[V MENSUAL ]]="","",IF(Tabla2[[#This Row],[FACTOR PRESTACIONAL]]="","",Tabla2[[#This Row],[V MENSUAL ]]*Tabla2[[#This Row],[FACTOR PRESTACIONAL]]))</f>
        <v>6405600.0000000009</v>
      </c>
      <c r="N16" s="28">
        <v>110</v>
      </c>
      <c r="O16" s="1">
        <f>IF(Tabla2[[#This Row],[VALOR MES MAS FACTOR PRESTACIONAL ]]="","",IF(Tabla2[[#This Row],[HORAS TRABAJO AL MES]]="","",Tabla2[[#This Row],[VALOR MES MAS FACTOR PRESTACIONAL ]]/Tabla2[[#This Row],[HORAS TRABAJO AL MES]]))</f>
        <v>58232.727272727279</v>
      </c>
    </row>
    <row r="17" spans="1:15" ht="19.899999999999999" customHeight="1" x14ac:dyDescent="0.3">
      <c r="A17" s="270" t="s">
        <v>311</v>
      </c>
      <c r="B17" t="s">
        <v>184</v>
      </c>
      <c r="C17" s="274">
        <v>4000000</v>
      </c>
      <c r="D17" s="416" t="s">
        <v>65</v>
      </c>
      <c r="E17" s="275" t="s">
        <v>200</v>
      </c>
      <c r="F17" s="19">
        <f>IF(Tabla2[[#This Row],[ADMINISTRATIVO]]="","",+DESCUENTOS_LEGALES)</f>
        <v>0.63519999999999999</v>
      </c>
      <c r="G17" s="164">
        <f>IF(Tabla2[[#This Row],[V MENSUAL ]]="","",IF(PAIS="CHILE",(Tabla2[[#This Row],[V MENSUAL ]]/30)*2,0))</f>
        <v>0</v>
      </c>
      <c r="H17" s="164">
        <f>+IF(Tabla2[[#This Row],[V MENSUAL ]]="","",IF(PAIS="CHILE",(Tabla2[[#This Row],[V MENSUAL ]]/30)*1.5,0))</f>
        <v>0</v>
      </c>
      <c r="I17" s="164">
        <f>IF(Tabla2[[#This Row],[V MENSUAL ]]="","",IF(PAIS="CHILE",IF(Tabla2[[#This Row],[V MENSUAL ]]*0.25&gt;133396,133396,Tabla2[[#This Row],[V MENSUAL ]]*0.25),0))</f>
        <v>0</v>
      </c>
      <c r="J17" s="1">
        <f>IF(Tabla2[[#This Row],[LOCAL]]="SI",0,1500000)</f>
        <v>1500000</v>
      </c>
      <c r="K17" s="19">
        <f>IF(Tabla2[[#This Row],[ADMINISTRATIVO]]="","",Tabla2[[#This Row],[OTRAS OBLIGACIONES]]/Tabla2[[#This Row],[V MENSUAL ]])</f>
        <v>0.375</v>
      </c>
      <c r="L17" s="19">
        <f>IF(Tabla2[[#This Row],[ADMINISTRATIVO]]="","",1+Tabla2[[#This Row],[% OTRAS OBLIGACIONES]]+Tabla2[[#This Row],[DESCUENTOS LEGALES]])</f>
        <v>2.0102000000000002</v>
      </c>
      <c r="M17" s="1">
        <f>IF(Tabla2[[#This Row],[V MENSUAL ]]="","",IF(Tabla2[[#This Row],[FACTOR PRESTACIONAL]]="","",Tabla2[[#This Row],[V MENSUAL ]]*Tabla2[[#This Row],[FACTOR PRESTACIONAL]]))</f>
        <v>8040800.0000000009</v>
      </c>
      <c r="N17" s="28">
        <v>110</v>
      </c>
      <c r="O17" s="1">
        <f>IF(Tabla2[[#This Row],[VALOR MES MAS FACTOR PRESTACIONAL ]]="","",IF(Tabla2[[#This Row],[HORAS TRABAJO AL MES]]="","",Tabla2[[#This Row],[VALOR MES MAS FACTOR PRESTACIONAL ]]/Tabla2[[#This Row],[HORAS TRABAJO AL MES]]))</f>
        <v>73098.181818181823</v>
      </c>
    </row>
    <row r="18" spans="1:15" ht="19.899999999999999" customHeight="1" x14ac:dyDescent="0.3">
      <c r="A18" s="270" t="s">
        <v>312</v>
      </c>
      <c r="B18" t="s">
        <v>184</v>
      </c>
      <c r="C18" s="274">
        <v>3800000</v>
      </c>
      <c r="D18" s="416" t="s">
        <v>65</v>
      </c>
      <c r="E18" s="275" t="s">
        <v>200</v>
      </c>
      <c r="F18" s="19">
        <f>IF(Tabla2[[#This Row],[ADMINISTRATIVO]]="","",+DESCUENTOS_LEGALES)</f>
        <v>0.63519999999999999</v>
      </c>
      <c r="G18" s="164">
        <f>IF(Tabla2[[#This Row],[V MENSUAL ]]="","",IF(PAIS="CHILE",(Tabla2[[#This Row],[V MENSUAL ]]/30)*2,0))</f>
        <v>0</v>
      </c>
      <c r="H18" s="164">
        <f>+IF(Tabla2[[#This Row],[V MENSUAL ]]="","",IF(PAIS="CHILE",(Tabla2[[#This Row],[V MENSUAL ]]/30)*1.5,0))</f>
        <v>0</v>
      </c>
      <c r="I18" s="164">
        <f>IF(Tabla2[[#This Row],[V MENSUAL ]]="","",IF(PAIS="CHILE",IF(Tabla2[[#This Row],[V MENSUAL ]]*0.25&gt;133396,133396,Tabla2[[#This Row],[V MENSUAL ]]*0.25),0))</f>
        <v>0</v>
      </c>
      <c r="J18" s="1">
        <f>IF(Tabla2[[#This Row],[LOCAL]]="SI",0,1500000)</f>
        <v>1500000</v>
      </c>
      <c r="K18" s="19">
        <f>IF(Tabla2[[#This Row],[ADMINISTRATIVO]]="","",Tabla2[[#This Row],[OTRAS OBLIGACIONES]]/Tabla2[[#This Row],[V MENSUAL ]])</f>
        <v>0.39473684210526316</v>
      </c>
      <c r="L18" s="19">
        <f>IF(Tabla2[[#This Row],[ADMINISTRATIVO]]="","",1+Tabla2[[#This Row],[% OTRAS OBLIGACIONES]]+Tabla2[[#This Row],[DESCUENTOS LEGALES]])</f>
        <v>2.029936842105263</v>
      </c>
      <c r="M18" s="1">
        <f>IF(Tabla2[[#This Row],[V MENSUAL ]]="","",IF(Tabla2[[#This Row],[FACTOR PRESTACIONAL]]="","",Tabla2[[#This Row],[V MENSUAL ]]*Tabla2[[#This Row],[FACTOR PRESTACIONAL]]))</f>
        <v>7713760</v>
      </c>
      <c r="N18" s="28">
        <v>110</v>
      </c>
      <c r="O18" s="1">
        <f>IF(Tabla2[[#This Row],[VALOR MES MAS FACTOR PRESTACIONAL ]]="","",IF(Tabla2[[#This Row],[HORAS TRABAJO AL MES]]="","",Tabla2[[#This Row],[VALOR MES MAS FACTOR PRESTACIONAL ]]/Tabla2[[#This Row],[HORAS TRABAJO AL MES]]))</f>
        <v>70125.090909090912</v>
      </c>
    </row>
    <row r="19" spans="1:15" ht="19.899999999999999" customHeight="1" x14ac:dyDescent="0.3">
      <c r="A19" s="270" t="s">
        <v>313</v>
      </c>
      <c r="B19" t="s">
        <v>184</v>
      </c>
      <c r="C19" s="274">
        <v>1400000</v>
      </c>
      <c r="D19" s="416" t="s">
        <v>200</v>
      </c>
      <c r="E19" s="275" t="s">
        <v>200</v>
      </c>
      <c r="F19" s="19">
        <f>IF(Tabla2[[#This Row],[ADMINISTRATIVO]]="","",+DESCUENTOS_LEGALES)</f>
        <v>0.63519999999999999</v>
      </c>
      <c r="G19" s="164">
        <f>IF(Tabla2[[#This Row],[V MENSUAL ]]="","",IF(PAIS="CHILE",(Tabla2[[#This Row],[V MENSUAL ]]/30)*2,0))</f>
        <v>0</v>
      </c>
      <c r="H19" s="164">
        <f>+IF(Tabla2[[#This Row],[V MENSUAL ]]="","",IF(PAIS="CHILE",(Tabla2[[#This Row],[V MENSUAL ]]/30)*1.5,0))</f>
        <v>0</v>
      </c>
      <c r="I19" s="164">
        <f>IF(Tabla2[[#This Row],[V MENSUAL ]]="","",IF(PAIS="CHILE",IF(Tabla2[[#This Row],[V MENSUAL ]]*0.25&gt;133396,133396,Tabla2[[#This Row],[V MENSUAL ]]*0.25),0))</f>
        <v>0</v>
      </c>
      <c r="J19" s="1">
        <f>IF(Tabla2[[#This Row],[LOCAL]]="SI",0,1500000)</f>
        <v>0</v>
      </c>
      <c r="K19" s="19">
        <f>IF(Tabla2[[#This Row],[ADMINISTRATIVO]]="","",Tabla2[[#This Row],[OTRAS OBLIGACIONES]]/Tabla2[[#This Row],[V MENSUAL ]])</f>
        <v>0</v>
      </c>
      <c r="L19" s="19">
        <f>IF(Tabla2[[#This Row],[ADMINISTRATIVO]]="","",1+Tabla2[[#This Row],[% OTRAS OBLIGACIONES]]+Tabla2[[#This Row],[DESCUENTOS LEGALES]])</f>
        <v>1.6352</v>
      </c>
      <c r="M19" s="1">
        <f>IF(Tabla2[[#This Row],[V MENSUAL ]]="","",IF(Tabla2[[#This Row],[FACTOR PRESTACIONAL]]="","",Tabla2[[#This Row],[V MENSUAL ]]*Tabla2[[#This Row],[FACTOR PRESTACIONAL]]))</f>
        <v>2289280</v>
      </c>
      <c r="N19" s="28">
        <v>110</v>
      </c>
      <c r="O19" s="1">
        <f>IF(Tabla2[[#This Row],[VALOR MES MAS FACTOR PRESTACIONAL ]]="","",IF(Tabla2[[#This Row],[HORAS TRABAJO AL MES]]="","",Tabla2[[#This Row],[VALOR MES MAS FACTOR PRESTACIONAL ]]/Tabla2[[#This Row],[HORAS TRABAJO AL MES]]))</f>
        <v>20811.636363636364</v>
      </c>
    </row>
    <row r="20" spans="1:15" ht="19.899999999999999" customHeight="1" x14ac:dyDescent="0.3">
      <c r="A20" s="270" t="s">
        <v>314</v>
      </c>
      <c r="B20" t="s">
        <v>184</v>
      </c>
      <c r="C20" s="274">
        <v>2500000</v>
      </c>
      <c r="D20" s="416" t="s">
        <v>65</v>
      </c>
      <c r="E20" s="275" t="s">
        <v>200</v>
      </c>
      <c r="F20" s="19">
        <f>IF(Tabla2[[#This Row],[ADMINISTRATIVO]]="","",+DESCUENTOS_LEGALES)</f>
        <v>0.63519999999999999</v>
      </c>
      <c r="G20" s="164">
        <f>IF(Tabla2[[#This Row],[V MENSUAL ]]="","",IF(PAIS="CHILE",(Tabla2[[#This Row],[V MENSUAL ]]/30)*2,0))</f>
        <v>0</v>
      </c>
      <c r="H20" s="164">
        <f>+IF(Tabla2[[#This Row],[V MENSUAL ]]="","",IF(PAIS="CHILE",(Tabla2[[#This Row],[V MENSUAL ]]/30)*1.5,0))</f>
        <v>0</v>
      </c>
      <c r="I20" s="164">
        <f>IF(Tabla2[[#This Row],[V MENSUAL ]]="","",IF(PAIS="CHILE",IF(Tabla2[[#This Row],[V MENSUAL ]]*0.25&gt;133396,133396,Tabla2[[#This Row],[V MENSUAL ]]*0.25),0))</f>
        <v>0</v>
      </c>
      <c r="J20" s="1">
        <f>IF(Tabla2[[#This Row],[LOCAL]]="SI",0,1500000)</f>
        <v>1500000</v>
      </c>
      <c r="K20" s="19">
        <f>IF(Tabla2[[#This Row],[ADMINISTRATIVO]]="","",Tabla2[[#This Row],[OTRAS OBLIGACIONES]]/Tabla2[[#This Row],[V MENSUAL ]])</f>
        <v>0.6</v>
      </c>
      <c r="L20" s="19">
        <f>IF(Tabla2[[#This Row],[ADMINISTRATIVO]]="","",1+Tabla2[[#This Row],[% OTRAS OBLIGACIONES]]+Tabla2[[#This Row],[DESCUENTOS LEGALES]])</f>
        <v>2.2351999999999999</v>
      </c>
      <c r="M20" s="1">
        <f>IF(Tabla2[[#This Row],[V MENSUAL ]]="","",IF(Tabla2[[#This Row],[FACTOR PRESTACIONAL]]="","",Tabla2[[#This Row],[V MENSUAL ]]*Tabla2[[#This Row],[FACTOR PRESTACIONAL]]))</f>
        <v>5588000</v>
      </c>
      <c r="N20" s="28">
        <v>110</v>
      </c>
      <c r="O20" s="1">
        <f>IF(Tabla2[[#This Row],[VALOR MES MAS FACTOR PRESTACIONAL ]]="","",IF(Tabla2[[#This Row],[HORAS TRABAJO AL MES]]="","",Tabla2[[#This Row],[VALOR MES MAS FACTOR PRESTACIONAL ]]/Tabla2[[#This Row],[HORAS TRABAJO AL MES]]))</f>
        <v>50800</v>
      </c>
    </row>
    <row r="21" spans="1:15" ht="19.899999999999999" customHeight="1" x14ac:dyDescent="0.3">
      <c r="A21" s="270" t="s">
        <v>316</v>
      </c>
      <c r="B21" t="s">
        <v>184</v>
      </c>
      <c r="C21" s="274">
        <v>4000000</v>
      </c>
      <c r="D21" s="416" t="s">
        <v>65</v>
      </c>
      <c r="E21" s="275" t="s">
        <v>200</v>
      </c>
      <c r="F21" s="19">
        <f>IF(Tabla2[[#This Row],[ADMINISTRATIVO]]="","",+DESCUENTOS_LEGALES)</f>
        <v>0.63519999999999999</v>
      </c>
      <c r="G21" s="164">
        <f>IF(Tabla2[[#This Row],[V MENSUAL ]]="","",IF(PAIS="CHILE",(Tabla2[[#This Row],[V MENSUAL ]]/30)*2,0))</f>
        <v>0</v>
      </c>
      <c r="H21" s="164">
        <f>+IF(Tabla2[[#This Row],[V MENSUAL ]]="","",IF(PAIS="CHILE",(Tabla2[[#This Row],[V MENSUAL ]]/30)*1.5,0))</f>
        <v>0</v>
      </c>
      <c r="I21" s="164">
        <f>IF(Tabla2[[#This Row],[V MENSUAL ]]="","",IF(PAIS="CHILE",IF(Tabla2[[#This Row],[V MENSUAL ]]*0.25&gt;133396,133396,Tabla2[[#This Row],[V MENSUAL ]]*0.25),0))</f>
        <v>0</v>
      </c>
      <c r="J21" s="1">
        <f>IF(Tabla2[[#This Row],[LOCAL]]="SI",0,1500000)</f>
        <v>1500000</v>
      </c>
      <c r="K21" s="19">
        <f>IF(Tabla2[[#This Row],[ADMINISTRATIVO]]="","",Tabla2[[#This Row],[OTRAS OBLIGACIONES]]/Tabla2[[#This Row],[V MENSUAL ]])</f>
        <v>0.375</v>
      </c>
      <c r="L21" s="19">
        <f>IF(Tabla2[[#This Row],[ADMINISTRATIVO]]="","",1+Tabla2[[#This Row],[% OTRAS OBLIGACIONES]]+Tabla2[[#This Row],[DESCUENTOS LEGALES]])</f>
        <v>2.0102000000000002</v>
      </c>
      <c r="M21" s="1">
        <f>IF(Tabla2[[#This Row],[V MENSUAL ]]="","",IF(Tabla2[[#This Row],[FACTOR PRESTACIONAL]]="","",Tabla2[[#This Row],[V MENSUAL ]]*Tabla2[[#This Row],[FACTOR PRESTACIONAL]]))</f>
        <v>8040800.0000000009</v>
      </c>
      <c r="N21" s="28">
        <v>110</v>
      </c>
      <c r="O21" s="1">
        <f>IF(Tabla2[[#This Row],[VALOR MES MAS FACTOR PRESTACIONAL ]]="","",IF(Tabla2[[#This Row],[HORAS TRABAJO AL MES]]="","",Tabla2[[#This Row],[VALOR MES MAS FACTOR PRESTACIONAL ]]/Tabla2[[#This Row],[HORAS TRABAJO AL MES]]))</f>
        <v>73098.181818181823</v>
      </c>
    </row>
    <row r="22" spans="1:15" ht="19.899999999999999" customHeight="1" x14ac:dyDescent="0.3">
      <c r="A22" s="270" t="s">
        <v>591</v>
      </c>
      <c r="B22" t="s">
        <v>184</v>
      </c>
      <c r="C22" s="274">
        <v>1800000</v>
      </c>
      <c r="D22" s="416" t="s">
        <v>65</v>
      </c>
      <c r="E22" s="275" t="s">
        <v>200</v>
      </c>
      <c r="F22" s="19">
        <f>IF(Tabla2[[#This Row],[ADMINISTRATIVO]]="","",+DESCUENTOS_LEGALES)</f>
        <v>0.63519999999999999</v>
      </c>
      <c r="G22" s="164">
        <f>IF(Tabla2[[#This Row],[V MENSUAL ]]="","",IF(PAIS="CHILE",(Tabla2[[#This Row],[V MENSUAL ]]/30)*2,0))</f>
        <v>0</v>
      </c>
      <c r="H22" s="164">
        <f>+IF(Tabla2[[#This Row],[V MENSUAL ]]="","",IF(PAIS="CHILE",(Tabla2[[#This Row],[V MENSUAL ]]/30)*1.5,0))</f>
        <v>0</v>
      </c>
      <c r="I22" s="164">
        <f>IF(Tabla2[[#This Row],[V MENSUAL ]]="","",IF(PAIS="CHILE",IF(Tabla2[[#This Row],[V MENSUAL ]]*0.25&gt;133396,133396,Tabla2[[#This Row],[V MENSUAL ]]*0.25),0))</f>
        <v>0</v>
      </c>
      <c r="J22" s="1">
        <f>IF(Tabla2[[#This Row],[LOCAL]]="SI",0,1500000)</f>
        <v>1500000</v>
      </c>
      <c r="K22" s="19">
        <f>IF(Tabla2[[#This Row],[ADMINISTRATIVO]]="","",Tabla2[[#This Row],[OTRAS OBLIGACIONES]]/Tabla2[[#This Row],[V MENSUAL ]])</f>
        <v>0.83333333333333337</v>
      </c>
      <c r="L22" s="19">
        <f>IF(Tabla2[[#This Row],[ADMINISTRATIVO]]="","",1+Tabla2[[#This Row],[% OTRAS OBLIGACIONES]]+Tabla2[[#This Row],[DESCUENTOS LEGALES]])</f>
        <v>2.4685333333333332</v>
      </c>
      <c r="M22" s="1">
        <f>IF(Tabla2[[#This Row],[V MENSUAL ]]="","",IF(Tabla2[[#This Row],[FACTOR PRESTACIONAL]]="","",Tabla2[[#This Row],[V MENSUAL ]]*Tabla2[[#This Row],[FACTOR PRESTACIONAL]]))</f>
        <v>4443360</v>
      </c>
      <c r="N22" s="28">
        <v>110</v>
      </c>
      <c r="O22" s="1">
        <f>IF(Tabla2[[#This Row],[VALOR MES MAS FACTOR PRESTACIONAL ]]="","",IF(Tabla2[[#This Row],[HORAS TRABAJO AL MES]]="","",Tabla2[[#This Row],[VALOR MES MAS FACTOR PRESTACIONAL ]]/Tabla2[[#This Row],[HORAS TRABAJO AL MES]]))</f>
        <v>40394.181818181816</v>
      </c>
    </row>
    <row r="23" spans="1:15" ht="19.899999999999999" customHeight="1" x14ac:dyDescent="0.3">
      <c r="A23" s="270" t="s">
        <v>360</v>
      </c>
      <c r="B23" t="s">
        <v>184</v>
      </c>
      <c r="C23" s="274">
        <v>4500000</v>
      </c>
      <c r="D23" s="416" t="s">
        <v>65</v>
      </c>
      <c r="E23" s="275" t="s">
        <v>65</v>
      </c>
      <c r="F23" s="19">
        <f>IF(Tabla2[[#This Row],[ADMINISTRATIVO]]="","",+DESCUENTOS_LEGALES)</f>
        <v>0.63519999999999999</v>
      </c>
      <c r="G23" s="164">
        <f>IF(Tabla2[[#This Row],[V MENSUAL ]]="","",IF(PAIS="CHILE",(Tabla2[[#This Row],[V MENSUAL ]]/30)*2,0))</f>
        <v>0</v>
      </c>
      <c r="H23" s="164">
        <f>+IF(Tabla2[[#This Row],[V MENSUAL ]]="","",IF(PAIS="CHILE",(Tabla2[[#This Row],[V MENSUAL ]]/30)*1.5,0))</f>
        <v>0</v>
      </c>
      <c r="I23" s="164">
        <f>IF(Tabla2[[#This Row],[V MENSUAL ]]="","",IF(PAIS="CHILE",IF(Tabla2[[#This Row],[V MENSUAL ]]*0.25&gt;133396,133396,Tabla2[[#This Row],[V MENSUAL ]]*0.25),0))</f>
        <v>0</v>
      </c>
      <c r="J23" s="1">
        <f>IF(Tabla2[[#This Row],[LOCAL]]="SI",0,1500000)</f>
        <v>1500000</v>
      </c>
      <c r="K23" s="19">
        <f>IF(Tabla2[[#This Row],[ADMINISTRATIVO]]="","",Tabla2[[#This Row],[OTRAS OBLIGACIONES]]/Tabla2[[#This Row],[V MENSUAL ]])</f>
        <v>0.33333333333333331</v>
      </c>
      <c r="L23" s="19">
        <f>IF(Tabla2[[#This Row],[ADMINISTRATIVO]]="","",1+Tabla2[[#This Row],[% OTRAS OBLIGACIONES]]+Tabla2[[#This Row],[DESCUENTOS LEGALES]])</f>
        <v>1.9685333333333332</v>
      </c>
      <c r="M23" s="1">
        <f>IF(Tabla2[[#This Row],[V MENSUAL ]]="","",IF(Tabla2[[#This Row],[FACTOR PRESTACIONAL]]="","",Tabla2[[#This Row],[V MENSUAL ]]*Tabla2[[#This Row],[FACTOR PRESTACIONAL]]))</f>
        <v>8858400</v>
      </c>
      <c r="N23" s="28">
        <v>110</v>
      </c>
      <c r="O23" s="1">
        <f>IF(Tabla2[[#This Row],[VALOR MES MAS FACTOR PRESTACIONAL ]]="","",IF(Tabla2[[#This Row],[HORAS TRABAJO AL MES]]="","",Tabla2[[#This Row],[VALOR MES MAS FACTOR PRESTACIONAL ]]/Tabla2[[#This Row],[HORAS TRABAJO AL MES]]))</f>
        <v>80530.909090909088</v>
      </c>
    </row>
    <row r="24" spans="1:15" ht="19.899999999999999" customHeight="1" x14ac:dyDescent="0.3">
      <c r="A24" s="270" t="s">
        <v>369</v>
      </c>
      <c r="B24" t="s">
        <v>184</v>
      </c>
      <c r="C24" s="274">
        <v>3500000</v>
      </c>
      <c r="D24" s="416" t="s">
        <v>65</v>
      </c>
      <c r="E24" s="275" t="s">
        <v>65</v>
      </c>
      <c r="F24" s="19">
        <f>IF(Tabla2[[#This Row],[ADMINISTRATIVO]]="","",+DESCUENTOS_LEGALES)</f>
        <v>0.63519999999999999</v>
      </c>
      <c r="G24" s="164">
        <f>IF(Tabla2[[#This Row],[V MENSUAL ]]="","",IF(PAIS="CHILE",(Tabla2[[#This Row],[V MENSUAL ]]/30)*2,0))</f>
        <v>0</v>
      </c>
      <c r="H24" s="164">
        <f>+IF(Tabla2[[#This Row],[V MENSUAL ]]="","",IF(PAIS="CHILE",(Tabla2[[#This Row],[V MENSUAL ]]/30)*1.5,0))</f>
        <v>0</v>
      </c>
      <c r="I24" s="164">
        <f>IF(Tabla2[[#This Row],[V MENSUAL ]]="","",IF(PAIS="CHILE",IF(Tabla2[[#This Row],[V MENSUAL ]]*0.25&gt;133396,133396,Tabla2[[#This Row],[V MENSUAL ]]*0.25),0))</f>
        <v>0</v>
      </c>
      <c r="J24" s="1">
        <f>IF(Tabla2[[#This Row],[LOCAL]]="SI",0,1500000)</f>
        <v>1500000</v>
      </c>
      <c r="K24" s="19">
        <f>IF(Tabla2[[#This Row],[ADMINISTRATIVO]]="","",Tabla2[[#This Row],[OTRAS OBLIGACIONES]]/Tabla2[[#This Row],[V MENSUAL ]])</f>
        <v>0.42857142857142855</v>
      </c>
      <c r="L24" s="19">
        <f>IF(Tabla2[[#This Row],[ADMINISTRATIVO]]="","",1+Tabla2[[#This Row],[% OTRAS OBLIGACIONES]]+Tabla2[[#This Row],[DESCUENTOS LEGALES]])</f>
        <v>2.0637714285714286</v>
      </c>
      <c r="M24" s="1">
        <f>IF(Tabla2[[#This Row],[V MENSUAL ]]="","",IF(Tabla2[[#This Row],[FACTOR PRESTACIONAL]]="","",Tabla2[[#This Row],[V MENSUAL ]]*Tabla2[[#This Row],[FACTOR PRESTACIONAL]]))</f>
        <v>7223200</v>
      </c>
      <c r="N24" s="28">
        <v>110</v>
      </c>
      <c r="O24" s="1">
        <f>IF(Tabla2[[#This Row],[VALOR MES MAS FACTOR PRESTACIONAL ]]="","",IF(Tabla2[[#This Row],[HORAS TRABAJO AL MES]]="","",Tabla2[[#This Row],[VALOR MES MAS FACTOR PRESTACIONAL ]]/Tabla2[[#This Row],[HORAS TRABAJO AL MES]]))</f>
        <v>65665.454545454544</v>
      </c>
    </row>
    <row r="25" spans="1:15" ht="19.899999999999999" customHeight="1" x14ac:dyDescent="0.3">
      <c r="A25" s="270" t="s">
        <v>468</v>
      </c>
      <c r="B25" t="s">
        <v>184</v>
      </c>
      <c r="C25" s="274">
        <v>1658800</v>
      </c>
      <c r="D25" s="416" t="s">
        <v>200</v>
      </c>
      <c r="E25" s="275" t="s">
        <v>65</v>
      </c>
      <c r="F25" s="19">
        <f>IF(Tabla2[[#This Row],[ADMINISTRATIVO]]="","",+DESCUENTOS_LEGALES)</f>
        <v>0.63519999999999999</v>
      </c>
      <c r="G25" s="164">
        <f>IF(Tabla2[[#This Row],[V MENSUAL ]]="","",IF(PAIS="CHILE",(Tabla2[[#This Row],[V MENSUAL ]]/30)*2,0))</f>
        <v>0</v>
      </c>
      <c r="H25" s="164">
        <f>+IF(Tabla2[[#This Row],[V MENSUAL ]]="","",IF(PAIS="CHILE",(Tabla2[[#This Row],[V MENSUAL ]]/30)*1.5,0))</f>
        <v>0</v>
      </c>
      <c r="I25" s="164">
        <f>IF(Tabla2[[#This Row],[V MENSUAL ]]="","",IF(PAIS="CHILE",IF(Tabla2[[#This Row],[V MENSUAL ]]*0.25&gt;133396,133396,Tabla2[[#This Row],[V MENSUAL ]]*0.25),0))</f>
        <v>0</v>
      </c>
      <c r="J25" s="1">
        <f>IF(Tabla2[[#This Row],[LOCAL]]="SI",0,1500000)</f>
        <v>0</v>
      </c>
      <c r="K25" s="19">
        <f>IF(Tabla2[[#This Row],[ADMINISTRATIVO]]="","",Tabla2[[#This Row],[OTRAS OBLIGACIONES]]/Tabla2[[#This Row],[V MENSUAL ]])</f>
        <v>0</v>
      </c>
      <c r="L25" s="19">
        <f>IF(Tabla2[[#This Row],[ADMINISTRATIVO]]="","",1+Tabla2[[#This Row],[% OTRAS OBLIGACIONES]]+Tabla2[[#This Row],[DESCUENTOS LEGALES]])</f>
        <v>1.6352</v>
      </c>
      <c r="M25" s="1">
        <f>IF(Tabla2[[#This Row],[V MENSUAL ]]="","",IF(Tabla2[[#This Row],[FACTOR PRESTACIONAL]]="","",Tabla2[[#This Row],[V MENSUAL ]]*Tabla2[[#This Row],[FACTOR PRESTACIONAL]]))</f>
        <v>2712469.76</v>
      </c>
      <c r="N25" s="28">
        <v>110</v>
      </c>
      <c r="O25" s="1">
        <f>IF(Tabla2[[#This Row],[VALOR MES MAS FACTOR PRESTACIONAL ]]="","",IF(Tabla2[[#This Row],[HORAS TRABAJO AL MES]]="","",Tabla2[[#This Row],[VALOR MES MAS FACTOR PRESTACIONAL ]]/Tabla2[[#This Row],[HORAS TRABAJO AL MES]]))</f>
        <v>24658.815999999999</v>
      </c>
    </row>
    <row r="26" spans="1:15" ht="19.899999999999999" customHeight="1" x14ac:dyDescent="0.3">
      <c r="A26" s="270" t="s">
        <v>469</v>
      </c>
      <c r="B26" t="s">
        <v>184</v>
      </c>
      <c r="C26" s="274">
        <v>1658800</v>
      </c>
      <c r="D26" s="416" t="s">
        <v>200</v>
      </c>
      <c r="E26" s="275" t="s">
        <v>65</v>
      </c>
      <c r="F26" s="19">
        <f>IF(Tabla2[[#This Row],[ADMINISTRATIVO]]="","",+DESCUENTOS_LEGALES)</f>
        <v>0.63519999999999999</v>
      </c>
      <c r="G26" s="164">
        <f>IF(Tabla2[[#This Row],[V MENSUAL ]]="","",IF(PAIS="CHILE",(Tabla2[[#This Row],[V MENSUAL ]]/30)*2,0))</f>
        <v>0</v>
      </c>
      <c r="H26" s="164">
        <f>+IF(Tabla2[[#This Row],[V MENSUAL ]]="","",IF(PAIS="CHILE",(Tabla2[[#This Row],[V MENSUAL ]]/30)*1.5,0))</f>
        <v>0</v>
      </c>
      <c r="I26" s="164">
        <f>IF(Tabla2[[#This Row],[V MENSUAL ]]="","",IF(PAIS="CHILE",IF(Tabla2[[#This Row],[V MENSUAL ]]*0.25&gt;133396,133396,Tabla2[[#This Row],[V MENSUAL ]]*0.25),0))</f>
        <v>0</v>
      </c>
      <c r="J26" s="1">
        <f>IF(Tabla2[[#This Row],[LOCAL]]="SI",0,1500000)</f>
        <v>0</v>
      </c>
      <c r="K26" s="19">
        <f>IF(Tabla2[[#This Row],[ADMINISTRATIVO]]="","",Tabla2[[#This Row],[OTRAS OBLIGACIONES]]/Tabla2[[#This Row],[V MENSUAL ]])</f>
        <v>0</v>
      </c>
      <c r="L26" s="19">
        <f>IF(Tabla2[[#This Row],[ADMINISTRATIVO]]="","",1+Tabla2[[#This Row],[% OTRAS OBLIGACIONES]]+Tabla2[[#This Row],[DESCUENTOS LEGALES]])</f>
        <v>1.6352</v>
      </c>
      <c r="M26" s="1">
        <f>IF(Tabla2[[#This Row],[V MENSUAL ]]="","",IF(Tabla2[[#This Row],[FACTOR PRESTACIONAL]]="","",Tabla2[[#This Row],[V MENSUAL ]]*Tabla2[[#This Row],[FACTOR PRESTACIONAL]]))</f>
        <v>2712469.76</v>
      </c>
      <c r="N26" s="28">
        <v>110</v>
      </c>
      <c r="O26" s="1">
        <f>IF(Tabla2[[#This Row],[VALOR MES MAS FACTOR PRESTACIONAL ]]="","",IF(Tabla2[[#This Row],[HORAS TRABAJO AL MES]]="","",Tabla2[[#This Row],[VALOR MES MAS FACTOR PRESTACIONAL ]]/Tabla2[[#This Row],[HORAS TRABAJO AL MES]]))</f>
        <v>24658.815999999999</v>
      </c>
    </row>
    <row r="27" spans="1:15" ht="19.899999999999999" customHeight="1" x14ac:dyDescent="0.3">
      <c r="A27" s="270" t="s">
        <v>592</v>
      </c>
      <c r="B27" t="s">
        <v>184</v>
      </c>
      <c r="C27" s="274">
        <v>4000000</v>
      </c>
      <c r="D27" s="416" t="s">
        <v>65</v>
      </c>
      <c r="E27" s="275" t="s">
        <v>200</v>
      </c>
      <c r="F27" s="19">
        <f>IF(Tabla2[[#This Row],[ADMINISTRATIVO]]="","",+DESCUENTOS_LEGALES)</f>
        <v>0.63519999999999999</v>
      </c>
      <c r="G27" s="164">
        <f>IF(Tabla2[[#This Row],[V MENSUAL ]]="","",IF(PAIS="CHILE",(Tabla2[[#This Row],[V MENSUAL ]]/30)*2,0))</f>
        <v>0</v>
      </c>
      <c r="H27" s="164">
        <f>+IF(Tabla2[[#This Row],[V MENSUAL ]]="","",IF(PAIS="CHILE",(Tabla2[[#This Row],[V MENSUAL ]]/30)*1.5,0))</f>
        <v>0</v>
      </c>
      <c r="I27" s="164">
        <f>IF(Tabla2[[#This Row],[V MENSUAL ]]="","",IF(PAIS="CHILE",IF(Tabla2[[#This Row],[V MENSUAL ]]*0.25&gt;133396,133396,Tabla2[[#This Row],[V MENSUAL ]]*0.25),0))</f>
        <v>0</v>
      </c>
      <c r="J27" s="1">
        <f>IF(Tabla2[[#This Row],[LOCAL]]="SI",0,1500000)</f>
        <v>1500000</v>
      </c>
      <c r="K27" s="19">
        <f>IF(Tabla2[[#This Row],[ADMINISTRATIVO]]="","",Tabla2[[#This Row],[OTRAS OBLIGACIONES]]/Tabla2[[#This Row],[V MENSUAL ]])</f>
        <v>0.375</v>
      </c>
      <c r="L27" s="19">
        <f>IF(Tabla2[[#This Row],[ADMINISTRATIVO]]="","",1+Tabla2[[#This Row],[% OTRAS OBLIGACIONES]]+Tabla2[[#This Row],[DESCUENTOS LEGALES]])</f>
        <v>2.0102000000000002</v>
      </c>
      <c r="M27" s="1">
        <f>IF(Tabla2[[#This Row],[V MENSUAL ]]="","",IF(Tabla2[[#This Row],[FACTOR PRESTACIONAL]]="","",Tabla2[[#This Row],[V MENSUAL ]]*Tabla2[[#This Row],[FACTOR PRESTACIONAL]]))</f>
        <v>8040800.0000000009</v>
      </c>
      <c r="N27" s="28">
        <v>110</v>
      </c>
      <c r="O27" s="1">
        <f>IF(Tabla2[[#This Row],[VALOR MES MAS FACTOR PRESTACIONAL ]]="","",IF(Tabla2[[#This Row],[HORAS TRABAJO AL MES]]="","",Tabla2[[#This Row],[VALOR MES MAS FACTOR PRESTACIONAL ]]/Tabla2[[#This Row],[HORAS TRABAJO AL MES]]))</f>
        <v>73098.181818181823</v>
      </c>
    </row>
    <row r="28" spans="1:15" ht="19.899999999999999" customHeight="1" x14ac:dyDescent="0.3">
      <c r="A28" s="270" t="s">
        <v>475</v>
      </c>
      <c r="B28" t="s">
        <v>184</v>
      </c>
      <c r="C28" s="274">
        <v>2300000</v>
      </c>
      <c r="D28" s="416" t="s">
        <v>200</v>
      </c>
      <c r="E28" s="275" t="s">
        <v>65</v>
      </c>
      <c r="F28" s="19">
        <f>IF(Tabla2[[#This Row],[ADMINISTRATIVO]]="","",+DESCUENTOS_LEGALES)</f>
        <v>0.63519999999999999</v>
      </c>
      <c r="G28" s="164">
        <f>IF(Tabla2[[#This Row],[V MENSUAL ]]="","",IF(PAIS="CHILE",(Tabla2[[#This Row],[V MENSUAL ]]/30)*2,0))</f>
        <v>0</v>
      </c>
      <c r="H28" s="164">
        <f>+IF(Tabla2[[#This Row],[V MENSUAL ]]="","",IF(PAIS="CHILE",(Tabla2[[#This Row],[V MENSUAL ]]/30)*1.5,0))</f>
        <v>0</v>
      </c>
      <c r="I28" s="164">
        <f>IF(Tabla2[[#This Row],[V MENSUAL ]]="","",IF(PAIS="CHILE",IF(Tabla2[[#This Row],[V MENSUAL ]]*0.25&gt;133396,133396,Tabla2[[#This Row],[V MENSUAL ]]*0.25),0))</f>
        <v>0</v>
      </c>
      <c r="J28" s="1">
        <f>IF(Tabla2[[#This Row],[LOCAL]]="SI",0,1500000)</f>
        <v>0</v>
      </c>
      <c r="K28" s="19">
        <f>IF(Tabla2[[#This Row],[ADMINISTRATIVO]]="","",Tabla2[[#This Row],[OTRAS OBLIGACIONES]]/Tabla2[[#This Row],[V MENSUAL ]])</f>
        <v>0</v>
      </c>
      <c r="L28" s="19">
        <f>IF(Tabla2[[#This Row],[ADMINISTRATIVO]]="","",1+Tabla2[[#This Row],[% OTRAS OBLIGACIONES]]+Tabla2[[#This Row],[DESCUENTOS LEGALES]])</f>
        <v>1.6352</v>
      </c>
      <c r="M28" s="1">
        <f>IF(Tabla2[[#This Row],[V MENSUAL ]]="","",IF(Tabla2[[#This Row],[FACTOR PRESTACIONAL]]="","",Tabla2[[#This Row],[V MENSUAL ]]*Tabla2[[#This Row],[FACTOR PRESTACIONAL]]))</f>
        <v>3760960</v>
      </c>
      <c r="N28" s="28">
        <v>110</v>
      </c>
      <c r="O28" s="1">
        <f>IF(Tabla2[[#This Row],[VALOR MES MAS FACTOR PRESTACIONAL ]]="","",IF(Tabla2[[#This Row],[HORAS TRABAJO AL MES]]="","",Tabla2[[#This Row],[VALOR MES MAS FACTOR PRESTACIONAL ]]/Tabla2[[#This Row],[HORAS TRABAJO AL MES]]))</f>
        <v>34190.545454545456</v>
      </c>
    </row>
    <row r="29" spans="1:15" ht="19.899999999999999" customHeight="1" x14ac:dyDescent="0.3">
      <c r="A29" s="270" t="s">
        <v>476</v>
      </c>
      <c r="B29" t="s">
        <v>184</v>
      </c>
      <c r="C29" s="274">
        <v>3000000</v>
      </c>
      <c r="D29" s="416" t="s">
        <v>65</v>
      </c>
      <c r="E29" s="275" t="s">
        <v>200</v>
      </c>
      <c r="F29" s="19">
        <f>IF(Tabla2[[#This Row],[ADMINISTRATIVO]]="","",+DESCUENTOS_LEGALES)</f>
        <v>0.63519999999999999</v>
      </c>
      <c r="G29" s="164">
        <f>IF(Tabla2[[#This Row],[V MENSUAL ]]="","",IF(PAIS="CHILE",(Tabla2[[#This Row],[V MENSUAL ]]/30)*2,0))</f>
        <v>0</v>
      </c>
      <c r="H29" s="164">
        <f>+IF(Tabla2[[#This Row],[V MENSUAL ]]="","",IF(PAIS="CHILE",(Tabla2[[#This Row],[V MENSUAL ]]/30)*1.5,0))</f>
        <v>0</v>
      </c>
      <c r="I29" s="164">
        <f>IF(Tabla2[[#This Row],[V MENSUAL ]]="","",IF(PAIS="CHILE",IF(Tabla2[[#This Row],[V MENSUAL ]]*0.25&gt;133396,133396,Tabla2[[#This Row],[V MENSUAL ]]*0.25),0))</f>
        <v>0</v>
      </c>
      <c r="J29" s="1">
        <f>IF(Tabla2[[#This Row],[LOCAL]]="SI",0,1500000)</f>
        <v>1500000</v>
      </c>
      <c r="K29" s="19">
        <f>IF(Tabla2[[#This Row],[ADMINISTRATIVO]]="","",Tabla2[[#This Row],[OTRAS OBLIGACIONES]]/Tabla2[[#This Row],[V MENSUAL ]])</f>
        <v>0.5</v>
      </c>
      <c r="L29" s="19">
        <f>IF(Tabla2[[#This Row],[ADMINISTRATIVO]]="","",1+Tabla2[[#This Row],[% OTRAS OBLIGACIONES]]+Tabla2[[#This Row],[DESCUENTOS LEGALES]])</f>
        <v>2.1352000000000002</v>
      </c>
      <c r="M29" s="1">
        <f>IF(Tabla2[[#This Row],[V MENSUAL ]]="","",IF(Tabla2[[#This Row],[FACTOR PRESTACIONAL]]="","",Tabla2[[#This Row],[V MENSUAL ]]*Tabla2[[#This Row],[FACTOR PRESTACIONAL]]))</f>
        <v>6405600.0000000009</v>
      </c>
      <c r="N29" s="28">
        <v>110</v>
      </c>
      <c r="O29" s="1">
        <f>IF(Tabla2[[#This Row],[VALOR MES MAS FACTOR PRESTACIONAL ]]="","",IF(Tabla2[[#This Row],[HORAS TRABAJO AL MES]]="","",Tabla2[[#This Row],[VALOR MES MAS FACTOR PRESTACIONAL ]]/Tabla2[[#This Row],[HORAS TRABAJO AL MES]]))</f>
        <v>58232.727272727279</v>
      </c>
    </row>
    <row r="30" spans="1:15" ht="19.899999999999999" customHeight="1" x14ac:dyDescent="0.3">
      <c r="A30" s="270" t="s">
        <v>477</v>
      </c>
      <c r="B30" t="s">
        <v>184</v>
      </c>
      <c r="C30" s="274">
        <v>1400000</v>
      </c>
      <c r="D30" s="416" t="s">
        <v>200</v>
      </c>
      <c r="E30" s="275" t="s">
        <v>200</v>
      </c>
      <c r="F30" s="19">
        <f>IF(Tabla2[[#This Row],[ADMINISTRATIVO]]="","",+DESCUENTOS_LEGALES)</f>
        <v>0.63519999999999999</v>
      </c>
      <c r="G30" s="164">
        <f>IF(Tabla2[[#This Row],[V MENSUAL ]]="","",IF(PAIS="CHILE",(Tabla2[[#This Row],[V MENSUAL ]]/30)*2,0))</f>
        <v>0</v>
      </c>
      <c r="H30" s="164">
        <f>+IF(Tabla2[[#This Row],[V MENSUAL ]]="","",IF(PAIS="CHILE",(Tabla2[[#This Row],[V MENSUAL ]]/30)*1.5,0))</f>
        <v>0</v>
      </c>
      <c r="I30" s="164">
        <f>IF(Tabla2[[#This Row],[V MENSUAL ]]="","",IF(PAIS="CHILE",IF(Tabla2[[#This Row],[V MENSUAL ]]*0.25&gt;133396,133396,Tabla2[[#This Row],[V MENSUAL ]]*0.25),0))</f>
        <v>0</v>
      </c>
      <c r="J30" s="1">
        <f>IF(Tabla2[[#This Row],[LOCAL]]="SI",0,1500000)</f>
        <v>0</v>
      </c>
      <c r="K30" s="19">
        <f>IF(Tabla2[[#This Row],[ADMINISTRATIVO]]="","",Tabla2[[#This Row],[OTRAS OBLIGACIONES]]/Tabla2[[#This Row],[V MENSUAL ]])</f>
        <v>0</v>
      </c>
      <c r="L30" s="19">
        <f>IF(Tabla2[[#This Row],[ADMINISTRATIVO]]="","",1+Tabla2[[#This Row],[% OTRAS OBLIGACIONES]]+Tabla2[[#This Row],[DESCUENTOS LEGALES]])</f>
        <v>1.6352</v>
      </c>
      <c r="M30" s="1">
        <f>IF(Tabla2[[#This Row],[V MENSUAL ]]="","",IF(Tabla2[[#This Row],[FACTOR PRESTACIONAL]]="","",Tabla2[[#This Row],[V MENSUAL ]]*Tabla2[[#This Row],[FACTOR PRESTACIONAL]]))</f>
        <v>2289280</v>
      </c>
      <c r="N30" s="28">
        <v>110</v>
      </c>
      <c r="O30" s="1">
        <f>IF(Tabla2[[#This Row],[VALOR MES MAS FACTOR PRESTACIONAL ]]="","",IF(Tabla2[[#This Row],[HORAS TRABAJO AL MES]]="","",Tabla2[[#This Row],[VALOR MES MAS FACTOR PRESTACIONAL ]]/Tabla2[[#This Row],[HORAS TRABAJO AL MES]]))</f>
        <v>20811.636363636364</v>
      </c>
    </row>
    <row r="31" spans="1:15" ht="19.899999999999999" customHeight="1" x14ac:dyDescent="0.3">
      <c r="A31" s="270" t="s">
        <v>478</v>
      </c>
      <c r="B31" t="s">
        <v>184</v>
      </c>
      <c r="C31" s="274">
        <v>3000000</v>
      </c>
      <c r="D31" s="416" t="s">
        <v>65</v>
      </c>
      <c r="E31" s="275" t="s">
        <v>200</v>
      </c>
      <c r="F31" s="19">
        <f>IF(Tabla2[[#This Row],[ADMINISTRATIVO]]="","",+DESCUENTOS_LEGALES)</f>
        <v>0.63519999999999999</v>
      </c>
      <c r="G31" s="164">
        <f>IF(Tabla2[[#This Row],[V MENSUAL ]]="","",IF(PAIS="CHILE",(Tabla2[[#This Row],[V MENSUAL ]]/30)*2,0))</f>
        <v>0</v>
      </c>
      <c r="H31" s="164">
        <f>+IF(Tabla2[[#This Row],[V MENSUAL ]]="","",IF(PAIS="CHILE",(Tabla2[[#This Row],[V MENSUAL ]]/30)*1.5,0))</f>
        <v>0</v>
      </c>
      <c r="I31" s="164">
        <f>IF(Tabla2[[#This Row],[V MENSUAL ]]="","",IF(PAIS="CHILE",IF(Tabla2[[#This Row],[V MENSUAL ]]*0.25&gt;133396,133396,Tabla2[[#This Row],[V MENSUAL ]]*0.25),0))</f>
        <v>0</v>
      </c>
      <c r="J31" s="1">
        <f>IF(Tabla2[[#This Row],[LOCAL]]="SI",0,1500000)</f>
        <v>1500000</v>
      </c>
      <c r="K31" s="19">
        <f>IF(Tabla2[[#This Row],[ADMINISTRATIVO]]="","",Tabla2[[#This Row],[OTRAS OBLIGACIONES]]/Tabla2[[#This Row],[V MENSUAL ]])</f>
        <v>0.5</v>
      </c>
      <c r="L31" s="19">
        <f>IF(Tabla2[[#This Row],[ADMINISTRATIVO]]="","",1+Tabla2[[#This Row],[% OTRAS OBLIGACIONES]]+Tabla2[[#This Row],[DESCUENTOS LEGALES]])</f>
        <v>2.1352000000000002</v>
      </c>
      <c r="M31" s="1">
        <f>IF(Tabla2[[#This Row],[V MENSUAL ]]="","",IF(Tabla2[[#This Row],[FACTOR PRESTACIONAL]]="","",Tabla2[[#This Row],[V MENSUAL ]]*Tabla2[[#This Row],[FACTOR PRESTACIONAL]]))</f>
        <v>6405600.0000000009</v>
      </c>
      <c r="N31" s="28">
        <v>110</v>
      </c>
      <c r="O31" s="1">
        <f>IF(Tabla2[[#This Row],[VALOR MES MAS FACTOR PRESTACIONAL ]]="","",IF(Tabla2[[#This Row],[HORAS TRABAJO AL MES]]="","",Tabla2[[#This Row],[VALOR MES MAS FACTOR PRESTACIONAL ]]/Tabla2[[#This Row],[HORAS TRABAJO AL MES]]))</f>
        <v>58232.727272727279</v>
      </c>
    </row>
    <row r="32" spans="1:15" ht="19.899999999999999" customHeight="1" x14ac:dyDescent="0.3">
      <c r="A32" s="270" t="s">
        <v>479</v>
      </c>
      <c r="B32" t="s">
        <v>184</v>
      </c>
      <c r="C32" s="274">
        <v>4000000</v>
      </c>
      <c r="D32" s="416" t="s">
        <v>65</v>
      </c>
      <c r="E32" s="275" t="s">
        <v>200</v>
      </c>
      <c r="F32" s="19">
        <f>IF(Tabla2[[#This Row],[ADMINISTRATIVO]]="","",+DESCUENTOS_LEGALES)</f>
        <v>0.63519999999999999</v>
      </c>
      <c r="G32" s="164">
        <f>IF(Tabla2[[#This Row],[V MENSUAL ]]="","",IF(PAIS="CHILE",(Tabla2[[#This Row],[V MENSUAL ]]/30)*2,0))</f>
        <v>0</v>
      </c>
      <c r="H32" s="164">
        <f>+IF(Tabla2[[#This Row],[V MENSUAL ]]="","",IF(PAIS="CHILE",(Tabla2[[#This Row],[V MENSUAL ]]/30)*1.5,0))</f>
        <v>0</v>
      </c>
      <c r="I32" s="164">
        <f>IF(Tabla2[[#This Row],[V MENSUAL ]]="","",IF(PAIS="CHILE",IF(Tabla2[[#This Row],[V MENSUAL ]]*0.25&gt;133396,133396,Tabla2[[#This Row],[V MENSUAL ]]*0.25),0))</f>
        <v>0</v>
      </c>
      <c r="J32" s="1">
        <f>IF(Tabla2[[#This Row],[LOCAL]]="SI",0,1500000)</f>
        <v>1500000</v>
      </c>
      <c r="K32" s="19">
        <f>IF(Tabla2[[#This Row],[ADMINISTRATIVO]]="","",Tabla2[[#This Row],[OTRAS OBLIGACIONES]]/Tabla2[[#This Row],[V MENSUAL ]])</f>
        <v>0.375</v>
      </c>
      <c r="L32" s="19">
        <f>IF(Tabla2[[#This Row],[ADMINISTRATIVO]]="","",1+Tabla2[[#This Row],[% OTRAS OBLIGACIONES]]+Tabla2[[#This Row],[DESCUENTOS LEGALES]])</f>
        <v>2.0102000000000002</v>
      </c>
      <c r="M32" s="1">
        <f>IF(Tabla2[[#This Row],[V MENSUAL ]]="","",IF(Tabla2[[#This Row],[FACTOR PRESTACIONAL]]="","",Tabla2[[#This Row],[V MENSUAL ]]*Tabla2[[#This Row],[FACTOR PRESTACIONAL]]))</f>
        <v>8040800.0000000009</v>
      </c>
      <c r="N32" s="28">
        <v>110</v>
      </c>
      <c r="O32" s="1">
        <f>IF(Tabla2[[#This Row],[VALOR MES MAS FACTOR PRESTACIONAL ]]="","",IF(Tabla2[[#This Row],[HORAS TRABAJO AL MES]]="","",Tabla2[[#This Row],[VALOR MES MAS FACTOR PRESTACIONAL ]]/Tabla2[[#This Row],[HORAS TRABAJO AL MES]]))</f>
        <v>73098.181818181823</v>
      </c>
    </row>
    <row r="33" spans="1:15" ht="19.899999999999999" customHeight="1" x14ac:dyDescent="0.3">
      <c r="A33" s="270" t="s">
        <v>480</v>
      </c>
      <c r="B33" t="s">
        <v>184</v>
      </c>
      <c r="C33" s="274">
        <v>4000000</v>
      </c>
      <c r="D33" s="416" t="s">
        <v>65</v>
      </c>
      <c r="E33" s="275" t="s">
        <v>200</v>
      </c>
      <c r="F33" s="19">
        <f>IF(Tabla2[[#This Row],[ADMINISTRATIVO]]="","",+DESCUENTOS_LEGALES)</f>
        <v>0.63519999999999999</v>
      </c>
      <c r="G33" s="164">
        <f>IF(Tabla2[[#This Row],[V MENSUAL ]]="","",IF(PAIS="CHILE",(Tabla2[[#This Row],[V MENSUAL ]]/30)*2,0))</f>
        <v>0</v>
      </c>
      <c r="H33" s="164">
        <f>+IF(Tabla2[[#This Row],[V MENSUAL ]]="","",IF(PAIS="CHILE",(Tabla2[[#This Row],[V MENSUAL ]]/30)*1.5,0))</f>
        <v>0</v>
      </c>
      <c r="I33" s="164">
        <f>IF(Tabla2[[#This Row],[V MENSUAL ]]="","",IF(PAIS="CHILE",IF(Tabla2[[#This Row],[V MENSUAL ]]*0.25&gt;133396,133396,Tabla2[[#This Row],[V MENSUAL ]]*0.25),0))</f>
        <v>0</v>
      </c>
      <c r="J33" s="1">
        <f>IF(Tabla2[[#This Row],[LOCAL]]="SI",0,1500000)</f>
        <v>1500000</v>
      </c>
      <c r="K33" s="19">
        <f>IF(Tabla2[[#This Row],[ADMINISTRATIVO]]="","",Tabla2[[#This Row],[OTRAS OBLIGACIONES]]/Tabla2[[#This Row],[V MENSUAL ]])</f>
        <v>0.375</v>
      </c>
      <c r="L33" s="19">
        <f>IF(Tabla2[[#This Row],[ADMINISTRATIVO]]="","",1+Tabla2[[#This Row],[% OTRAS OBLIGACIONES]]+Tabla2[[#This Row],[DESCUENTOS LEGALES]])</f>
        <v>2.0102000000000002</v>
      </c>
      <c r="M33" s="1">
        <f>IF(Tabla2[[#This Row],[V MENSUAL ]]="","",IF(Tabla2[[#This Row],[FACTOR PRESTACIONAL]]="","",Tabla2[[#This Row],[V MENSUAL ]]*Tabla2[[#This Row],[FACTOR PRESTACIONAL]]))</f>
        <v>8040800.0000000009</v>
      </c>
      <c r="N33" s="28">
        <v>110</v>
      </c>
      <c r="O33" s="1">
        <f>IF(Tabla2[[#This Row],[VALOR MES MAS FACTOR PRESTACIONAL ]]="","",IF(Tabla2[[#This Row],[HORAS TRABAJO AL MES]]="","",Tabla2[[#This Row],[VALOR MES MAS FACTOR PRESTACIONAL ]]/Tabla2[[#This Row],[HORAS TRABAJO AL MES]]))</f>
        <v>73098.181818181823</v>
      </c>
    </row>
    <row r="34" spans="1:15" ht="19.899999999999999" customHeight="1" x14ac:dyDescent="0.3">
      <c r="A34" s="270" t="s">
        <v>437</v>
      </c>
      <c r="B34" t="s">
        <v>184</v>
      </c>
      <c r="C34" s="274">
        <v>3000000</v>
      </c>
      <c r="D34" s="416" t="s">
        <v>65</v>
      </c>
      <c r="E34" s="275" t="s">
        <v>200</v>
      </c>
      <c r="F34" s="19">
        <f>IF(Tabla2[[#This Row],[ADMINISTRATIVO]]="","",+DESCUENTOS_LEGALES)</f>
        <v>0.63519999999999999</v>
      </c>
      <c r="G34" s="164">
        <f>IF(Tabla2[[#This Row],[V MENSUAL ]]="","",IF(PAIS="CHILE",(Tabla2[[#This Row],[V MENSUAL ]]/30)*2,0))</f>
        <v>0</v>
      </c>
      <c r="H34" s="164">
        <f>+IF(Tabla2[[#This Row],[V MENSUAL ]]="","",IF(PAIS="CHILE",(Tabla2[[#This Row],[V MENSUAL ]]/30)*1.5,0))</f>
        <v>0</v>
      </c>
      <c r="I34" s="164">
        <f>IF(Tabla2[[#This Row],[V MENSUAL ]]="","",IF(PAIS="CHILE",IF(Tabla2[[#This Row],[V MENSUAL ]]*0.25&gt;133396,133396,Tabla2[[#This Row],[V MENSUAL ]]*0.25),0))</f>
        <v>0</v>
      </c>
      <c r="J34" s="1">
        <f>IF(Tabla2[[#This Row],[LOCAL]]="SI",0,1500000)</f>
        <v>1500000</v>
      </c>
      <c r="K34" s="19">
        <f>IF(Tabla2[[#This Row],[ADMINISTRATIVO]]="","",Tabla2[[#This Row],[OTRAS OBLIGACIONES]]/Tabla2[[#This Row],[V MENSUAL ]])</f>
        <v>0.5</v>
      </c>
      <c r="L34" s="19">
        <f>IF(Tabla2[[#This Row],[ADMINISTRATIVO]]="","",1+Tabla2[[#This Row],[% OTRAS OBLIGACIONES]]+Tabla2[[#This Row],[DESCUENTOS LEGALES]])</f>
        <v>2.1352000000000002</v>
      </c>
      <c r="M34" s="1">
        <f>IF(Tabla2[[#This Row],[V MENSUAL ]]="","",IF(Tabla2[[#This Row],[FACTOR PRESTACIONAL]]="","",Tabla2[[#This Row],[V MENSUAL ]]*Tabla2[[#This Row],[FACTOR PRESTACIONAL]]))</f>
        <v>6405600.0000000009</v>
      </c>
      <c r="N34" s="28">
        <v>110</v>
      </c>
      <c r="O34" s="1">
        <f>IF(Tabla2[[#This Row],[VALOR MES MAS FACTOR PRESTACIONAL ]]="","",IF(Tabla2[[#This Row],[HORAS TRABAJO AL MES]]="","",Tabla2[[#This Row],[VALOR MES MAS FACTOR PRESTACIONAL ]]/Tabla2[[#This Row],[HORAS TRABAJO AL MES]]))</f>
        <v>58232.727272727279</v>
      </c>
    </row>
    <row r="35" spans="1:15" ht="19.899999999999999" customHeight="1" x14ac:dyDescent="0.3">
      <c r="A35" s="270" t="s">
        <v>511</v>
      </c>
      <c r="B35" t="s">
        <v>184</v>
      </c>
      <c r="C35" s="274">
        <v>1658800</v>
      </c>
      <c r="D35" s="416" t="s">
        <v>200</v>
      </c>
      <c r="E35" s="275" t="s">
        <v>200</v>
      </c>
      <c r="F35" s="19">
        <f>IF(Tabla2[[#This Row],[ADMINISTRATIVO]]="","",+DESCUENTOS_LEGALES)</f>
        <v>0.63519999999999999</v>
      </c>
      <c r="G35" s="164">
        <f>IF(Tabla2[[#This Row],[V MENSUAL ]]="","",IF(PAIS="CHILE",(Tabla2[[#This Row],[V MENSUAL ]]/30)*2,0))</f>
        <v>0</v>
      </c>
      <c r="H35" s="164">
        <f>+IF(Tabla2[[#This Row],[V MENSUAL ]]="","",IF(PAIS="CHILE",(Tabla2[[#This Row],[V MENSUAL ]]/30)*1.5,0))</f>
        <v>0</v>
      </c>
      <c r="I35" s="164">
        <f>IF(Tabla2[[#This Row],[V MENSUAL ]]="","",IF(PAIS="CHILE",IF(Tabla2[[#This Row],[V MENSUAL ]]*0.25&gt;133396,133396,Tabla2[[#This Row],[V MENSUAL ]]*0.25),0))</f>
        <v>0</v>
      </c>
      <c r="J35" s="1">
        <f>IF(Tabla2[[#This Row],[LOCAL]]="SI",0,1500000)</f>
        <v>0</v>
      </c>
      <c r="K35" s="19">
        <f>IF(Tabla2[[#This Row],[ADMINISTRATIVO]]="","",Tabla2[[#This Row],[OTRAS OBLIGACIONES]]/Tabla2[[#This Row],[V MENSUAL ]])</f>
        <v>0</v>
      </c>
      <c r="L35" s="19">
        <f>IF(Tabla2[[#This Row],[ADMINISTRATIVO]]="","",1+Tabla2[[#This Row],[% OTRAS OBLIGACIONES]]+Tabla2[[#This Row],[DESCUENTOS LEGALES]])</f>
        <v>1.6352</v>
      </c>
      <c r="M35" s="1">
        <f>IF(Tabla2[[#This Row],[V MENSUAL ]]="","",IF(Tabla2[[#This Row],[FACTOR PRESTACIONAL]]="","",Tabla2[[#This Row],[V MENSUAL ]]*Tabla2[[#This Row],[FACTOR PRESTACIONAL]]))</f>
        <v>2712469.76</v>
      </c>
      <c r="N35" s="28">
        <v>110</v>
      </c>
      <c r="O35" s="1">
        <f>IF(Tabla2[[#This Row],[VALOR MES MAS FACTOR PRESTACIONAL ]]="","",IF(Tabla2[[#This Row],[HORAS TRABAJO AL MES]]="","",Tabla2[[#This Row],[VALOR MES MAS FACTOR PRESTACIONAL ]]/Tabla2[[#This Row],[HORAS TRABAJO AL MES]]))</f>
        <v>24658.815999999999</v>
      </c>
    </row>
    <row r="36" spans="1:15" ht="19.899999999999999" customHeight="1" x14ac:dyDescent="0.3">
      <c r="A36" s="270" t="s">
        <v>515</v>
      </c>
      <c r="B36" t="s">
        <v>184</v>
      </c>
      <c r="C36" s="274">
        <v>4000000</v>
      </c>
      <c r="D36" s="416" t="s">
        <v>65</v>
      </c>
      <c r="E36" s="275" t="s">
        <v>200</v>
      </c>
      <c r="F36" s="19">
        <f>IF(Tabla2[[#This Row],[ADMINISTRATIVO]]="","",+DESCUENTOS_LEGALES)</f>
        <v>0.63519999999999999</v>
      </c>
      <c r="G36" s="164">
        <f>IF(Tabla2[[#This Row],[V MENSUAL ]]="","",IF(PAIS="CHILE",(Tabla2[[#This Row],[V MENSUAL ]]/30)*2,0))</f>
        <v>0</v>
      </c>
      <c r="H36" s="164">
        <f>+IF(Tabla2[[#This Row],[V MENSUAL ]]="","",IF(PAIS="CHILE",(Tabla2[[#This Row],[V MENSUAL ]]/30)*1.5,0))</f>
        <v>0</v>
      </c>
      <c r="I36" s="164">
        <f>IF(Tabla2[[#This Row],[V MENSUAL ]]="","",IF(PAIS="CHILE",IF(Tabla2[[#This Row],[V MENSUAL ]]*0.25&gt;133396,133396,Tabla2[[#This Row],[V MENSUAL ]]*0.25),0))</f>
        <v>0</v>
      </c>
      <c r="J36" s="1">
        <f>IF(Tabla2[[#This Row],[LOCAL]]="SI",0,1500000)</f>
        <v>1500000</v>
      </c>
      <c r="K36" s="19">
        <f>IF(Tabla2[[#This Row],[ADMINISTRATIVO]]="","",Tabla2[[#This Row],[OTRAS OBLIGACIONES]]/Tabla2[[#This Row],[V MENSUAL ]])</f>
        <v>0.375</v>
      </c>
      <c r="L36" s="19">
        <f>IF(Tabla2[[#This Row],[ADMINISTRATIVO]]="","",1+Tabla2[[#This Row],[% OTRAS OBLIGACIONES]]+Tabla2[[#This Row],[DESCUENTOS LEGALES]])</f>
        <v>2.0102000000000002</v>
      </c>
      <c r="M36" s="1">
        <f>IF(Tabla2[[#This Row],[V MENSUAL ]]="","",IF(Tabla2[[#This Row],[FACTOR PRESTACIONAL]]="","",Tabla2[[#This Row],[V MENSUAL ]]*Tabla2[[#This Row],[FACTOR PRESTACIONAL]]))</f>
        <v>8040800.0000000009</v>
      </c>
      <c r="N36" s="28">
        <v>110</v>
      </c>
      <c r="O36" s="1">
        <f>IF(Tabla2[[#This Row],[VALOR MES MAS FACTOR PRESTACIONAL ]]="","",IF(Tabla2[[#This Row],[HORAS TRABAJO AL MES]]="","",Tabla2[[#This Row],[VALOR MES MAS FACTOR PRESTACIONAL ]]/Tabla2[[#This Row],[HORAS TRABAJO AL MES]]))</f>
        <v>73098.181818181823</v>
      </c>
    </row>
    <row r="37" spans="1:15" ht="19.899999999999999" customHeight="1" x14ac:dyDescent="0.3">
      <c r="A37" s="270" t="s">
        <v>589</v>
      </c>
      <c r="B37" t="s">
        <v>184</v>
      </c>
      <c r="C37" s="274">
        <v>4000000</v>
      </c>
      <c r="D37" s="416" t="s">
        <v>200</v>
      </c>
      <c r="E37" s="275" t="s">
        <v>200</v>
      </c>
      <c r="F37" s="19">
        <f>IF(Tabla2[[#This Row],[ADMINISTRATIVO]]="","",+DESCUENTOS_LEGALES)</f>
        <v>0.63519999999999999</v>
      </c>
      <c r="G37" s="164">
        <f>IF(Tabla2[[#This Row],[V MENSUAL ]]="","",IF(PAIS="CHILE",(Tabla2[[#This Row],[V MENSUAL ]]/30)*2,0))</f>
        <v>0</v>
      </c>
      <c r="H37" s="164">
        <f>+IF(Tabla2[[#This Row],[V MENSUAL ]]="","",IF(PAIS="CHILE",(Tabla2[[#This Row],[V MENSUAL ]]/30)*1.5,0))</f>
        <v>0</v>
      </c>
      <c r="I37" s="164">
        <f>IF(Tabla2[[#This Row],[V MENSUAL ]]="","",IF(PAIS="CHILE",IF(Tabla2[[#This Row],[V MENSUAL ]]*0.25&gt;133396,133396,Tabla2[[#This Row],[V MENSUAL ]]*0.25),0))</f>
        <v>0</v>
      </c>
      <c r="J37" s="1">
        <f>IF(Tabla2[[#This Row],[LOCAL]]="SI",0,1500000)</f>
        <v>0</v>
      </c>
      <c r="K37" s="19">
        <f>IF(Tabla2[[#This Row],[ADMINISTRATIVO]]="","",Tabla2[[#This Row],[OTRAS OBLIGACIONES]]/Tabla2[[#This Row],[V MENSUAL ]])</f>
        <v>0</v>
      </c>
      <c r="L37" s="19">
        <f>IF(Tabla2[[#This Row],[ADMINISTRATIVO]]="","",1+Tabla2[[#This Row],[% OTRAS OBLIGACIONES]]+Tabla2[[#This Row],[DESCUENTOS LEGALES]])</f>
        <v>1.6352</v>
      </c>
      <c r="M37" s="1">
        <f>IF(Tabla2[[#This Row],[V MENSUAL ]]="","",IF(Tabla2[[#This Row],[FACTOR PRESTACIONAL]]="","",Tabla2[[#This Row],[V MENSUAL ]]*Tabla2[[#This Row],[FACTOR PRESTACIONAL]]))</f>
        <v>6540800</v>
      </c>
      <c r="N37" s="28">
        <v>110</v>
      </c>
      <c r="O37" s="1">
        <f>IF(Tabla2[[#This Row],[VALOR MES MAS FACTOR PRESTACIONAL ]]="","",IF(Tabla2[[#This Row],[HORAS TRABAJO AL MES]]="","",Tabla2[[#This Row],[VALOR MES MAS FACTOR PRESTACIONAL ]]/Tabla2[[#This Row],[HORAS TRABAJO AL MES]]))</f>
        <v>59461.818181818184</v>
      </c>
    </row>
    <row r="38" spans="1:15" ht="19.899999999999999" customHeight="1" x14ac:dyDescent="0.3">
      <c r="A38" s="270" t="s">
        <v>357</v>
      </c>
      <c r="B38" t="s">
        <v>184</v>
      </c>
      <c r="C38" s="274">
        <v>1658800</v>
      </c>
      <c r="D38" s="416" t="s">
        <v>200</v>
      </c>
      <c r="E38" s="275" t="s">
        <v>65</v>
      </c>
      <c r="F38" s="19">
        <f>IF(Tabla2[[#This Row],[ADMINISTRATIVO]]="","",+DESCUENTOS_LEGALES)</f>
        <v>0.63519999999999999</v>
      </c>
      <c r="G38" s="164">
        <f>IF(Tabla2[[#This Row],[V MENSUAL ]]="","",IF(PAIS="CHILE",(Tabla2[[#This Row],[V MENSUAL ]]/30)*2,0))</f>
        <v>0</v>
      </c>
      <c r="H38" s="164">
        <f>+IF(Tabla2[[#This Row],[V MENSUAL ]]="","",IF(PAIS="CHILE",(Tabla2[[#This Row],[V MENSUAL ]]/30)*1.5,0))</f>
        <v>0</v>
      </c>
      <c r="I38" s="164">
        <f>IF(Tabla2[[#This Row],[V MENSUAL ]]="","",IF(PAIS="CHILE",IF(Tabla2[[#This Row],[V MENSUAL ]]*0.25&gt;133396,133396,Tabla2[[#This Row],[V MENSUAL ]]*0.25),0))</f>
        <v>0</v>
      </c>
      <c r="J38" s="1">
        <f>IF(Tabla2[[#This Row],[LOCAL]]="SI",0,1500000)</f>
        <v>0</v>
      </c>
      <c r="K38" s="19">
        <f>IF(Tabla2[[#This Row],[ADMINISTRATIVO]]="","",Tabla2[[#This Row],[OTRAS OBLIGACIONES]]/Tabla2[[#This Row],[V MENSUAL ]])</f>
        <v>0</v>
      </c>
      <c r="L38" s="19">
        <f>IF(Tabla2[[#This Row],[ADMINISTRATIVO]]="","",1+Tabla2[[#This Row],[% OTRAS OBLIGACIONES]]+Tabla2[[#This Row],[DESCUENTOS LEGALES]])</f>
        <v>1.6352</v>
      </c>
      <c r="M38" s="1">
        <f>IF(Tabla2[[#This Row],[V MENSUAL ]]="","",IF(Tabla2[[#This Row],[FACTOR PRESTACIONAL]]="","",Tabla2[[#This Row],[V MENSUAL ]]*Tabla2[[#This Row],[FACTOR PRESTACIONAL]]))</f>
        <v>2712469.76</v>
      </c>
      <c r="N38" s="28">
        <v>110</v>
      </c>
      <c r="O38" s="1">
        <f>IF(Tabla2[[#This Row],[VALOR MES MAS FACTOR PRESTACIONAL ]]="","",IF(Tabla2[[#This Row],[HORAS TRABAJO AL MES]]="","",Tabla2[[#This Row],[VALOR MES MAS FACTOR PRESTACIONAL ]]/Tabla2[[#This Row],[HORAS TRABAJO AL MES]]))</f>
        <v>24658.815999999999</v>
      </c>
    </row>
    <row r="39" spans="1:15" ht="19.899999999999999" customHeight="1" x14ac:dyDescent="0.3">
      <c r="A39" s="270" t="s">
        <v>302</v>
      </c>
      <c r="B39" t="s">
        <v>184</v>
      </c>
      <c r="C39" s="274">
        <v>4000000</v>
      </c>
      <c r="D39" s="416" t="s">
        <v>65</v>
      </c>
      <c r="E39" s="275" t="s">
        <v>200</v>
      </c>
      <c r="F39" s="19">
        <f>IF(Tabla2[[#This Row],[ADMINISTRATIVO]]="","",+DESCUENTOS_LEGALES)</f>
        <v>0.63519999999999999</v>
      </c>
      <c r="G39" s="164">
        <f>IF(Tabla2[[#This Row],[V MENSUAL ]]="","",IF(PAIS="CHILE",(Tabla2[[#This Row],[V MENSUAL ]]/30)*2,0))</f>
        <v>0</v>
      </c>
      <c r="H39" s="164">
        <f>+IF(Tabla2[[#This Row],[V MENSUAL ]]="","",IF(PAIS="CHILE",(Tabla2[[#This Row],[V MENSUAL ]]/30)*1.5,0))</f>
        <v>0</v>
      </c>
      <c r="I39" s="164">
        <f>IF(Tabla2[[#This Row],[V MENSUAL ]]="","",IF(PAIS="CHILE",IF(Tabla2[[#This Row],[V MENSUAL ]]*0.25&gt;133396,133396,Tabla2[[#This Row],[V MENSUAL ]]*0.25),0))</f>
        <v>0</v>
      </c>
      <c r="J39" s="1">
        <f>IF(Tabla2[[#This Row],[LOCAL]]="SI",0,1500000)</f>
        <v>1500000</v>
      </c>
      <c r="K39" s="19">
        <f>IF(Tabla2[[#This Row],[ADMINISTRATIVO]]="","",Tabla2[[#This Row],[OTRAS OBLIGACIONES]]/Tabla2[[#This Row],[V MENSUAL ]])</f>
        <v>0.375</v>
      </c>
      <c r="L39" s="19">
        <f>IF(Tabla2[[#This Row],[ADMINISTRATIVO]]="","",1+Tabla2[[#This Row],[% OTRAS OBLIGACIONES]]+Tabla2[[#This Row],[DESCUENTOS LEGALES]])</f>
        <v>2.0102000000000002</v>
      </c>
      <c r="M39" s="1">
        <f>IF(Tabla2[[#This Row],[V MENSUAL ]]="","",IF(Tabla2[[#This Row],[FACTOR PRESTACIONAL]]="","",Tabla2[[#This Row],[V MENSUAL ]]*Tabla2[[#This Row],[FACTOR PRESTACIONAL]]))</f>
        <v>8040800.0000000009</v>
      </c>
      <c r="N39" s="28">
        <v>110</v>
      </c>
      <c r="O39" s="1">
        <f>IF(Tabla2[[#This Row],[VALOR MES MAS FACTOR PRESTACIONAL ]]="","",IF(Tabla2[[#This Row],[HORAS TRABAJO AL MES]]="","",Tabla2[[#This Row],[VALOR MES MAS FACTOR PRESTACIONAL ]]/Tabla2[[#This Row],[HORAS TRABAJO AL MES]]))</f>
        <v>73098.181818181823</v>
      </c>
    </row>
    <row r="40" spans="1:15" ht="19.899999999999999" customHeight="1" x14ac:dyDescent="0.3">
      <c r="A40" s="270"/>
      <c r="B40" t="s">
        <v>184</v>
      </c>
      <c r="C40" s="274"/>
      <c r="D40" s="416"/>
      <c r="E40" s="275"/>
      <c r="F40" s="19" t="str">
        <f>IF(Tabla2[[#This Row],[ADMINISTRATIVO]]="","",+DESCUENTOS_LEGALES)</f>
        <v/>
      </c>
      <c r="G40" s="164" t="str">
        <f>IF(Tabla2[[#This Row],[V MENSUAL ]]="","",IF(PAIS="CHILE",(Tabla2[[#This Row],[V MENSUAL ]]/30)*2,0))</f>
        <v/>
      </c>
      <c r="H40" s="164" t="str">
        <f>+IF(Tabla2[[#This Row],[V MENSUAL ]]="","",IF(PAIS="CHILE",(Tabla2[[#This Row],[V MENSUAL ]]/30)*1.5,0))</f>
        <v/>
      </c>
      <c r="I40" s="164" t="str">
        <f>IF(Tabla2[[#This Row],[V MENSUAL ]]="","",IF(PAIS="CHILE",IF(Tabla2[[#This Row],[V MENSUAL ]]*0.25&gt;133396,133396,Tabla2[[#This Row],[V MENSUAL ]]*0.25),0))</f>
        <v/>
      </c>
      <c r="J40" s="1">
        <f>IF(Tabla2[[#This Row],[LOCAL]]="SI",0,1500000)</f>
        <v>1500000</v>
      </c>
      <c r="K40" s="19" t="str">
        <f>IF(Tabla2[[#This Row],[ADMINISTRATIVO]]="","",Tabla2[[#This Row],[OTRAS OBLIGACIONES]]/Tabla2[[#This Row],[V MENSUAL ]])</f>
        <v/>
      </c>
      <c r="L40" s="19" t="str">
        <f>IF(Tabla2[[#This Row],[ADMINISTRATIVO]]="","",1+Tabla2[[#This Row],[% OTRAS OBLIGACIONES]]+Tabla2[[#This Row],[DESCUENTOS LEGALES]])</f>
        <v/>
      </c>
      <c r="M40" s="1" t="str">
        <f>IF(Tabla2[[#This Row],[V MENSUAL ]]="","",IF(Tabla2[[#This Row],[FACTOR PRESTACIONAL]]="","",Tabla2[[#This Row],[V MENSUAL ]]*Tabla2[[#This Row],[FACTOR PRESTACIONAL]]))</f>
        <v/>
      </c>
      <c r="N40" s="28">
        <v>110</v>
      </c>
      <c r="O40" s="1" t="str">
        <f>IF(Tabla2[[#This Row],[VALOR MES MAS FACTOR PRESTACIONAL ]]="","",IF(Tabla2[[#This Row],[HORAS TRABAJO AL MES]]="","",Tabla2[[#This Row],[VALOR MES MAS FACTOR PRESTACIONAL ]]/Tabla2[[#This Row],[HORAS TRABAJO AL MES]]))</f>
        <v/>
      </c>
    </row>
    <row r="41" spans="1:15" ht="19.899999999999999" customHeight="1" thickBot="1" x14ac:dyDescent="0.35">
      <c r="A41" s="271"/>
      <c r="B41" t="s">
        <v>184</v>
      </c>
      <c r="C41" s="276"/>
      <c r="D41" s="417"/>
      <c r="E41" s="277"/>
      <c r="F41" s="19" t="str">
        <f>IF(Tabla2[[#This Row],[ADMINISTRATIVO]]="","",+DESCUENTOS_LEGALES)</f>
        <v/>
      </c>
      <c r="G41" s="164" t="str">
        <f>IF(Tabla2[[#This Row],[V MENSUAL ]]="","",IF(PAIS="CHILE",(Tabla2[[#This Row],[V MENSUAL ]]/30)*2,0))</f>
        <v/>
      </c>
      <c r="H41" s="164" t="str">
        <f>+IF(Tabla2[[#This Row],[V MENSUAL ]]="","",IF(PAIS="CHILE",(Tabla2[[#This Row],[V MENSUAL ]]/30)*1.5,0))</f>
        <v/>
      </c>
      <c r="I41" s="164" t="str">
        <f>IF(Tabla2[[#This Row],[V MENSUAL ]]="","",IF(PAIS="CHILE",IF(Tabla2[[#This Row],[V MENSUAL ]]*0.25&gt;133396,133396,Tabla2[[#This Row],[V MENSUAL ]]*0.25),0))</f>
        <v/>
      </c>
      <c r="J41" s="1">
        <f>IF(Tabla2[[#This Row],[LOCAL]]="SI",0,1500000)</f>
        <v>1500000</v>
      </c>
      <c r="K41" s="19" t="str">
        <f>IF(Tabla2[[#This Row],[ADMINISTRATIVO]]="","",Tabla2[[#This Row],[OTRAS OBLIGACIONES]]/Tabla2[[#This Row],[V MENSUAL ]])</f>
        <v/>
      </c>
      <c r="L41" s="19" t="str">
        <f>IF(Tabla2[[#This Row],[ADMINISTRATIVO]]="","",1+Tabla2[[#This Row],[% OTRAS OBLIGACIONES]]+Tabla2[[#This Row],[DESCUENTOS LEGALES]])</f>
        <v/>
      </c>
      <c r="M41" s="1" t="str">
        <f>IF(Tabla2[[#This Row],[V MENSUAL ]]="","",IF(Tabla2[[#This Row],[FACTOR PRESTACIONAL]]="","",Tabla2[[#This Row],[V MENSUAL ]]*Tabla2[[#This Row],[FACTOR PRESTACIONAL]]))</f>
        <v/>
      </c>
      <c r="N41" s="28">
        <v>110</v>
      </c>
      <c r="O41" s="1" t="str">
        <f>IF(Tabla2[[#This Row],[VALOR MES MAS FACTOR PRESTACIONAL ]]="","",IF(Tabla2[[#This Row],[HORAS TRABAJO AL MES]]="","",Tabla2[[#This Row],[VALOR MES MAS FACTOR PRESTACIONAL ]]/Tabla2[[#This Row],[HORAS TRABAJO AL MES]]))</f>
        <v/>
      </c>
    </row>
    <row r="42" spans="1:15" ht="19.899999999999999" customHeight="1" x14ac:dyDescent="0.3"/>
    <row r="43" spans="1:15" ht="19.899999999999999" customHeight="1" x14ac:dyDescent="0.3"/>
    <row r="44" spans="1:15" ht="19.899999999999999" customHeight="1" x14ac:dyDescent="0.3"/>
  </sheetData>
  <mergeCells count="4">
    <mergeCell ref="B1:K1"/>
    <mergeCell ref="B2:K2"/>
    <mergeCell ref="A3:K3"/>
    <mergeCell ref="O1:O2"/>
  </mergeCells>
  <phoneticPr fontId="42" type="noConversion"/>
  <dataValidations count="1">
    <dataValidation type="list" allowBlank="1" showInputMessage="1" showErrorMessage="1" sqref="D5:E41" xr:uid="{4ED0003B-C5AB-4DF5-8BED-E136495C76EF}">
      <formula1>"SI,NO"</formula1>
    </dataValidation>
  </dataValidations>
  <pageMargins left="0.7" right="0.7" top="0.75" bottom="0.75" header="0.3" footer="0.3"/>
  <pageSetup scale="20" orientation="portrait" r:id="rId1"/>
  <colBreaks count="1" manualBreakCount="1">
    <brk id="15" max="1048575" man="1"/>
  </colBreaks>
  <drawing r:id="rId2"/>
  <legacyDrawing r:id="rId3"/>
  <tableParts count="1">
    <tablePart r:id="rId4"/>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E19566-21AE-4B4C-A270-4109F30BC174}">
  <sheetPr codeName="Hoja6">
    <tabColor rgb="FFFFFF00"/>
  </sheetPr>
  <dimension ref="A1:J244"/>
  <sheetViews>
    <sheetView showGridLines="0" zoomScale="102" zoomScaleNormal="70" zoomScaleSheetLayoutView="70" workbookViewId="0">
      <pane ySplit="4" topLeftCell="A42" activePane="bottomLeft" state="frozen"/>
      <selection pane="bottomLeft"/>
    </sheetView>
  </sheetViews>
  <sheetFormatPr defaultColWidth="11" defaultRowHeight="16.5" x14ac:dyDescent="0.3"/>
  <cols>
    <col min="1" max="1" width="22.375" hidden="1" customWidth="1"/>
    <col min="2" max="2" width="85.625" bestFit="1" customWidth="1"/>
    <col min="4" max="4" width="18.625" bestFit="1" customWidth="1"/>
    <col min="5" max="5" width="29.375" customWidth="1"/>
    <col min="6" max="6" width="40.375" customWidth="1"/>
    <col min="7" max="7" width="32.125" customWidth="1"/>
    <col min="8" max="9" width="110.625" bestFit="1" customWidth="1"/>
    <col min="10" max="10" width="16.625" bestFit="1" customWidth="1"/>
  </cols>
  <sheetData>
    <row r="1" spans="1:10" ht="39.75" customHeight="1" thickBot="1" x14ac:dyDescent="0.35">
      <c r="A1" s="86" t="s">
        <v>2</v>
      </c>
      <c r="B1" s="521" t="str">
        <f>NOMBRE_DEL_PROYECTO</f>
        <v>MYT ENERGY PARQUE FOTOVOLTAICO TEPUY 108 MW</v>
      </c>
      <c r="C1" s="522"/>
      <c r="D1" s="522"/>
      <c r="E1" s="522"/>
      <c r="F1" s="522"/>
      <c r="G1" s="522"/>
      <c r="H1" s="522"/>
      <c r="I1" s="522"/>
      <c r="J1" s="523"/>
    </row>
    <row r="2" spans="1:10" ht="19.5" customHeight="1" thickBot="1" x14ac:dyDescent="0.35">
      <c r="A2" s="86" t="s">
        <v>3</v>
      </c>
      <c r="B2" s="524">
        <f ca="1">FECHA</f>
        <v>45726</v>
      </c>
      <c r="C2" s="525"/>
      <c r="D2" s="525"/>
      <c r="E2" s="525"/>
      <c r="F2" s="525"/>
      <c r="G2" s="525"/>
      <c r="H2" s="525"/>
      <c r="I2" s="525"/>
      <c r="J2" s="526"/>
    </row>
    <row r="3" spans="1:10" ht="38.25" customHeight="1" thickBot="1" x14ac:dyDescent="0.35">
      <c r="A3" s="132"/>
      <c r="B3" s="527" t="s">
        <v>129</v>
      </c>
      <c r="C3" s="528"/>
      <c r="D3" s="528"/>
      <c r="E3" s="528"/>
      <c r="F3" s="528"/>
      <c r="G3" s="528"/>
      <c r="H3" s="528"/>
      <c r="I3" s="528"/>
      <c r="J3" s="529"/>
    </row>
    <row r="4" spans="1:10" x14ac:dyDescent="0.3">
      <c r="A4" t="s">
        <v>15</v>
      </c>
      <c r="B4" t="s">
        <v>16</v>
      </c>
      <c r="C4" t="s">
        <v>4</v>
      </c>
      <c r="D4" t="s">
        <v>17</v>
      </c>
      <c r="E4" t="s">
        <v>18</v>
      </c>
      <c r="F4" t="s">
        <v>19</v>
      </c>
      <c r="G4" t="s">
        <v>20</v>
      </c>
      <c r="H4" t="s">
        <v>6</v>
      </c>
      <c r="I4" t="s">
        <v>7</v>
      </c>
      <c r="J4" t="s">
        <v>21</v>
      </c>
    </row>
    <row r="5" spans="1:10" x14ac:dyDescent="0.3">
      <c r="A5" t="str">
        <f>IF(Tabla4[[#This Row],[MATERIAL]]="","",CONCATENATE(Tabla4[[#This Row],[MATERIAL]],"-",Tabla4[[#This Row],[MARCA ]],"-",Tabla4[[#This Row],[PROVEEDOR ]],"-",Tabla4[[#This Row],[USO-CATEGORIA]]))</f>
        <v>HERRAMIENTA MENOR---</v>
      </c>
      <c r="B5" t="s">
        <v>358</v>
      </c>
      <c r="C5" t="s">
        <v>4</v>
      </c>
      <c r="D5" s="1">
        <v>340000</v>
      </c>
    </row>
    <row r="6" spans="1:10" x14ac:dyDescent="0.3">
      <c r="A6" t="str">
        <f>IF(Tabla4[[#This Row],[MATERIAL]]="","",CONCATENATE(Tabla4[[#This Row],[MATERIAL]],"-",Tabla4[[#This Row],[MARCA ]],"-",Tabla4[[#This Row],[PROVEEDOR ]],"-",Tabla4[[#This Row],[USO-CATEGORIA]]))</f>
        <v>FIERROS---</v>
      </c>
      <c r="B6" t="s">
        <v>359</v>
      </c>
      <c r="C6" t="s">
        <v>4</v>
      </c>
      <c r="D6" s="1">
        <v>150000</v>
      </c>
    </row>
    <row r="7" spans="1:10" x14ac:dyDescent="0.3">
      <c r="A7" t="str">
        <f>IF(Tabla4[[#This Row],[MATERIAL]]="","",CONCATENATE(Tabla4[[#This Row],[MATERIAL]],"-",Tabla4[[#This Row],[MARCA ]],"-",Tabla4[[#This Row],[PROVEEDOR ]],"-",Tabla4[[#This Row],[USO-CATEGORIA]]))</f>
        <v>TORQUIMETRO DIGITAL - ACREDITACION---</v>
      </c>
      <c r="B7" t="s">
        <v>363</v>
      </c>
      <c r="C7" t="s">
        <v>4</v>
      </c>
      <c r="D7" s="1">
        <v>1250000</v>
      </c>
    </row>
    <row r="8" spans="1:10" x14ac:dyDescent="0.3">
      <c r="A8" t="str">
        <f>IF(Tabla4[[#This Row],[MATERIAL]]="","",CONCATENATE(Tabla4[[#This Row],[MATERIAL]],"-",Tabla4[[#This Row],[MARCA ]],"-",Tabla4[[#This Row],[PROVEEDOR ]],"-",Tabla4[[#This Row],[USO-CATEGORIA]]))</f>
        <v>HERRAMIENTA TORQUE HILTI---</v>
      </c>
      <c r="B8" t="s">
        <v>365</v>
      </c>
      <c r="C8" t="s">
        <v>4</v>
      </c>
      <c r="D8" s="1">
        <v>870000</v>
      </c>
    </row>
    <row r="9" spans="1:10" x14ac:dyDescent="0.3">
      <c r="A9" t="str">
        <f>IF(Tabla4[[#This Row],[MATERIAL]]="","",CONCATENATE(Tabla4[[#This Row],[MATERIAL]],"-",Tabla4[[#This Row],[MARCA ]],"-",Tabla4[[#This Row],[PROVEEDOR ]],"-",Tabla4[[#This Row],[USO-CATEGORIA]]))</f>
        <v>BRIDA PLASTICA UV---</v>
      </c>
      <c r="B9" t="s">
        <v>390</v>
      </c>
      <c r="C9" t="s">
        <v>4</v>
      </c>
      <c r="D9" s="1">
        <f>1750*1.1</f>
        <v>1925.0000000000002</v>
      </c>
    </row>
    <row r="10" spans="1:10" x14ac:dyDescent="0.3">
      <c r="A10" t="str">
        <f>IF(Tabla4[[#This Row],[MATERIAL]]="","",CONCATENATE(Tabla4[[#This Row],[MATERIAL]],"-",Tabla4[[#This Row],[MARCA ]],"-",Tabla4[[#This Row],[PROVEEDOR ]],"-",Tabla4[[#This Row],[USO-CATEGORIA]]))</f>
        <v>CONECTOR MC4---</v>
      </c>
      <c r="B10" t="s">
        <v>391</v>
      </c>
      <c r="C10" t="s">
        <v>4</v>
      </c>
      <c r="D10" s="1">
        <v>10000</v>
      </c>
    </row>
    <row r="11" spans="1:10" x14ac:dyDescent="0.3">
      <c r="A11" t="str">
        <f>IF(Tabla4[[#This Row],[MATERIAL]]="","",CONCATENATE(Tabla4[[#This Row],[MATERIAL]],"-",Tabla4[[#This Row],[MARCA ]],"-",Tabla4[[#This Row],[PROVEEDOR ]],"-",Tabla4[[#This Row],[USO-CATEGORIA]]))</f>
        <v>PROTECCION PLASTICA ML---</v>
      </c>
      <c r="B11" t="s">
        <v>392</v>
      </c>
      <c r="C11" t="s">
        <v>374</v>
      </c>
      <c r="D11" s="1">
        <f>15000*1.1</f>
        <v>16500</v>
      </c>
    </row>
    <row r="12" spans="1:10" x14ac:dyDescent="0.3">
      <c r="A12" t="str">
        <f>IF(Tabla4[[#This Row],[MATERIAL]]="","",CONCATENATE(Tabla4[[#This Row],[MATERIAL]],"-",Tabla4[[#This Row],[MARCA ]],"-",Tabla4[[#This Row],[PROVEEDOR ]],"-",Tabla4[[#This Row],[USO-CATEGORIA]]))</f>
        <v>ETIQUETA PLASTICA---</v>
      </c>
      <c r="B12" s="133" t="s">
        <v>397</v>
      </c>
      <c r="C12" s="147" t="s">
        <v>4</v>
      </c>
      <c r="D12" s="148">
        <v>13458</v>
      </c>
    </row>
    <row r="13" spans="1:10" x14ac:dyDescent="0.3">
      <c r="A13" t="str">
        <f>IF(Tabla4[[#This Row],[MATERIAL]]="","",CONCATENATE(Tabla4[[#This Row],[MATERIAL]],"-",Tabla4[[#This Row],[MARCA ]],"-",Tabla4[[#This Row],[PROVEEDOR ]],"-",Tabla4[[#This Row],[USO-CATEGORIA]]))</f>
        <v>EMPALME MEDIA TENSION---</v>
      </c>
      <c r="B13" t="s">
        <v>401</v>
      </c>
      <c r="C13" s="147" t="s">
        <v>4</v>
      </c>
      <c r="D13" s="1">
        <v>2300000</v>
      </c>
    </row>
    <row r="14" spans="1:10" x14ac:dyDescent="0.3">
      <c r="A14" t="str">
        <f>IF(Tabla4[[#This Row],[MATERIAL]]="","",CONCATENATE(Tabla4[[#This Row],[MATERIAL]],"-",Tabla4[[#This Row],[MARCA ]],"-",Tabla4[[#This Row],[PROVEEDOR ]],"-",Tabla4[[#This Row],[USO-CATEGORIA]]))</f>
        <v>CONECTOR FIBRA OPTICA SC---</v>
      </c>
      <c r="B14" t="s">
        <v>403</v>
      </c>
      <c r="C14" s="147" t="s">
        <v>374</v>
      </c>
      <c r="D14" s="1">
        <v>23500</v>
      </c>
    </row>
    <row r="15" spans="1:10" x14ac:dyDescent="0.3">
      <c r="A15" t="str">
        <f>IF(Tabla4[[#This Row],[MATERIAL]]="","",CONCATENATE(Tabla4[[#This Row],[MATERIAL]],"-",Tabla4[[#This Row],[MARCA ]],"-",Tabla4[[#This Row],[PROVEEDOR ]],"-",Tabla4[[#This Row],[USO-CATEGORIA]]))</f>
        <v>CINTA PRECAUCION ---</v>
      </c>
      <c r="B15" t="s">
        <v>406</v>
      </c>
      <c r="C15" s="147" t="s">
        <v>374</v>
      </c>
      <c r="D15" s="1">
        <v>400</v>
      </c>
    </row>
    <row r="16" spans="1:10" x14ac:dyDescent="0.3">
      <c r="A16" t="str">
        <f>IF(Tabla4[[#This Row],[MATERIAL]]="","",CONCATENATE(Tabla4[[#This Row],[MATERIAL]],"-",Tabla4[[#This Row],[MARCA ]],"-",Tabla4[[#This Row],[PROVEEDOR ]],"-",Tabla4[[#This Row],[USO-CATEGORIA]]))</f>
        <v>CONCRETO ---</v>
      </c>
      <c r="B16" t="s">
        <v>408</v>
      </c>
      <c r="C16" s="147" t="s">
        <v>389</v>
      </c>
      <c r="D16" s="1">
        <f>950000*1.19</f>
        <v>1130500</v>
      </c>
    </row>
    <row r="17" spans="1:9" x14ac:dyDescent="0.3">
      <c r="A17" t="str">
        <f>IF(Tabla4[[#This Row],[MATERIAL]]="","",CONCATENATE(Tabla4[[#This Row],[MATERIAL]],"-",Tabla4[[#This Row],[MARCA ]],"-",Tabla4[[#This Row],[PROVEEDOR ]],"-",Tabla4[[#This Row],[USO-CATEGORIA]]))</f>
        <v>ARENA ---</v>
      </c>
      <c r="B17" t="s">
        <v>410</v>
      </c>
      <c r="C17" s="147" t="s">
        <v>389</v>
      </c>
      <c r="D17" s="1">
        <v>86000</v>
      </c>
    </row>
    <row r="18" spans="1:9" x14ac:dyDescent="0.3">
      <c r="A18" t="str">
        <f>IF(Tabla4[[#This Row],[MATERIAL]]="","",CONCATENATE(Tabla4[[#This Row],[MATERIAL]],"-",Tabla4[[#This Row],[MARCA ]],"-",Tabla4[[#This Row],[PROVEEDOR ]],"-",Tabla4[[#This Row],[USO-CATEGORIA]]))</f>
        <v>TUBERIA CORRUGADA PEAD 2 PULGADAS---</v>
      </c>
      <c r="B18" t="s">
        <v>412</v>
      </c>
      <c r="C18" s="147" t="s">
        <v>374</v>
      </c>
      <c r="D18" s="1">
        <f>6300*1.2</f>
        <v>7560</v>
      </c>
    </row>
    <row r="19" spans="1:9" x14ac:dyDescent="0.3">
      <c r="A19" t="str">
        <f>IF(Tabla4[[#This Row],[MATERIAL]]="","",CONCATENATE(Tabla4[[#This Row],[MATERIAL]],"-",Tabla4[[#This Row],[MARCA ]],"-",Tabla4[[#This Row],[PROVEEDOR ]],"-",Tabla4[[#This Row],[USO-CATEGORIA]]))</f>
        <v>TUBERIA 4"---</v>
      </c>
      <c r="B19" t="s">
        <v>414</v>
      </c>
      <c r="C19" s="147" t="s">
        <v>374</v>
      </c>
      <c r="D19" s="1">
        <f>18970*1.1</f>
        <v>20867</v>
      </c>
    </row>
    <row r="20" spans="1:9" x14ac:dyDescent="0.3">
      <c r="A20" t="str">
        <f>IF(Tabla4[[#This Row],[MATERIAL]]="","",CONCATENATE(Tabla4[[#This Row],[MATERIAL]],"-",Tabla4[[#This Row],[MARCA ]],"-",Tabla4[[#This Row],[PROVEEDOR ]],"-",Tabla4[[#This Row],[USO-CATEGORIA]]))</f>
        <v>TUBERIA 6"---</v>
      </c>
      <c r="B20" t="s">
        <v>415</v>
      </c>
      <c r="C20" s="147" t="s">
        <v>374</v>
      </c>
      <c r="D20" s="1">
        <f>(310000/6)*1.1</f>
        <v>56833.333333333336</v>
      </c>
    </row>
    <row r="21" spans="1:9" x14ac:dyDescent="0.3">
      <c r="A21" t="str">
        <f>IF(Tabla4[[#This Row],[MATERIAL]]="","",CONCATENATE(Tabla4[[#This Row],[MATERIAL]],"-",Tabla4[[#This Row],[MARCA ]],"-",Tabla4[[#This Row],[PROVEEDOR ]],"-",Tabla4[[#This Row],[USO-CATEGORIA]]))</f>
        <v>monolito---</v>
      </c>
      <c r="B21" t="s">
        <v>417</v>
      </c>
      <c r="C21" s="147" t="s">
        <v>418</v>
      </c>
      <c r="D21" s="1">
        <v>890000</v>
      </c>
    </row>
    <row r="22" spans="1:9" x14ac:dyDescent="0.3">
      <c r="A22" t="str">
        <f>IF(Tabla4[[#This Row],[MATERIAL]]="","",CONCATENATE(Tabla4[[#This Row],[MATERIAL]],"-",Tabla4[[#This Row],[MARCA ]],"-",Tabla4[[#This Row],[PROVEEDOR ]],"-",Tabla4[[#This Row],[USO-CATEGORIA]]))</f>
        <v>soldadura exotermica 250gr---</v>
      </c>
      <c r="B22" t="s">
        <v>420</v>
      </c>
      <c r="C22" s="147" t="s">
        <v>418</v>
      </c>
      <c r="D22" s="1">
        <v>34080</v>
      </c>
    </row>
    <row r="23" spans="1:9" x14ac:dyDescent="0.3">
      <c r="A23" t="str">
        <f>IF(Tabla4[[#This Row],[MATERIAL]]="","",CONCATENATE(Tabla4[[#This Row],[MATERIAL]],"-",Tabla4[[#This Row],[MARCA ]],"-",Tabla4[[#This Row],[PROVEEDOR ]],"-",Tabla4[[#This Row],[USO-CATEGORIA]]))</f>
        <v>chispero---</v>
      </c>
      <c r="B23" t="s">
        <v>421</v>
      </c>
      <c r="C23" s="147" t="s">
        <v>418</v>
      </c>
      <c r="D23" s="1">
        <v>59800</v>
      </c>
    </row>
    <row r="24" spans="1:9" x14ac:dyDescent="0.3">
      <c r="A24" t="str">
        <f>IF(Tabla4[[#This Row],[MATERIAL]]="","",CONCATENATE(Tabla4[[#This Row],[MATERIAL]],"-",Tabla4[[#This Row],[MARCA ]],"-",Tabla4[[#This Row],[PROVEEDOR ]],"-",Tabla4[[#This Row],[USO-CATEGORIA]]))</f>
        <v>pinza universal---</v>
      </c>
      <c r="B24" t="s">
        <v>422</v>
      </c>
      <c r="C24" s="147" t="s">
        <v>418</v>
      </c>
      <c r="D24" s="1">
        <v>240360</v>
      </c>
    </row>
    <row r="25" spans="1:9" x14ac:dyDescent="0.3">
      <c r="A25" t="str">
        <f>IF(Tabla4[[#This Row],[MATERIAL]]="","",CONCATENATE(Tabla4[[#This Row],[MATERIAL]],"-",Tabla4[[#This Row],[MARCA ]],"-",Tabla4[[#This Row],[PROVEEDOR ]],"-",Tabla4[[#This Row],[USO-CATEGORIA]]))</f>
        <v>molde de soldadura---</v>
      </c>
      <c r="B25" t="s">
        <v>423</v>
      </c>
      <c r="C25" s="147" t="s">
        <v>418</v>
      </c>
      <c r="D25" s="1">
        <v>750076</v>
      </c>
    </row>
    <row r="26" spans="1:9" x14ac:dyDescent="0.3">
      <c r="A26" t="str">
        <f>IF(Tabla4[[#This Row],[MATERIAL]]="","",CONCATENATE(Tabla4[[#This Row],[MATERIAL]],"-",Tabla4[[#This Row],[MARCA ]],"-",Tabla4[[#This Row],[PROVEEDOR ]],"-",Tabla4[[#This Row],[USO-CATEGORIA]]))</f>
        <v>Perno + arandela---</v>
      </c>
      <c r="B26" t="s">
        <v>428</v>
      </c>
      <c r="C26" s="147" t="s">
        <v>418</v>
      </c>
      <c r="D26" s="1">
        <v>8900</v>
      </c>
      <c r="H26" s="134"/>
      <c r="I26" s="134"/>
    </row>
    <row r="27" spans="1:9" x14ac:dyDescent="0.3">
      <c r="A27" t="str">
        <f>IF(Tabla4[[#This Row],[MATERIAL]]="","",CONCATENATE(Tabla4[[#This Row],[MATERIAL]],"-",Tabla4[[#This Row],[MARCA ]],"-",Tabla4[[#This Row],[PROVEEDOR ]],"-",Tabla4[[#This Row],[USO-CATEGORIA]]))</f>
        <v>conector bimetalico---</v>
      </c>
      <c r="B27" t="s">
        <v>430</v>
      </c>
      <c r="C27" s="147" t="s">
        <v>418</v>
      </c>
      <c r="D27" s="1">
        <v>25000</v>
      </c>
      <c r="H27" s="134"/>
      <c r="I27" s="134"/>
    </row>
    <row r="28" spans="1:9" x14ac:dyDescent="0.3">
      <c r="A28" t="str">
        <f>IF(Tabla4[[#This Row],[MATERIAL]]="","",CONCATENATE(Tabla4[[#This Row],[MATERIAL]],"-",Tabla4[[#This Row],[MARCA ]],"-",Tabla4[[#This Row],[PROVEEDOR ]],"-",Tabla4[[#This Row],[USO-CATEGORIA]]))</f>
        <v>Barra de cobre---</v>
      </c>
      <c r="B28" t="s">
        <v>432</v>
      </c>
      <c r="C28" s="147" t="s">
        <v>418</v>
      </c>
      <c r="D28" s="1">
        <v>350000</v>
      </c>
      <c r="H28" s="134"/>
      <c r="I28" s="134"/>
    </row>
    <row r="29" spans="1:9" x14ac:dyDescent="0.3">
      <c r="A29" t="str">
        <f>IF(Tabla4[[#This Row],[MATERIAL]]="","",CONCATENATE(Tabla4[[#This Row],[MATERIAL]],"-",Tabla4[[#This Row],[MARCA ]],"-",Tabla4[[#This Row],[PROVEEDOR ]],"-",Tabla4[[#This Row],[USO-CATEGORIA]]))</f>
        <v>latiguillo---</v>
      </c>
      <c r="B29" t="s">
        <v>434</v>
      </c>
      <c r="C29" s="147" t="s">
        <v>435</v>
      </c>
      <c r="D29" s="1">
        <v>18500</v>
      </c>
      <c r="H29" s="134"/>
      <c r="I29" s="134"/>
    </row>
    <row r="30" spans="1:9" x14ac:dyDescent="0.3">
      <c r="A30" t="str">
        <f>IF(Tabla4[[#This Row],[MATERIAL]]="","",CONCATENATE(Tabla4[[#This Row],[MATERIAL]],"-",Tabla4[[#This Row],[MARCA ]],"-",Tabla4[[#This Row],[PROVEEDOR ]],"-",Tabla4[[#This Row],[USO-CATEGORIA]]))</f>
        <v>Conector de fibra optica---</v>
      </c>
      <c r="B30" t="s">
        <v>444</v>
      </c>
      <c r="C30" s="147"/>
      <c r="D30" s="1"/>
      <c r="H30" s="134"/>
      <c r="I30" s="134"/>
    </row>
    <row r="31" spans="1:9" x14ac:dyDescent="0.3">
      <c r="A31" t="str">
        <f>IF(Tabla4[[#This Row],[MATERIAL]]="","",CONCATENATE(Tabla4[[#This Row],[MATERIAL]],"-",Tabla4[[#This Row],[MARCA ]],"-",Tabla4[[#This Row],[PROVEEDOR ]],"-",Tabla4[[#This Row],[USO-CATEGORIA]]))</f>
        <v>Megger ---</v>
      </c>
      <c r="B31" t="s">
        <v>445</v>
      </c>
      <c r="C31" s="147" t="s">
        <v>418</v>
      </c>
      <c r="D31" s="1">
        <f>1500000*13</f>
        <v>19500000</v>
      </c>
      <c r="H31" s="134"/>
      <c r="I31" s="134"/>
    </row>
    <row r="32" spans="1:9" x14ac:dyDescent="0.3">
      <c r="A32" t="str">
        <f>IF(Tabla4[[#This Row],[MATERIAL]]="","",CONCATENATE(Tabla4[[#This Row],[MATERIAL]],"-",Tabla4[[#This Row],[MARCA ]],"-",Tabla4[[#This Row],[PROVEEDOR ]],"-",Tabla4[[#This Row],[USO-CATEGORIA]]))</f>
        <v>Poncho para punto topografico---</v>
      </c>
      <c r="B32" t="s">
        <v>461</v>
      </c>
      <c r="C32" s="147" t="s">
        <v>418</v>
      </c>
      <c r="D32" s="1">
        <f>+(4081.66666666667)/2</f>
        <v>2040.8333333333351</v>
      </c>
    </row>
    <row r="33" spans="1:9" x14ac:dyDescent="0.3">
      <c r="A33" t="str">
        <f>IF(Tabla4[[#This Row],[MATERIAL]]="","",CONCATENATE(Tabla4[[#This Row],[MATERIAL]],"-",Tabla4[[#This Row],[MARCA ]],"-",Tabla4[[#This Row],[PROVEEDOR ]],"-",Tabla4[[#This Row],[USO-CATEGORIA]]))</f>
        <v>Equipo Topografico---</v>
      </c>
      <c r="B33" t="s">
        <v>463</v>
      </c>
      <c r="C33" s="147" t="s">
        <v>418</v>
      </c>
      <c r="D33" s="1">
        <v>8000000</v>
      </c>
    </row>
    <row r="34" spans="1:9" x14ac:dyDescent="0.3">
      <c r="A34" t="str">
        <f>IF(Tabla4[[#This Row],[MATERIAL]]="","",CONCATENATE(Tabla4[[#This Row],[MATERIAL]],"-",Tabla4[[#This Row],[MARCA ]],"-",Tabla4[[#This Row],[PROVEEDOR ]],"-",Tabla4[[#This Row],[USO-CATEGORIA]]))</f>
        <v>Galvanizado en frio---</v>
      </c>
      <c r="B34" t="s">
        <v>465</v>
      </c>
      <c r="C34" s="147" t="s">
        <v>466</v>
      </c>
      <c r="D34" s="1">
        <f>385000*1.2</f>
        <v>462000</v>
      </c>
    </row>
    <row r="35" spans="1:9" x14ac:dyDescent="0.3">
      <c r="A35" t="str">
        <f>IF(Tabla4[[#This Row],[MATERIAL]]="","",CONCATENATE(Tabla4[[#This Row],[MATERIAL]],"-",Tabla4[[#This Row],[MARCA ]],"-",Tabla4[[#This Row],[PROVEEDOR ]],"-",Tabla4[[#This Row],[USO-CATEGORIA]]))</f>
        <v>Herramienta mecanizado---</v>
      </c>
      <c r="B35" t="s">
        <v>467</v>
      </c>
      <c r="C35" s="147" t="s">
        <v>418</v>
      </c>
      <c r="D35" s="1">
        <v>1100000</v>
      </c>
      <c r="H35" s="134"/>
      <c r="I35" s="134"/>
    </row>
    <row r="36" spans="1:9" x14ac:dyDescent="0.3">
      <c r="A36" t="str">
        <f>IF(Tabla4[[#This Row],[MATERIAL]]="","",CONCATENATE(Tabla4[[#This Row],[MATERIAL]],"-",Tabla4[[#This Row],[MARCA ]],"-",Tabla4[[#This Row],[PROVEEDOR ]],"-",Tabla4[[#This Row],[USO-CATEGORIA]]))</f>
        <v>Marcadores---</v>
      </c>
      <c r="B36" t="s">
        <v>471</v>
      </c>
      <c r="C36" t="s">
        <v>418</v>
      </c>
      <c r="D36" s="1">
        <f>61800*1.2</f>
        <v>74160</v>
      </c>
      <c r="H36" s="134"/>
      <c r="I36" s="134"/>
    </row>
    <row r="37" spans="1:9" x14ac:dyDescent="0.3">
      <c r="A37" t="str">
        <f>IF(Tabla4[[#This Row],[MATERIAL]]="","",CONCATENATE(Tabla4[[#This Row],[MATERIAL]],"-",Tabla4[[#This Row],[MARCA ]],"-",Tabla4[[#This Row],[PROVEEDOR ]],"-",Tabla4[[#This Row],[USO-CATEGORIA]]))</f>
        <v>Conector de conductor bimetalico ---</v>
      </c>
      <c r="B37" t="s">
        <v>526</v>
      </c>
      <c r="C37" t="s">
        <v>418</v>
      </c>
      <c r="D37" s="1">
        <f>8900*1.3</f>
        <v>11570</v>
      </c>
      <c r="H37" s="134"/>
      <c r="I37" s="133"/>
    </row>
    <row r="38" spans="1:9" x14ac:dyDescent="0.3">
      <c r="A38" t="str">
        <f>IF(Tabla4[[#This Row],[MATERIAL]]="","",CONCATENATE(Tabla4[[#This Row],[MATERIAL]],"-",Tabla4[[#This Row],[MARCA ]],"-",Tabla4[[#This Row],[PROVEEDOR ]],"-",Tabla4[[#This Row],[USO-CATEGORIA]]))</f>
        <v>Termocontraible---</v>
      </c>
      <c r="B38" t="s">
        <v>529</v>
      </c>
      <c r="C38" t="s">
        <v>418</v>
      </c>
      <c r="D38" s="1">
        <f>5150*1.3</f>
        <v>6695</v>
      </c>
      <c r="H38" s="134"/>
      <c r="I38" s="134"/>
    </row>
    <row r="39" spans="1:9" x14ac:dyDescent="0.3">
      <c r="A39" t="str">
        <f>IF(Tabla4[[#This Row],[MATERIAL]]="","",CONCATENATE(Tabla4[[#This Row],[MATERIAL]],"-",Tabla4[[#This Row],[MARCA ]],"-",Tabla4[[#This Row],[PROVEEDOR ]],"-",Tabla4[[#This Row],[USO-CATEGORIA]]))</f>
        <v>Fusionadora de fibra optica---</v>
      </c>
      <c r="B39" s="2" t="s">
        <v>549</v>
      </c>
      <c r="C39" t="s">
        <v>418</v>
      </c>
      <c r="D39" s="2">
        <f>30000000*1.3</f>
        <v>39000000</v>
      </c>
      <c r="E39" s="2"/>
      <c r="F39" s="2"/>
      <c r="H39" s="134"/>
      <c r="I39" s="134"/>
    </row>
    <row r="40" spans="1:9" x14ac:dyDescent="0.3">
      <c r="A40" t="str">
        <f>IF(Tabla4[[#This Row],[MATERIAL]]="","",CONCATENATE(Tabla4[[#This Row],[MATERIAL]],"-",Tabla4[[#This Row],[MARCA ]],"-",Tabla4[[#This Row],[PROVEEDOR ]],"-",Tabla4[[#This Row],[USO-CATEGORIA]]))</f>
        <v>Kit fibra optica---</v>
      </c>
      <c r="B40" s="2" t="s">
        <v>550</v>
      </c>
      <c r="C40" t="s">
        <v>418</v>
      </c>
      <c r="D40" s="2">
        <v>12000000</v>
      </c>
      <c r="E40" s="2"/>
      <c r="F40" s="2"/>
      <c r="H40" s="134"/>
      <c r="I40" s="134"/>
    </row>
    <row r="41" spans="1:9" x14ac:dyDescent="0.3">
      <c r="A41" t="str">
        <f>IF(Tabla4[[#This Row],[MATERIAL]]="","",CONCATENATE(Tabla4[[#This Row],[MATERIAL]],"-",Tabla4[[#This Row],[MARCA ]],"-",Tabla4[[#This Row],[PROVEEDOR ]],"-",Tabla4[[#This Row],[USO-CATEGORIA]]))</f>
        <v>Conector Bimetalico 6AWG---</v>
      </c>
      <c r="B41" s="2" t="s">
        <v>556</v>
      </c>
      <c r="C41" t="s">
        <v>418</v>
      </c>
      <c r="D41" s="2">
        <f>6500*1.3</f>
        <v>8450</v>
      </c>
      <c r="E41" s="2"/>
      <c r="F41" s="2"/>
      <c r="H41" s="134"/>
      <c r="I41" s="133"/>
    </row>
    <row r="42" spans="1:9" x14ac:dyDescent="0.3">
      <c r="A42" t="str">
        <f>IF(Tabla4[[#This Row],[MATERIAL]]="","",CONCATENATE(Tabla4[[#This Row],[MATERIAL]],"-",Tabla4[[#This Row],[MARCA ]],"-",Tabla4[[#This Row],[PROVEEDOR ]],"-",Tabla4[[#This Row],[USO-CATEGORIA]]))</f>
        <v>Conector Bimetalico 2AWG---</v>
      </c>
      <c r="B42" s="2" t="s">
        <v>557</v>
      </c>
      <c r="C42" t="s">
        <v>418</v>
      </c>
      <c r="D42" s="2">
        <f>8500*1.3</f>
        <v>11050</v>
      </c>
      <c r="E42" s="2"/>
      <c r="F42" s="2"/>
      <c r="H42" s="134"/>
      <c r="I42" s="133"/>
    </row>
    <row r="43" spans="1:9" x14ac:dyDescent="0.3">
      <c r="A43" t="str">
        <f>IF(Tabla4[[#This Row],[MATERIAL]]="","",CONCATENATE(Tabla4[[#This Row],[MATERIAL]],"-",Tabla4[[#This Row],[MARCA ]],"-",Tabla4[[#This Row],[PROVEEDOR ]],"-",Tabla4[[#This Row],[USO-CATEGORIA]]))</f>
        <v>Cable de cobre aislado verde no 6 AWG---</v>
      </c>
      <c r="B43" s="2" t="s">
        <v>559</v>
      </c>
      <c r="C43" s="2" t="s">
        <v>374</v>
      </c>
      <c r="D43" s="2">
        <f>9000*1.3</f>
        <v>11700</v>
      </c>
      <c r="E43" s="2"/>
      <c r="F43" s="2"/>
      <c r="H43" s="134"/>
      <c r="I43" s="134"/>
    </row>
    <row r="44" spans="1:9" x14ac:dyDescent="0.3">
      <c r="A44" t="str">
        <f>IF(Tabla4[[#This Row],[MATERIAL]]="","",CONCATENATE(Tabla4[[#This Row],[MATERIAL]],"-",Tabla4[[#This Row],[MARCA ]],"-",Tabla4[[#This Row],[PROVEEDOR ]],"-",Tabla4[[#This Row],[USO-CATEGORIA]]))</f>
        <v>CINTA BANDIT 1/2---</v>
      </c>
      <c r="B44" s="2" t="s">
        <v>563</v>
      </c>
      <c r="C44" s="2" t="s">
        <v>374</v>
      </c>
      <c r="D44" s="2">
        <f>5900*1.3</f>
        <v>7670</v>
      </c>
      <c r="E44" s="2"/>
      <c r="F44" s="2"/>
      <c r="H44" s="134"/>
      <c r="I44" s="134"/>
    </row>
    <row r="45" spans="1:9" x14ac:dyDescent="0.3">
      <c r="A45" t="str">
        <f>IF(Tabla4[[#This Row],[MATERIAL]]="","",CONCATENATE(Tabla4[[#This Row],[MATERIAL]],"-",Tabla4[[#This Row],[MARCA ]],"-",Tabla4[[#This Row],[PROVEEDOR ]],"-",Tabla4[[#This Row],[USO-CATEGORIA]]))</f>
        <v>Tornillo, tuerca, arandela ojo estañado---</v>
      </c>
      <c r="B45" s="2" t="s">
        <v>567</v>
      </c>
      <c r="C45" s="2" t="s">
        <v>418</v>
      </c>
      <c r="D45" s="2">
        <f>9500</f>
        <v>9500</v>
      </c>
      <c r="E45" s="2"/>
      <c r="F45" s="2"/>
      <c r="H45" s="134"/>
      <c r="I45" s="134"/>
    </row>
    <row r="46" spans="1:9" x14ac:dyDescent="0.3">
      <c r="A46" t="str">
        <f>IF(Tabla4[[#This Row],[MATERIAL]]="","",CONCATENATE(Tabla4[[#This Row],[MATERIAL]],"-",Tabla4[[#This Row],[MARCA ]],"-",Tabla4[[#This Row],[PROVEEDOR ]],"-",Tabla4[[#This Row],[USO-CATEGORIA]]))</f>
        <v>Tubo PVC 4" DB---</v>
      </c>
      <c r="B46" s="2" t="s">
        <v>568</v>
      </c>
      <c r="C46" s="2" t="s">
        <v>374</v>
      </c>
      <c r="D46" s="2">
        <f>25000*1.3</f>
        <v>32500</v>
      </c>
      <c r="E46" s="2"/>
      <c r="F46" s="2"/>
      <c r="H46" s="134"/>
      <c r="I46" s="133"/>
    </row>
    <row r="47" spans="1:9" x14ac:dyDescent="0.3">
      <c r="A47" t="str">
        <f>IF(Tabla4[[#This Row],[MATERIAL]]="","",CONCATENATE(Tabla4[[#This Row],[MATERIAL]],"-",Tabla4[[#This Row],[MARCA ]],"-",Tabla4[[#This Row],[PROVEEDOR ]],"-",Tabla4[[#This Row],[USO-CATEGORIA]]))</f>
        <v>Terminal de ojo Estaño  6mm 6AWG---</v>
      </c>
      <c r="B47" s="2" t="s">
        <v>578</v>
      </c>
      <c r="C47" s="2" t="s">
        <v>418</v>
      </c>
      <c r="D47" s="2">
        <f>1270*1.1</f>
        <v>1397</v>
      </c>
      <c r="E47" s="2"/>
      <c r="F47" s="2"/>
      <c r="H47" s="134"/>
      <c r="I47" s="134"/>
    </row>
    <row r="48" spans="1:9" x14ac:dyDescent="0.3">
      <c r="A48" t="str">
        <f>IF(Tabla4[[#This Row],[MATERIAL]]="","",CONCATENATE(Tabla4[[#This Row],[MATERIAL]],"-",Tabla4[[#This Row],[MARCA ]],"-",Tabla4[[#This Row],[PROVEEDOR ]],"-",Tabla4[[#This Row],[USO-CATEGORIA]]))</f>
        <v>Perno M6X20---</v>
      </c>
      <c r="B48" s="2" t="s">
        <v>579</v>
      </c>
      <c r="C48" s="2" t="s">
        <v>418</v>
      </c>
      <c r="D48" s="2">
        <f>1325*1.1</f>
        <v>1457.5000000000002</v>
      </c>
      <c r="E48" s="2"/>
      <c r="F48" s="2"/>
      <c r="H48" s="134"/>
      <c r="I48" s="134"/>
    </row>
    <row r="49" spans="1:9" x14ac:dyDescent="0.3">
      <c r="A49" t="str">
        <f>IF(Tabla4[[#This Row],[MATERIAL]]="","",CONCATENATE(Tabla4[[#This Row],[MATERIAL]],"-",Tabla4[[#This Row],[MARCA ]],"-",Tabla4[[#This Row],[PROVEEDOR ]],"-",Tabla4[[#This Row],[USO-CATEGORIA]]))</f>
        <v>Tuerca M6---</v>
      </c>
      <c r="B49" s="2" t="s">
        <v>580</v>
      </c>
      <c r="C49" s="2" t="s">
        <v>418</v>
      </c>
      <c r="D49" s="2">
        <f>1450*1.1</f>
        <v>1595.0000000000002</v>
      </c>
      <c r="E49" s="2"/>
      <c r="F49" s="2"/>
      <c r="H49" s="134"/>
      <c r="I49" s="134"/>
    </row>
    <row r="50" spans="1:9" x14ac:dyDescent="0.3">
      <c r="A50" t="str">
        <f>IF(Tabla4[[#This Row],[MATERIAL]]="","",CONCATENATE(Tabla4[[#This Row],[MATERIAL]],"-",Tabla4[[#This Row],[MARCA ]],"-",Tabla4[[#This Row],[PROVEEDOR ]],"-",Tabla4[[#This Row],[USO-CATEGORIA]]))</f>
        <v>Arandela presion M6---</v>
      </c>
      <c r="B50" s="2" t="s">
        <v>581</v>
      </c>
      <c r="C50" s="2" t="s">
        <v>418</v>
      </c>
      <c r="D50" s="2">
        <f>250*1.1</f>
        <v>275</v>
      </c>
      <c r="E50" s="2"/>
      <c r="F50" s="2"/>
      <c r="H50" s="134"/>
      <c r="I50" s="134"/>
    </row>
    <row r="51" spans="1:9" x14ac:dyDescent="0.3">
      <c r="A51" t="str">
        <f>IF(Tabla4[[#This Row],[MATERIAL]]="","",CONCATENATE(Tabla4[[#This Row],[MATERIAL]],"-",Tabla4[[#This Row],[MARCA ]],"-",Tabla4[[#This Row],[PROVEEDOR ]],"-",Tabla4[[#This Row],[USO-CATEGORIA]]))</f>
        <v>Arandela PLANA M6---</v>
      </c>
      <c r="B51" s="2" t="s">
        <v>582</v>
      </c>
      <c r="C51" s="2" t="s">
        <v>418</v>
      </c>
      <c r="D51" s="2">
        <f>250*1.1</f>
        <v>275</v>
      </c>
      <c r="E51" s="2"/>
      <c r="F51" s="2"/>
      <c r="H51" s="134"/>
      <c r="I51" s="134"/>
    </row>
    <row r="52" spans="1:9" x14ac:dyDescent="0.3">
      <c r="A52" t="str">
        <f>IF(Tabla4[[#This Row],[MATERIAL]]="","",CONCATENATE(Tabla4[[#This Row],[MATERIAL]],"-",Tabla4[[#This Row],[MARCA ]],"-",Tabla4[[#This Row],[PROVEEDOR ]],"-",Tabla4[[#This Row],[USO-CATEGORIA]]))</f>
        <v>Latiguillo para panel 0.1m (Doble terminal)---</v>
      </c>
      <c r="B52" s="2" t="s">
        <v>583</v>
      </c>
      <c r="C52" s="2" t="s">
        <v>418</v>
      </c>
      <c r="D52" s="414">
        <v>24133.272727272728</v>
      </c>
      <c r="E52" s="2"/>
      <c r="F52" s="2"/>
      <c r="H52" s="134"/>
      <c r="I52" s="134"/>
    </row>
    <row r="53" spans="1:9" x14ac:dyDescent="0.3">
      <c r="A53" t="str">
        <f>IF(Tabla4[[#This Row],[MATERIAL]]="","",CONCATENATE(Tabla4[[#This Row],[MATERIAL]],"-",Tabla4[[#This Row],[MARCA ]],"-",Tabla4[[#This Row],[PROVEEDOR ]],"-",Tabla4[[#This Row],[USO-CATEGORIA]]))</f>
        <v/>
      </c>
      <c r="B53" s="2"/>
      <c r="C53" s="2"/>
      <c r="D53" s="2"/>
      <c r="E53" s="2"/>
      <c r="F53" s="2"/>
      <c r="H53" s="134"/>
      <c r="I53" s="134"/>
    </row>
    <row r="54" spans="1:9" x14ac:dyDescent="0.3">
      <c r="A54" t="str">
        <f>IF(Tabla4[[#This Row],[MATERIAL]]="","",CONCATENATE(Tabla4[[#This Row],[MATERIAL]],"-",Tabla4[[#This Row],[MARCA ]],"-",Tabla4[[#This Row],[PROVEEDOR ]],"-",Tabla4[[#This Row],[USO-CATEGORIA]]))</f>
        <v/>
      </c>
      <c r="B54" s="2"/>
      <c r="C54" s="2"/>
      <c r="D54" s="2"/>
      <c r="E54" s="2"/>
      <c r="F54" s="2"/>
    </row>
    <row r="55" spans="1:9" x14ac:dyDescent="0.3">
      <c r="A55" t="str">
        <f>IF(Tabla4[[#This Row],[MATERIAL]]="","",CONCATENATE(Tabla4[[#This Row],[MATERIAL]],"-",Tabla4[[#This Row],[MARCA ]],"-",Tabla4[[#This Row],[PROVEEDOR ]],"-",Tabla4[[#This Row],[USO-CATEGORIA]]))</f>
        <v/>
      </c>
      <c r="B55" s="2"/>
      <c r="C55" s="2"/>
      <c r="D55" s="2"/>
      <c r="E55" s="2"/>
      <c r="F55" s="2"/>
    </row>
    <row r="56" spans="1:9" x14ac:dyDescent="0.3">
      <c r="A56" t="str">
        <f>IF(Tabla4[[#This Row],[MATERIAL]]="","",CONCATENATE(Tabla4[[#This Row],[MATERIAL]],"-",Tabla4[[#This Row],[MARCA ]],"-",Tabla4[[#This Row],[PROVEEDOR ]],"-",Tabla4[[#This Row],[USO-CATEGORIA]]))</f>
        <v/>
      </c>
      <c r="B56" s="2"/>
      <c r="C56" s="2"/>
      <c r="D56" s="2"/>
      <c r="E56" s="2"/>
      <c r="F56" s="2"/>
    </row>
    <row r="57" spans="1:9" x14ac:dyDescent="0.3">
      <c r="A57" t="str">
        <f>IF(Tabla4[[#This Row],[MATERIAL]]="","",CONCATENATE(Tabla4[[#This Row],[MATERIAL]],"-",Tabla4[[#This Row],[MARCA ]],"-",Tabla4[[#This Row],[PROVEEDOR ]],"-",Tabla4[[#This Row],[USO-CATEGORIA]]))</f>
        <v/>
      </c>
      <c r="B57" s="2"/>
      <c r="C57" s="2"/>
      <c r="D57" s="2"/>
      <c r="E57" s="2"/>
      <c r="F57" s="2"/>
    </row>
    <row r="58" spans="1:9" x14ac:dyDescent="0.3">
      <c r="A58" t="str">
        <f>IF(Tabla4[[#This Row],[MATERIAL]]="","",CONCATENATE(Tabla4[[#This Row],[MATERIAL]],"-",Tabla4[[#This Row],[MARCA ]],"-",Tabla4[[#This Row],[PROVEEDOR ]],"-",Tabla4[[#This Row],[USO-CATEGORIA]]))</f>
        <v/>
      </c>
      <c r="B58" s="2"/>
      <c r="C58" s="2"/>
      <c r="D58" s="2"/>
      <c r="E58" s="2"/>
      <c r="F58" s="2"/>
    </row>
    <row r="59" spans="1:9" x14ac:dyDescent="0.3">
      <c r="A59" t="str">
        <f>IF(Tabla4[[#This Row],[MATERIAL]]="","",CONCATENATE(Tabla4[[#This Row],[MATERIAL]],"-",Tabla4[[#This Row],[MARCA ]],"-",Tabla4[[#This Row],[PROVEEDOR ]],"-",Tabla4[[#This Row],[USO-CATEGORIA]]))</f>
        <v/>
      </c>
      <c r="B59" s="2"/>
      <c r="C59" s="2"/>
      <c r="D59" s="2"/>
      <c r="E59" s="2"/>
      <c r="F59" s="2"/>
    </row>
    <row r="60" spans="1:9" x14ac:dyDescent="0.3">
      <c r="A60" t="str">
        <f>IF(Tabla4[[#This Row],[MATERIAL]]="","",CONCATENATE(Tabla4[[#This Row],[MATERIAL]],"-",Tabla4[[#This Row],[MARCA ]],"-",Tabla4[[#This Row],[PROVEEDOR ]],"-",Tabla4[[#This Row],[USO-CATEGORIA]]))</f>
        <v/>
      </c>
      <c r="B60" s="2"/>
      <c r="C60" s="2"/>
      <c r="D60" s="2"/>
      <c r="E60" s="2"/>
      <c r="F60" s="2"/>
    </row>
    <row r="61" spans="1:9" x14ac:dyDescent="0.3">
      <c r="A61" t="str">
        <f>IF(Tabla4[[#This Row],[MATERIAL]]="","",CONCATENATE(Tabla4[[#This Row],[MATERIAL]],"-",Tabla4[[#This Row],[MARCA ]],"-",Tabla4[[#This Row],[PROVEEDOR ]],"-",Tabla4[[#This Row],[USO-CATEGORIA]]))</f>
        <v/>
      </c>
      <c r="B61" s="2"/>
      <c r="C61" s="2"/>
      <c r="D61" s="2"/>
      <c r="E61" s="2"/>
      <c r="F61" s="2"/>
    </row>
    <row r="62" spans="1:9" x14ac:dyDescent="0.3">
      <c r="A62" t="str">
        <f>IF(Tabla4[[#This Row],[MATERIAL]]="","",CONCATENATE(Tabla4[[#This Row],[MATERIAL]],"-",Tabla4[[#This Row],[MARCA ]],"-",Tabla4[[#This Row],[PROVEEDOR ]],"-",Tabla4[[#This Row],[USO-CATEGORIA]]))</f>
        <v/>
      </c>
      <c r="B62" s="2"/>
      <c r="C62" s="2"/>
      <c r="D62" s="2"/>
      <c r="E62" s="2"/>
      <c r="F62" s="2"/>
    </row>
    <row r="63" spans="1:9" x14ac:dyDescent="0.3">
      <c r="A63" t="str">
        <f>IF(Tabla4[[#This Row],[MATERIAL]]="","",CONCATENATE(Tabla4[[#This Row],[MATERIAL]],"-",Tabla4[[#This Row],[MARCA ]],"-",Tabla4[[#This Row],[PROVEEDOR ]],"-",Tabla4[[#This Row],[USO-CATEGORIA]]))</f>
        <v/>
      </c>
      <c r="B63" s="2"/>
      <c r="C63" s="2"/>
      <c r="D63" s="2"/>
      <c r="E63" s="2"/>
      <c r="F63" s="2"/>
    </row>
    <row r="64" spans="1:9" x14ac:dyDescent="0.3">
      <c r="A64" t="str">
        <f>IF(Tabla4[[#This Row],[MATERIAL]]="","",CONCATENATE(Tabla4[[#This Row],[MATERIAL]],"-",Tabla4[[#This Row],[MARCA ]],"-",Tabla4[[#This Row],[PROVEEDOR ]],"-",Tabla4[[#This Row],[USO-CATEGORIA]]))</f>
        <v/>
      </c>
      <c r="B64" s="2"/>
      <c r="C64" s="2"/>
      <c r="D64" s="2"/>
      <c r="E64" s="2"/>
      <c r="F64" s="2"/>
    </row>
    <row r="65" spans="1:10" x14ac:dyDescent="0.3">
      <c r="A65" t="str">
        <f>IF(Tabla4[[#This Row],[MATERIAL]]="","",CONCATENATE(Tabla4[[#This Row],[MATERIAL]],"-",Tabla4[[#This Row],[MARCA ]],"-",Tabla4[[#This Row],[PROVEEDOR ]],"-",Tabla4[[#This Row],[USO-CATEGORIA]]))</f>
        <v/>
      </c>
      <c r="B65" s="2"/>
      <c r="C65" s="2"/>
      <c r="D65" s="2"/>
      <c r="E65" s="2"/>
      <c r="F65" s="2"/>
    </row>
    <row r="66" spans="1:10" x14ac:dyDescent="0.3">
      <c r="A66" t="str">
        <f>IF(Tabla4[[#This Row],[MATERIAL]]="","",CONCATENATE(Tabla4[[#This Row],[MATERIAL]],"-",Tabla4[[#This Row],[MARCA ]],"-",Tabla4[[#This Row],[PROVEEDOR ]],"-",Tabla4[[#This Row],[USO-CATEGORIA]]))</f>
        <v/>
      </c>
      <c r="B66" s="2"/>
      <c r="C66" s="2"/>
      <c r="D66" s="2"/>
      <c r="E66" s="2"/>
      <c r="F66" s="2"/>
    </row>
    <row r="67" spans="1:10" x14ac:dyDescent="0.3">
      <c r="A67" t="str">
        <f>IF(Tabla4[[#This Row],[MATERIAL]]="","",CONCATENATE(Tabla4[[#This Row],[MATERIAL]],"-",Tabla4[[#This Row],[MARCA ]],"-",Tabla4[[#This Row],[PROVEEDOR ]],"-",Tabla4[[#This Row],[USO-CATEGORIA]]))</f>
        <v/>
      </c>
      <c r="B67" s="2"/>
      <c r="C67" s="2"/>
      <c r="D67" s="2"/>
      <c r="E67" s="2"/>
      <c r="F67" s="2"/>
      <c r="G67" s="2"/>
      <c r="H67" s="2"/>
      <c r="I67" s="2"/>
      <c r="J67" s="2"/>
    </row>
    <row r="68" spans="1:10" x14ac:dyDescent="0.3">
      <c r="A68" t="str">
        <f>IF(Tabla4[[#This Row],[MATERIAL]]="","",CONCATENATE(Tabla4[[#This Row],[MATERIAL]],"-",Tabla4[[#This Row],[MARCA ]],"-",Tabla4[[#This Row],[PROVEEDOR ]],"-",Tabla4[[#This Row],[USO-CATEGORIA]]))</f>
        <v/>
      </c>
      <c r="B68" s="2"/>
      <c r="C68" s="2"/>
      <c r="D68" s="2"/>
      <c r="E68" s="2"/>
      <c r="F68" s="2"/>
      <c r="G68" s="2"/>
      <c r="H68" s="2"/>
      <c r="I68" s="2"/>
      <c r="J68" s="2"/>
    </row>
    <row r="69" spans="1:10" x14ac:dyDescent="0.3">
      <c r="A69" t="str">
        <f>IF(Tabla4[[#This Row],[MATERIAL]]="","",CONCATENATE(Tabla4[[#This Row],[MATERIAL]],"-",Tabla4[[#This Row],[MARCA ]],"-",Tabla4[[#This Row],[PROVEEDOR ]],"-",Tabla4[[#This Row],[USO-CATEGORIA]]))</f>
        <v/>
      </c>
      <c r="B69" s="2"/>
      <c r="C69" s="2"/>
      <c r="D69" s="2"/>
      <c r="E69" s="2"/>
      <c r="F69" s="2"/>
      <c r="G69" s="2"/>
      <c r="H69" s="2"/>
      <c r="I69" s="2"/>
      <c r="J69" s="2"/>
    </row>
    <row r="70" spans="1:10" x14ac:dyDescent="0.3">
      <c r="A70" t="str">
        <f>IF(Tabla4[[#This Row],[MATERIAL]]="","",CONCATENATE(Tabla4[[#This Row],[MATERIAL]],"-",Tabla4[[#This Row],[MARCA ]],"-",Tabla4[[#This Row],[PROVEEDOR ]],"-",Tabla4[[#This Row],[USO-CATEGORIA]]))</f>
        <v/>
      </c>
      <c r="B70" s="2"/>
      <c r="C70" s="2"/>
      <c r="D70" s="2"/>
      <c r="E70" s="2"/>
      <c r="F70" s="2"/>
      <c r="G70" s="2"/>
      <c r="H70" s="2"/>
      <c r="I70" s="2"/>
      <c r="J70" s="2"/>
    </row>
    <row r="71" spans="1:10" x14ac:dyDescent="0.3">
      <c r="A71" t="str">
        <f>IF(Tabla4[[#This Row],[MATERIAL]]="","",CONCATENATE(Tabla4[[#This Row],[MATERIAL]],"-",Tabla4[[#This Row],[MARCA ]],"-",Tabla4[[#This Row],[PROVEEDOR ]],"-",Tabla4[[#This Row],[USO-CATEGORIA]]))</f>
        <v/>
      </c>
      <c r="B71" s="2"/>
      <c r="C71" s="2"/>
      <c r="D71" s="2"/>
      <c r="E71" s="2"/>
      <c r="F71" s="2"/>
      <c r="G71" s="2"/>
      <c r="H71" s="2"/>
      <c r="I71" s="2"/>
      <c r="J71" s="2"/>
    </row>
    <row r="72" spans="1:10" x14ac:dyDescent="0.3">
      <c r="A72" t="str">
        <f>IF(Tabla4[[#This Row],[MATERIAL]]="","",CONCATENATE(Tabla4[[#This Row],[MATERIAL]],"-",Tabla4[[#This Row],[MARCA ]],"-",Tabla4[[#This Row],[PROVEEDOR ]],"-",Tabla4[[#This Row],[USO-CATEGORIA]]))</f>
        <v/>
      </c>
      <c r="B72" s="2"/>
      <c r="C72" s="2"/>
      <c r="D72" s="2"/>
      <c r="E72" s="2"/>
      <c r="F72" s="2"/>
      <c r="G72" s="2"/>
      <c r="H72" s="2"/>
      <c r="I72" s="2"/>
      <c r="J72" s="2"/>
    </row>
    <row r="73" spans="1:10" x14ac:dyDescent="0.3">
      <c r="A73" t="str">
        <f>IF(Tabla4[[#This Row],[MATERIAL]]="","",CONCATENATE(Tabla4[[#This Row],[MATERIAL]],"-",Tabla4[[#This Row],[MARCA ]],"-",Tabla4[[#This Row],[PROVEEDOR ]],"-",Tabla4[[#This Row],[USO-CATEGORIA]]))</f>
        <v/>
      </c>
      <c r="B73" s="2"/>
      <c r="C73" s="2"/>
      <c r="D73" s="2"/>
      <c r="E73" s="2"/>
      <c r="F73" s="2"/>
      <c r="G73" s="2"/>
      <c r="H73" s="2"/>
      <c r="I73" s="2"/>
      <c r="J73" s="2"/>
    </row>
    <row r="74" spans="1:10" x14ac:dyDescent="0.3">
      <c r="A74" t="str">
        <f>IF(Tabla4[[#This Row],[MATERIAL]]="","",CONCATENATE(Tabla4[[#This Row],[MATERIAL]],"-",Tabla4[[#This Row],[MARCA ]],"-",Tabla4[[#This Row],[PROVEEDOR ]],"-",Tabla4[[#This Row],[USO-CATEGORIA]]))</f>
        <v/>
      </c>
      <c r="B74" s="2"/>
      <c r="C74" s="2"/>
      <c r="D74" s="2"/>
      <c r="E74" s="2"/>
      <c r="F74" s="2"/>
      <c r="G74" s="2"/>
      <c r="H74" s="2"/>
      <c r="I74" s="2"/>
      <c r="J74" s="2"/>
    </row>
    <row r="75" spans="1:10" x14ac:dyDescent="0.3">
      <c r="A75" t="str">
        <f>IF(Tabla4[[#This Row],[MATERIAL]]="","",CONCATENATE(Tabla4[[#This Row],[MATERIAL]],"-",Tabla4[[#This Row],[MARCA ]],"-",Tabla4[[#This Row],[PROVEEDOR ]],"-",Tabla4[[#This Row],[USO-CATEGORIA]]))</f>
        <v/>
      </c>
      <c r="B75" s="2"/>
      <c r="C75" s="2"/>
      <c r="D75" s="2"/>
      <c r="E75" s="2"/>
      <c r="F75" s="2"/>
      <c r="G75" s="2"/>
      <c r="H75" s="2"/>
      <c r="I75" s="2"/>
      <c r="J75" s="2"/>
    </row>
    <row r="76" spans="1:10" x14ac:dyDescent="0.3">
      <c r="A76" t="str">
        <f>IF(Tabla4[[#This Row],[MATERIAL]]="","",CONCATENATE(Tabla4[[#This Row],[MATERIAL]],"-",Tabla4[[#This Row],[MARCA ]],"-",Tabla4[[#This Row],[PROVEEDOR ]],"-",Tabla4[[#This Row],[USO-CATEGORIA]]))</f>
        <v/>
      </c>
      <c r="B76" s="2"/>
      <c r="C76" s="2"/>
      <c r="D76" s="2"/>
      <c r="E76" s="2"/>
      <c r="F76" s="2"/>
      <c r="G76" s="2"/>
      <c r="H76" s="2"/>
      <c r="I76" s="2"/>
      <c r="J76" s="2"/>
    </row>
    <row r="77" spans="1:10" x14ac:dyDescent="0.3">
      <c r="A77" t="str">
        <f>IF(Tabla4[[#This Row],[MATERIAL]]="","",CONCATENATE(Tabla4[[#This Row],[MATERIAL]],"-",Tabla4[[#This Row],[MARCA ]],"-",Tabla4[[#This Row],[PROVEEDOR ]],"-",Tabla4[[#This Row],[USO-CATEGORIA]]))</f>
        <v/>
      </c>
      <c r="B77" s="2"/>
      <c r="C77" s="2"/>
      <c r="D77" s="2"/>
      <c r="E77" s="2"/>
      <c r="F77" s="2"/>
      <c r="G77" s="2"/>
      <c r="H77" s="2"/>
      <c r="I77" s="2"/>
      <c r="J77" s="2"/>
    </row>
    <row r="78" spans="1:10" x14ac:dyDescent="0.3">
      <c r="A78" t="str">
        <f>IF(Tabla4[[#This Row],[MATERIAL]]="","",CONCATENATE(Tabla4[[#This Row],[MATERIAL]],"-",Tabla4[[#This Row],[MARCA ]],"-",Tabla4[[#This Row],[PROVEEDOR ]],"-",Tabla4[[#This Row],[USO-CATEGORIA]]))</f>
        <v/>
      </c>
      <c r="B78" s="2"/>
      <c r="C78" s="2"/>
      <c r="D78" s="2"/>
      <c r="E78" s="2"/>
      <c r="F78" s="2"/>
      <c r="G78" s="2"/>
      <c r="H78" s="2"/>
      <c r="I78" s="2"/>
      <c r="J78" s="2"/>
    </row>
    <row r="79" spans="1:10" x14ac:dyDescent="0.3">
      <c r="A79" t="str">
        <f>IF(Tabla4[[#This Row],[MATERIAL]]="","",CONCATENATE(Tabla4[[#This Row],[MATERIAL]],"-",Tabla4[[#This Row],[MARCA ]],"-",Tabla4[[#This Row],[PROVEEDOR ]],"-",Tabla4[[#This Row],[USO-CATEGORIA]]))</f>
        <v/>
      </c>
      <c r="B79" s="2"/>
      <c r="C79" s="2"/>
      <c r="D79" s="2"/>
      <c r="E79" s="2"/>
      <c r="F79" s="2"/>
      <c r="G79" s="2"/>
      <c r="H79" s="2"/>
      <c r="I79" s="2"/>
      <c r="J79" s="2"/>
    </row>
    <row r="80" spans="1:10" x14ac:dyDescent="0.3">
      <c r="A80" t="str">
        <f>IF(Tabla4[[#This Row],[MATERIAL]]="","",CONCATENATE(Tabla4[[#This Row],[MATERIAL]],"-",Tabla4[[#This Row],[MARCA ]],"-",Tabla4[[#This Row],[PROVEEDOR ]],"-",Tabla4[[#This Row],[USO-CATEGORIA]]))</f>
        <v/>
      </c>
      <c r="B80" s="2"/>
      <c r="C80" s="2"/>
      <c r="D80" s="2"/>
      <c r="E80" s="2"/>
      <c r="F80" s="2"/>
      <c r="G80" s="2"/>
      <c r="H80" s="2"/>
      <c r="I80" s="2"/>
      <c r="J80" s="2"/>
    </row>
    <row r="81" spans="1:10" x14ac:dyDescent="0.3">
      <c r="A81" t="str">
        <f>IF(Tabla4[[#This Row],[MATERIAL]]="","",CONCATENATE(Tabla4[[#This Row],[MATERIAL]],"-",Tabla4[[#This Row],[MARCA ]],"-",Tabla4[[#This Row],[PROVEEDOR ]],"-",Tabla4[[#This Row],[USO-CATEGORIA]]))</f>
        <v/>
      </c>
      <c r="B81" s="2"/>
      <c r="C81" s="2"/>
      <c r="D81" s="2"/>
      <c r="E81" s="2"/>
      <c r="F81" s="2"/>
      <c r="G81" s="2"/>
      <c r="H81" s="2"/>
      <c r="I81" s="2"/>
      <c r="J81" s="2"/>
    </row>
    <row r="82" spans="1:10" x14ac:dyDescent="0.3">
      <c r="A82" t="str">
        <f>IF(Tabla4[[#This Row],[MATERIAL]]="","",CONCATENATE(Tabla4[[#This Row],[MATERIAL]],"-",Tabla4[[#This Row],[MARCA ]],"-",Tabla4[[#This Row],[PROVEEDOR ]],"-",Tabla4[[#This Row],[USO-CATEGORIA]]))</f>
        <v/>
      </c>
      <c r="B82" s="2"/>
      <c r="C82" s="2"/>
      <c r="D82" s="2"/>
      <c r="E82" s="2"/>
      <c r="F82" s="2"/>
      <c r="G82" s="2"/>
      <c r="H82" s="2"/>
      <c r="I82" s="2"/>
      <c r="J82" s="2"/>
    </row>
    <row r="83" spans="1:10" x14ac:dyDescent="0.3">
      <c r="A83" t="str">
        <f>IF(Tabla4[[#This Row],[MATERIAL]]="","",CONCATENATE(Tabla4[[#This Row],[MATERIAL]],"-",Tabla4[[#This Row],[MARCA ]],"-",Tabla4[[#This Row],[PROVEEDOR ]],"-",Tabla4[[#This Row],[USO-CATEGORIA]]))</f>
        <v/>
      </c>
      <c r="B83" s="2"/>
      <c r="C83" s="2"/>
      <c r="D83" s="2"/>
      <c r="E83" s="2"/>
      <c r="F83" s="2"/>
      <c r="G83" s="2"/>
      <c r="H83" s="2"/>
      <c r="I83" s="2"/>
      <c r="J83" s="2"/>
    </row>
    <row r="84" spans="1:10" x14ac:dyDescent="0.3">
      <c r="A84" t="str">
        <f>IF(Tabla4[[#This Row],[MATERIAL]]="","",CONCATENATE(Tabla4[[#This Row],[MATERIAL]],"-",Tabla4[[#This Row],[MARCA ]],"-",Tabla4[[#This Row],[PROVEEDOR ]],"-",Tabla4[[#This Row],[USO-CATEGORIA]]))</f>
        <v/>
      </c>
      <c r="B84" s="2"/>
      <c r="C84" s="2"/>
      <c r="D84" s="2"/>
      <c r="E84" s="2"/>
      <c r="F84" s="2"/>
      <c r="G84" s="2"/>
      <c r="H84" s="2"/>
      <c r="I84" s="2"/>
      <c r="J84" s="2"/>
    </row>
    <row r="85" spans="1:10" x14ac:dyDescent="0.3">
      <c r="A85" t="str">
        <f>IF(Tabla4[[#This Row],[MATERIAL]]="","",CONCATENATE(Tabla4[[#This Row],[MATERIAL]],"-",Tabla4[[#This Row],[MARCA ]],"-",Tabla4[[#This Row],[PROVEEDOR ]],"-",Tabla4[[#This Row],[USO-CATEGORIA]]))</f>
        <v/>
      </c>
      <c r="B85" s="2"/>
      <c r="C85" s="2"/>
      <c r="D85" s="2"/>
      <c r="E85" s="2"/>
      <c r="F85" s="2"/>
      <c r="G85" s="2"/>
      <c r="H85" s="2"/>
      <c r="I85" s="2"/>
      <c r="J85" s="2"/>
    </row>
    <row r="86" spans="1:10" x14ac:dyDescent="0.3">
      <c r="A86" t="str">
        <f>IF(Tabla4[[#This Row],[MATERIAL]]="","",CONCATENATE(Tabla4[[#This Row],[MATERIAL]],"-",Tabla4[[#This Row],[MARCA ]],"-",Tabla4[[#This Row],[PROVEEDOR ]],"-",Tabla4[[#This Row],[USO-CATEGORIA]]))</f>
        <v/>
      </c>
      <c r="B86" s="2"/>
      <c r="C86" s="2"/>
      <c r="D86" s="2"/>
      <c r="E86" s="2"/>
      <c r="F86" s="2"/>
      <c r="G86" s="2"/>
      <c r="H86" s="2"/>
      <c r="I86" s="2"/>
      <c r="J86" s="2"/>
    </row>
    <row r="87" spans="1:10" x14ac:dyDescent="0.3">
      <c r="A87" t="str">
        <f>IF(Tabla4[[#This Row],[MATERIAL]]="","",CONCATENATE(Tabla4[[#This Row],[MATERIAL]],"-",Tabla4[[#This Row],[MARCA ]],"-",Tabla4[[#This Row],[PROVEEDOR ]],"-",Tabla4[[#This Row],[USO-CATEGORIA]]))</f>
        <v/>
      </c>
      <c r="B87" s="2"/>
      <c r="C87" s="2"/>
      <c r="D87" s="2"/>
      <c r="E87" s="2"/>
      <c r="F87" s="2"/>
      <c r="G87" s="2"/>
      <c r="H87" s="2"/>
      <c r="I87" s="2"/>
      <c r="J87" s="2"/>
    </row>
    <row r="88" spans="1:10" x14ac:dyDescent="0.3">
      <c r="A88" t="str">
        <f>IF(Tabla4[[#This Row],[MATERIAL]]="","",CONCATENATE(Tabla4[[#This Row],[MATERIAL]],"-",Tabla4[[#This Row],[MARCA ]],"-",Tabla4[[#This Row],[PROVEEDOR ]],"-",Tabla4[[#This Row],[USO-CATEGORIA]]))</f>
        <v/>
      </c>
      <c r="B88" s="2"/>
      <c r="C88" s="2"/>
      <c r="D88" s="2"/>
      <c r="E88" s="2"/>
      <c r="F88" s="2"/>
      <c r="G88" s="2"/>
      <c r="H88" s="2"/>
      <c r="I88" s="2"/>
      <c r="J88" s="2"/>
    </row>
    <row r="89" spans="1:10" x14ac:dyDescent="0.3">
      <c r="A89" t="str">
        <f>IF(Tabla4[[#This Row],[MATERIAL]]="","",CONCATENATE(Tabla4[[#This Row],[MATERIAL]],"-",Tabla4[[#This Row],[MARCA ]],"-",Tabla4[[#This Row],[PROVEEDOR ]],"-",Tabla4[[#This Row],[USO-CATEGORIA]]))</f>
        <v/>
      </c>
      <c r="B89" s="2"/>
      <c r="C89" s="2"/>
      <c r="D89" s="2"/>
      <c r="E89" s="2"/>
      <c r="F89" s="2"/>
      <c r="G89" s="2"/>
      <c r="H89" s="2"/>
      <c r="I89" s="2"/>
      <c r="J89" s="2"/>
    </row>
    <row r="90" spans="1:10" x14ac:dyDescent="0.3">
      <c r="A90" t="str">
        <f>IF(Tabla4[[#This Row],[MATERIAL]]="","",CONCATENATE(Tabla4[[#This Row],[MATERIAL]],"-",Tabla4[[#This Row],[MARCA ]],"-",Tabla4[[#This Row],[PROVEEDOR ]],"-",Tabla4[[#This Row],[USO-CATEGORIA]]))</f>
        <v/>
      </c>
      <c r="B90" s="2"/>
      <c r="C90" s="2"/>
      <c r="D90" s="2"/>
      <c r="E90" s="2"/>
      <c r="F90" s="2"/>
      <c r="G90" s="2"/>
      <c r="H90" s="2"/>
      <c r="I90" s="2"/>
      <c r="J90" s="2"/>
    </row>
    <row r="91" spans="1:10" x14ac:dyDescent="0.3">
      <c r="A91" t="str">
        <f>IF(Tabla4[[#This Row],[MATERIAL]]="","",CONCATENATE(Tabla4[[#This Row],[MATERIAL]],"-",Tabla4[[#This Row],[MARCA ]],"-",Tabla4[[#This Row],[PROVEEDOR ]],"-",Tabla4[[#This Row],[USO-CATEGORIA]]))</f>
        <v/>
      </c>
      <c r="B91" s="2"/>
      <c r="C91" s="2"/>
      <c r="D91" s="2"/>
      <c r="E91" s="2"/>
      <c r="F91" s="2"/>
      <c r="G91" s="2"/>
      <c r="H91" s="2"/>
      <c r="I91" s="2"/>
      <c r="J91" s="2"/>
    </row>
    <row r="92" spans="1:10" x14ac:dyDescent="0.3">
      <c r="A92" t="str">
        <f>IF(Tabla4[[#This Row],[MATERIAL]]="","",CONCATENATE(Tabla4[[#This Row],[MATERIAL]],"-",Tabla4[[#This Row],[MARCA ]],"-",Tabla4[[#This Row],[PROVEEDOR ]],"-",Tabla4[[#This Row],[USO-CATEGORIA]]))</f>
        <v/>
      </c>
      <c r="B92" s="2"/>
      <c r="C92" s="2"/>
      <c r="D92" s="2"/>
      <c r="E92" s="2"/>
      <c r="F92" s="2"/>
      <c r="G92" s="2"/>
      <c r="H92" s="2"/>
      <c r="I92" s="2"/>
      <c r="J92" s="2"/>
    </row>
    <row r="93" spans="1:10" x14ac:dyDescent="0.3">
      <c r="A93" t="str">
        <f>IF(Tabla4[[#This Row],[MATERIAL]]="","",CONCATENATE(Tabla4[[#This Row],[MATERIAL]],"-",Tabla4[[#This Row],[MARCA ]],"-",Tabla4[[#This Row],[PROVEEDOR ]],"-",Tabla4[[#This Row],[USO-CATEGORIA]]))</f>
        <v/>
      </c>
      <c r="B93" s="2"/>
      <c r="C93" s="2"/>
      <c r="D93" s="2"/>
      <c r="E93" s="2"/>
      <c r="F93" s="2"/>
      <c r="G93" s="2"/>
      <c r="H93" s="2"/>
      <c r="I93" s="2"/>
      <c r="J93" s="2"/>
    </row>
    <row r="94" spans="1:10" x14ac:dyDescent="0.3">
      <c r="A94" t="str">
        <f>IF(Tabla4[[#This Row],[MATERIAL]]="","",CONCATENATE(Tabla4[[#This Row],[MATERIAL]],"-",Tabla4[[#This Row],[MARCA ]],"-",Tabla4[[#This Row],[PROVEEDOR ]],"-",Tabla4[[#This Row],[USO-CATEGORIA]]))</f>
        <v/>
      </c>
      <c r="B94" s="2"/>
      <c r="C94" s="2"/>
      <c r="D94" s="2"/>
      <c r="E94" s="2"/>
      <c r="F94" s="2"/>
      <c r="G94" s="2"/>
      <c r="H94" s="2"/>
      <c r="I94" s="2"/>
      <c r="J94" s="2"/>
    </row>
    <row r="95" spans="1:10" x14ac:dyDescent="0.3">
      <c r="A95" t="str">
        <f>IF(Tabla4[[#This Row],[MATERIAL]]="","",CONCATENATE(Tabla4[[#This Row],[MATERIAL]],"-",Tabla4[[#This Row],[MARCA ]],"-",Tabla4[[#This Row],[PROVEEDOR ]],"-",Tabla4[[#This Row],[USO-CATEGORIA]]))</f>
        <v/>
      </c>
      <c r="B95" s="2"/>
      <c r="C95" s="2"/>
      <c r="D95" s="2"/>
      <c r="E95" s="2"/>
      <c r="F95" s="2"/>
      <c r="G95" s="2"/>
      <c r="H95" s="2"/>
      <c r="I95" s="2"/>
      <c r="J95" s="2"/>
    </row>
    <row r="96" spans="1:10" x14ac:dyDescent="0.3">
      <c r="A96" t="str">
        <f>IF(Tabla4[[#This Row],[MATERIAL]]="","",CONCATENATE(Tabla4[[#This Row],[MATERIAL]],"-",Tabla4[[#This Row],[MARCA ]],"-",Tabla4[[#This Row],[PROVEEDOR ]],"-",Tabla4[[#This Row],[USO-CATEGORIA]]))</f>
        <v/>
      </c>
      <c r="B96" s="2"/>
      <c r="C96" s="2"/>
      <c r="D96" s="2"/>
      <c r="E96" s="2"/>
      <c r="F96" s="2"/>
      <c r="G96" s="2"/>
      <c r="H96" s="2"/>
      <c r="I96" s="2"/>
      <c r="J96" s="2"/>
    </row>
    <row r="97" spans="1:10" x14ac:dyDescent="0.3">
      <c r="A97" t="str">
        <f>IF(Tabla4[[#This Row],[MATERIAL]]="","",CONCATENATE(Tabla4[[#This Row],[MATERIAL]],"-",Tabla4[[#This Row],[MARCA ]],"-",Tabla4[[#This Row],[PROVEEDOR ]],"-",Tabla4[[#This Row],[USO-CATEGORIA]]))</f>
        <v/>
      </c>
      <c r="B97" s="2"/>
      <c r="C97" s="2"/>
      <c r="D97" s="2"/>
      <c r="E97" s="2"/>
      <c r="F97" s="2"/>
      <c r="G97" s="2"/>
      <c r="H97" s="2"/>
      <c r="I97" s="2"/>
      <c r="J97" s="2"/>
    </row>
    <row r="98" spans="1:10" x14ac:dyDescent="0.3">
      <c r="A98" t="str">
        <f>IF(Tabla4[[#This Row],[MATERIAL]]="","",CONCATENATE(Tabla4[[#This Row],[MATERIAL]],"-",Tabla4[[#This Row],[MARCA ]],"-",Tabla4[[#This Row],[PROVEEDOR ]],"-",Tabla4[[#This Row],[USO-CATEGORIA]]))</f>
        <v/>
      </c>
      <c r="B98" s="2"/>
      <c r="C98" s="2"/>
      <c r="D98" s="2"/>
      <c r="E98" s="2"/>
      <c r="F98" s="2"/>
      <c r="G98" s="2"/>
      <c r="H98" s="2"/>
      <c r="I98" s="2"/>
      <c r="J98" s="2"/>
    </row>
    <row r="99" spans="1:10" x14ac:dyDescent="0.3">
      <c r="A99" t="str">
        <f>IF(Tabla4[[#This Row],[MATERIAL]]="","",CONCATENATE(Tabla4[[#This Row],[MATERIAL]],"-",Tabla4[[#This Row],[MARCA ]],"-",Tabla4[[#This Row],[PROVEEDOR ]],"-",Tabla4[[#This Row],[USO-CATEGORIA]]))</f>
        <v/>
      </c>
      <c r="B99" s="2"/>
      <c r="C99" s="2"/>
      <c r="D99" s="2"/>
      <c r="E99" s="2"/>
      <c r="F99" s="2"/>
      <c r="G99" s="2"/>
      <c r="H99" s="2"/>
      <c r="I99" s="2"/>
      <c r="J99" s="2"/>
    </row>
    <row r="100" spans="1:10" x14ac:dyDescent="0.3">
      <c r="A100" t="str">
        <f>IF(Tabla4[[#This Row],[MATERIAL]]="","",CONCATENATE(Tabla4[[#This Row],[MATERIAL]],"-",Tabla4[[#This Row],[MARCA ]],"-",Tabla4[[#This Row],[PROVEEDOR ]],"-",Tabla4[[#This Row],[USO-CATEGORIA]]))</f>
        <v/>
      </c>
      <c r="B100" s="2"/>
      <c r="C100" s="2"/>
      <c r="D100" s="2"/>
      <c r="E100" s="2"/>
      <c r="F100" s="2"/>
      <c r="G100" s="2"/>
      <c r="H100" s="2"/>
      <c r="I100" s="2"/>
      <c r="J100" s="2"/>
    </row>
    <row r="101" spans="1:10" x14ac:dyDescent="0.3">
      <c r="A101" t="str">
        <f>IF(Tabla4[[#This Row],[MATERIAL]]="","",CONCATENATE(Tabla4[[#This Row],[MATERIAL]],"-",Tabla4[[#This Row],[MARCA ]],"-",Tabla4[[#This Row],[PROVEEDOR ]],"-",Tabla4[[#This Row],[USO-CATEGORIA]]))</f>
        <v/>
      </c>
      <c r="B101" s="2"/>
      <c r="C101" s="2"/>
      <c r="D101" s="2"/>
      <c r="E101" s="2"/>
      <c r="F101" s="2"/>
      <c r="G101" s="2"/>
      <c r="H101" s="2"/>
      <c r="I101" s="2"/>
      <c r="J101" s="2"/>
    </row>
    <row r="102" spans="1:10" x14ac:dyDescent="0.3">
      <c r="A102" t="str">
        <f>IF(Tabla4[[#This Row],[MATERIAL]]="","",CONCATENATE(Tabla4[[#This Row],[MATERIAL]],"-",Tabla4[[#This Row],[MARCA ]],"-",Tabla4[[#This Row],[PROVEEDOR ]],"-",Tabla4[[#This Row],[USO-CATEGORIA]]))</f>
        <v/>
      </c>
      <c r="B102" s="2"/>
      <c r="C102" s="2"/>
      <c r="D102" s="2"/>
      <c r="E102" s="2"/>
      <c r="F102" s="2"/>
      <c r="G102" s="2"/>
      <c r="H102" s="2"/>
      <c r="I102" s="2"/>
      <c r="J102" s="2"/>
    </row>
    <row r="103" spans="1:10" x14ac:dyDescent="0.3">
      <c r="A103" t="str">
        <f>IF(Tabla4[[#This Row],[MATERIAL]]="","",CONCATENATE(Tabla4[[#This Row],[MATERIAL]],"-",Tabla4[[#This Row],[MARCA ]],"-",Tabla4[[#This Row],[PROVEEDOR ]],"-",Tabla4[[#This Row],[USO-CATEGORIA]]))</f>
        <v/>
      </c>
      <c r="B103" s="2"/>
      <c r="C103" s="2"/>
      <c r="D103" s="2"/>
      <c r="E103" s="2"/>
      <c r="F103" s="2"/>
      <c r="G103" s="2"/>
      <c r="H103" s="2"/>
      <c r="I103" s="2"/>
      <c r="J103" s="2"/>
    </row>
    <row r="104" spans="1:10" x14ac:dyDescent="0.3">
      <c r="A104" t="str">
        <f>IF(Tabla4[[#This Row],[MATERIAL]]="","",CONCATENATE(Tabla4[[#This Row],[MATERIAL]],"-",Tabla4[[#This Row],[MARCA ]],"-",Tabla4[[#This Row],[PROVEEDOR ]],"-",Tabla4[[#This Row],[USO-CATEGORIA]]))</f>
        <v/>
      </c>
      <c r="B104" s="2"/>
      <c r="C104" s="2"/>
      <c r="D104" s="2"/>
      <c r="E104" s="2"/>
      <c r="F104" s="2"/>
      <c r="G104" s="2"/>
      <c r="H104" s="2"/>
      <c r="I104" s="2"/>
      <c r="J104" s="2"/>
    </row>
    <row r="105" spans="1:10" x14ac:dyDescent="0.3">
      <c r="A105" t="str">
        <f>IF(Tabla4[[#This Row],[MATERIAL]]="","",CONCATENATE(Tabla4[[#This Row],[MATERIAL]],"-",Tabla4[[#This Row],[MARCA ]],"-",Tabla4[[#This Row],[PROVEEDOR ]],"-",Tabla4[[#This Row],[USO-CATEGORIA]]))</f>
        <v/>
      </c>
      <c r="B105" s="2"/>
      <c r="C105" s="2"/>
      <c r="D105" s="2"/>
      <c r="E105" s="2"/>
      <c r="F105" s="2"/>
      <c r="G105" s="2"/>
      <c r="H105" s="2"/>
      <c r="I105" s="2"/>
      <c r="J105" s="2"/>
    </row>
    <row r="106" spans="1:10" x14ac:dyDescent="0.3">
      <c r="A106" t="str">
        <f>IF(Tabla4[[#This Row],[MATERIAL]]="","",CONCATENATE(Tabla4[[#This Row],[MATERIAL]],"-",Tabla4[[#This Row],[MARCA ]],"-",Tabla4[[#This Row],[PROVEEDOR ]],"-",Tabla4[[#This Row],[USO-CATEGORIA]]))</f>
        <v/>
      </c>
      <c r="B106" s="2"/>
      <c r="C106" s="2"/>
      <c r="D106" s="2"/>
      <c r="E106" s="2"/>
      <c r="F106" s="2"/>
      <c r="G106" s="2"/>
      <c r="H106" s="2"/>
      <c r="I106" s="2"/>
      <c r="J106" s="2"/>
    </row>
    <row r="107" spans="1:10" x14ac:dyDescent="0.3">
      <c r="A107" t="str">
        <f>IF(Tabla4[[#This Row],[MATERIAL]]="","",CONCATENATE(Tabla4[[#This Row],[MATERIAL]],"-",Tabla4[[#This Row],[MARCA ]],"-",Tabla4[[#This Row],[PROVEEDOR ]],"-",Tabla4[[#This Row],[USO-CATEGORIA]]))</f>
        <v/>
      </c>
      <c r="B107" s="2"/>
      <c r="C107" s="2"/>
      <c r="D107" s="2"/>
      <c r="E107" s="2"/>
      <c r="F107" s="2"/>
      <c r="G107" s="2"/>
      <c r="H107" s="2"/>
      <c r="I107" s="2"/>
      <c r="J107" s="2"/>
    </row>
    <row r="108" spans="1:10" x14ac:dyDescent="0.3">
      <c r="A108" t="str">
        <f>IF(Tabla4[[#This Row],[MATERIAL]]="","",CONCATENATE(Tabla4[[#This Row],[MATERIAL]],"-",Tabla4[[#This Row],[MARCA ]],"-",Tabla4[[#This Row],[PROVEEDOR ]],"-",Tabla4[[#This Row],[USO-CATEGORIA]]))</f>
        <v/>
      </c>
      <c r="B108" s="2"/>
      <c r="C108" s="2"/>
      <c r="D108" s="2"/>
      <c r="E108" s="2"/>
      <c r="F108" s="2"/>
      <c r="G108" s="2"/>
      <c r="H108" s="2"/>
      <c r="I108" s="2"/>
      <c r="J108" s="2"/>
    </row>
    <row r="109" spans="1:10" x14ac:dyDescent="0.3">
      <c r="A109" t="str">
        <f>IF(Tabla4[[#This Row],[MATERIAL]]="","",CONCATENATE(Tabla4[[#This Row],[MATERIAL]],"-",Tabla4[[#This Row],[MARCA ]],"-",Tabla4[[#This Row],[PROVEEDOR ]],"-",Tabla4[[#This Row],[USO-CATEGORIA]]))</f>
        <v/>
      </c>
      <c r="B109" s="2"/>
      <c r="C109" s="2"/>
      <c r="D109" s="2"/>
      <c r="E109" s="2"/>
      <c r="F109" s="2"/>
      <c r="G109" s="2"/>
      <c r="H109" s="2"/>
      <c r="I109" s="2"/>
      <c r="J109" s="2"/>
    </row>
    <row r="110" spans="1:10" x14ac:dyDescent="0.3">
      <c r="A110" t="str">
        <f>IF(Tabla4[[#This Row],[MATERIAL]]="","",CONCATENATE(Tabla4[[#This Row],[MATERIAL]],"-",Tabla4[[#This Row],[MARCA ]],"-",Tabla4[[#This Row],[PROVEEDOR ]],"-",Tabla4[[#This Row],[USO-CATEGORIA]]))</f>
        <v/>
      </c>
      <c r="B110" s="2"/>
      <c r="C110" s="2"/>
      <c r="D110" s="2"/>
      <c r="E110" s="2"/>
      <c r="F110" s="2"/>
      <c r="G110" s="2"/>
      <c r="H110" s="2"/>
      <c r="I110" s="2"/>
      <c r="J110" s="2"/>
    </row>
    <row r="111" spans="1:10" x14ac:dyDescent="0.3">
      <c r="A111" t="str">
        <f>IF(Tabla4[[#This Row],[MATERIAL]]="","",CONCATENATE(Tabla4[[#This Row],[MATERIAL]],"-",Tabla4[[#This Row],[MARCA ]],"-",Tabla4[[#This Row],[PROVEEDOR ]],"-",Tabla4[[#This Row],[USO-CATEGORIA]]))</f>
        <v/>
      </c>
      <c r="B111" s="2"/>
      <c r="C111" s="2"/>
      <c r="D111" s="2"/>
      <c r="E111" s="2"/>
      <c r="F111" s="2"/>
      <c r="G111" s="2"/>
      <c r="H111" s="2"/>
      <c r="I111" s="2"/>
      <c r="J111" s="2"/>
    </row>
    <row r="112" spans="1:10" x14ac:dyDescent="0.3">
      <c r="A112" t="str">
        <f>IF(Tabla4[[#This Row],[MATERIAL]]="","",CONCATENATE(Tabla4[[#This Row],[MATERIAL]],"-",Tabla4[[#This Row],[MARCA ]],"-",Tabla4[[#This Row],[PROVEEDOR ]],"-",Tabla4[[#This Row],[USO-CATEGORIA]]))</f>
        <v/>
      </c>
      <c r="B112" s="2"/>
      <c r="C112" s="2"/>
      <c r="D112" s="2"/>
      <c r="E112" s="2"/>
      <c r="F112" s="2"/>
      <c r="G112" s="2"/>
      <c r="H112" s="2"/>
      <c r="I112" s="2"/>
      <c r="J112" s="2"/>
    </row>
    <row r="113" spans="1:10" x14ac:dyDescent="0.3">
      <c r="A113" t="str">
        <f>IF(Tabla4[[#This Row],[MATERIAL]]="","",CONCATENATE(Tabla4[[#This Row],[MATERIAL]],"-",Tabla4[[#This Row],[MARCA ]],"-",Tabla4[[#This Row],[PROVEEDOR ]],"-",Tabla4[[#This Row],[USO-CATEGORIA]]))</f>
        <v/>
      </c>
      <c r="B113" s="2"/>
      <c r="C113" s="2"/>
      <c r="D113" s="2"/>
      <c r="E113" s="2"/>
      <c r="F113" s="2"/>
      <c r="G113" s="2"/>
      <c r="H113" s="2"/>
      <c r="I113" s="2"/>
      <c r="J113" s="2"/>
    </row>
    <row r="114" spans="1:10" x14ac:dyDescent="0.3">
      <c r="A114" t="str">
        <f>IF(Tabla4[[#This Row],[MATERIAL]]="","",CONCATENATE(Tabla4[[#This Row],[MATERIAL]],"-",Tabla4[[#This Row],[MARCA ]],"-",Tabla4[[#This Row],[PROVEEDOR ]],"-",Tabla4[[#This Row],[USO-CATEGORIA]]))</f>
        <v/>
      </c>
      <c r="B114" s="2"/>
      <c r="C114" s="2"/>
      <c r="D114" s="2"/>
      <c r="E114" s="2"/>
      <c r="F114" s="2"/>
      <c r="G114" s="2"/>
      <c r="H114" s="2"/>
      <c r="I114" s="2"/>
      <c r="J114" s="2"/>
    </row>
    <row r="115" spans="1:10" x14ac:dyDescent="0.3">
      <c r="A115" t="str">
        <f>IF(Tabla4[[#This Row],[MATERIAL]]="","",CONCATENATE(Tabla4[[#This Row],[MATERIAL]],"-",Tabla4[[#This Row],[MARCA ]],"-",Tabla4[[#This Row],[PROVEEDOR ]],"-",Tabla4[[#This Row],[USO-CATEGORIA]]))</f>
        <v/>
      </c>
      <c r="B115" s="2"/>
      <c r="C115" s="2"/>
      <c r="D115" s="2"/>
      <c r="E115" s="2"/>
      <c r="F115" s="2"/>
      <c r="G115" s="2"/>
      <c r="H115" s="2"/>
      <c r="I115" s="2"/>
      <c r="J115" s="2"/>
    </row>
    <row r="116" spans="1:10" x14ac:dyDescent="0.3">
      <c r="A116" t="str">
        <f>IF(Tabla4[[#This Row],[MATERIAL]]="","",CONCATENATE(Tabla4[[#This Row],[MATERIAL]],"-",Tabla4[[#This Row],[MARCA ]],"-",Tabla4[[#This Row],[PROVEEDOR ]],"-",Tabla4[[#This Row],[USO-CATEGORIA]]))</f>
        <v/>
      </c>
      <c r="B116" s="2"/>
      <c r="C116" s="2"/>
      <c r="D116" s="2"/>
      <c r="E116" s="2"/>
      <c r="F116" s="2"/>
      <c r="G116" s="2"/>
      <c r="H116" s="2"/>
      <c r="I116" s="2"/>
      <c r="J116" s="2"/>
    </row>
    <row r="117" spans="1:10" x14ac:dyDescent="0.3">
      <c r="A117" t="str">
        <f>IF(Tabla4[[#This Row],[MATERIAL]]="","",CONCATENATE(Tabla4[[#This Row],[MATERIAL]],"-",Tabla4[[#This Row],[MARCA ]],"-",Tabla4[[#This Row],[PROVEEDOR ]],"-",Tabla4[[#This Row],[USO-CATEGORIA]]))</f>
        <v/>
      </c>
      <c r="B117" s="2"/>
      <c r="C117" s="2"/>
      <c r="D117" s="2"/>
      <c r="E117" s="2"/>
      <c r="F117" s="2"/>
      <c r="G117" s="2"/>
      <c r="H117" s="2"/>
      <c r="I117" s="2"/>
      <c r="J117" s="2"/>
    </row>
    <row r="118" spans="1:10" x14ac:dyDescent="0.3">
      <c r="A118" t="str">
        <f>IF(Tabla4[[#This Row],[MATERIAL]]="","",CONCATENATE(Tabla4[[#This Row],[MATERIAL]],"-",Tabla4[[#This Row],[MARCA ]],"-",Tabla4[[#This Row],[PROVEEDOR ]],"-",Tabla4[[#This Row],[USO-CATEGORIA]]))</f>
        <v/>
      </c>
      <c r="B118" s="2"/>
      <c r="C118" s="2"/>
      <c r="D118" s="2"/>
      <c r="E118" s="2"/>
      <c r="F118" s="2"/>
      <c r="G118" s="2"/>
      <c r="H118" s="2"/>
      <c r="I118" s="2"/>
      <c r="J118" s="2"/>
    </row>
    <row r="119" spans="1:10" x14ac:dyDescent="0.3">
      <c r="A119" t="str">
        <f>IF(Tabla4[[#This Row],[MATERIAL]]="","",CONCATENATE(Tabla4[[#This Row],[MATERIAL]],"-",Tabla4[[#This Row],[MARCA ]],"-",Tabla4[[#This Row],[PROVEEDOR ]],"-",Tabla4[[#This Row],[USO-CATEGORIA]]))</f>
        <v/>
      </c>
      <c r="B119" s="2"/>
      <c r="C119" s="2"/>
      <c r="D119" s="2"/>
      <c r="E119" s="2"/>
      <c r="F119" s="2"/>
      <c r="G119" s="2"/>
      <c r="H119" s="2"/>
      <c r="I119" s="2"/>
      <c r="J119" s="2"/>
    </row>
    <row r="120" spans="1:10" x14ac:dyDescent="0.3">
      <c r="A120" t="str">
        <f>IF(Tabla4[[#This Row],[MATERIAL]]="","",CONCATENATE(Tabla4[[#This Row],[MATERIAL]],"-",Tabla4[[#This Row],[MARCA ]],"-",Tabla4[[#This Row],[PROVEEDOR ]],"-",Tabla4[[#This Row],[USO-CATEGORIA]]))</f>
        <v/>
      </c>
      <c r="B120" s="2"/>
      <c r="C120" s="2"/>
      <c r="D120" s="2"/>
      <c r="E120" s="2"/>
      <c r="F120" s="2"/>
      <c r="G120" s="2"/>
      <c r="H120" s="2"/>
      <c r="I120" s="2"/>
      <c r="J120" s="2"/>
    </row>
    <row r="121" spans="1:10" x14ac:dyDescent="0.3">
      <c r="A121" t="str">
        <f>IF(Tabla4[[#This Row],[MATERIAL]]="","",CONCATENATE(Tabla4[[#This Row],[MATERIAL]],"-",Tabla4[[#This Row],[MARCA ]],"-",Tabla4[[#This Row],[PROVEEDOR ]],"-",Tabla4[[#This Row],[USO-CATEGORIA]]))</f>
        <v/>
      </c>
      <c r="B121" s="2"/>
      <c r="C121" s="2"/>
      <c r="D121" s="2"/>
      <c r="E121" s="2"/>
      <c r="F121" s="2"/>
      <c r="G121" s="2"/>
      <c r="H121" s="2"/>
      <c r="I121" s="2"/>
      <c r="J121" s="2"/>
    </row>
    <row r="122" spans="1:10" x14ac:dyDescent="0.3">
      <c r="A122" t="str">
        <f>IF(Tabla4[[#This Row],[MATERIAL]]="","",CONCATENATE(Tabla4[[#This Row],[MATERIAL]],"-",Tabla4[[#This Row],[MARCA ]],"-",Tabla4[[#This Row],[PROVEEDOR ]],"-",Tabla4[[#This Row],[USO-CATEGORIA]]))</f>
        <v/>
      </c>
      <c r="B122" s="2"/>
      <c r="C122" s="2"/>
      <c r="D122" s="2"/>
      <c r="E122" s="2"/>
      <c r="F122" s="2"/>
      <c r="G122" s="2"/>
      <c r="H122" s="2"/>
      <c r="I122" s="2"/>
      <c r="J122" s="2"/>
    </row>
    <row r="123" spans="1:10" x14ac:dyDescent="0.3">
      <c r="A123" t="str">
        <f>IF(Tabla4[[#This Row],[MATERIAL]]="","",CONCATENATE(Tabla4[[#This Row],[MATERIAL]],"-",Tabla4[[#This Row],[MARCA ]],"-",Tabla4[[#This Row],[PROVEEDOR ]],"-",Tabla4[[#This Row],[USO-CATEGORIA]]))</f>
        <v/>
      </c>
      <c r="B123" s="2"/>
      <c r="C123" s="2"/>
      <c r="D123" s="2"/>
      <c r="E123" s="2"/>
      <c r="F123" s="2"/>
      <c r="G123" s="2"/>
      <c r="H123" s="2"/>
      <c r="I123" s="2"/>
      <c r="J123" s="2"/>
    </row>
    <row r="124" spans="1:10" x14ac:dyDescent="0.3">
      <c r="A124" t="str">
        <f>IF(Tabla4[[#This Row],[MATERIAL]]="","",CONCATENATE(Tabla4[[#This Row],[MATERIAL]],"-",Tabla4[[#This Row],[MARCA ]],"-",Tabla4[[#This Row],[PROVEEDOR ]],"-",Tabla4[[#This Row],[USO-CATEGORIA]]))</f>
        <v/>
      </c>
      <c r="B124" s="2"/>
      <c r="C124" s="2"/>
      <c r="D124" s="2"/>
      <c r="E124" s="2"/>
      <c r="F124" s="2"/>
      <c r="G124" s="2"/>
      <c r="H124" s="2"/>
      <c r="I124" s="2"/>
      <c r="J124" s="2"/>
    </row>
    <row r="125" spans="1:10" x14ac:dyDescent="0.3">
      <c r="A125" t="str">
        <f>IF(Tabla4[[#This Row],[MATERIAL]]="","",CONCATENATE(Tabla4[[#This Row],[MATERIAL]],"-",Tabla4[[#This Row],[MARCA ]],"-",Tabla4[[#This Row],[PROVEEDOR ]],"-",Tabla4[[#This Row],[USO-CATEGORIA]]))</f>
        <v/>
      </c>
      <c r="B125" s="2"/>
      <c r="C125" s="2"/>
      <c r="D125" s="2"/>
      <c r="E125" s="2"/>
      <c r="F125" s="2"/>
      <c r="G125" s="2"/>
      <c r="H125" s="2"/>
      <c r="I125" s="2"/>
      <c r="J125" s="2"/>
    </row>
    <row r="126" spans="1:10" x14ac:dyDescent="0.3">
      <c r="A126" t="str">
        <f>IF(Tabla4[[#This Row],[MATERIAL]]="","",CONCATENATE(Tabla4[[#This Row],[MATERIAL]],"-",Tabla4[[#This Row],[MARCA ]],"-",Tabla4[[#This Row],[PROVEEDOR ]],"-",Tabla4[[#This Row],[USO-CATEGORIA]]))</f>
        <v/>
      </c>
      <c r="B126" s="2"/>
      <c r="C126" s="2"/>
      <c r="D126" s="2"/>
      <c r="E126" s="2"/>
      <c r="F126" s="2"/>
      <c r="G126" s="2"/>
      <c r="H126" s="2"/>
      <c r="I126" s="2"/>
      <c r="J126" s="2"/>
    </row>
    <row r="127" spans="1:10" x14ac:dyDescent="0.3">
      <c r="A127" t="str">
        <f>IF(Tabla4[[#This Row],[MATERIAL]]="","",CONCATENATE(Tabla4[[#This Row],[MATERIAL]],"-",Tabla4[[#This Row],[MARCA ]],"-",Tabla4[[#This Row],[PROVEEDOR ]],"-",Tabla4[[#This Row],[USO-CATEGORIA]]))</f>
        <v/>
      </c>
      <c r="B127" s="2"/>
      <c r="C127" s="2"/>
      <c r="D127" s="2"/>
      <c r="E127" s="2"/>
      <c r="F127" s="2"/>
      <c r="G127" s="2"/>
      <c r="H127" s="2"/>
      <c r="I127" s="2"/>
      <c r="J127" s="2"/>
    </row>
    <row r="128" spans="1:10" x14ac:dyDescent="0.3">
      <c r="A128" t="str">
        <f>IF(Tabla4[[#This Row],[MATERIAL]]="","",CONCATENATE(Tabla4[[#This Row],[MATERIAL]],"-",Tabla4[[#This Row],[MARCA ]],"-",Tabla4[[#This Row],[PROVEEDOR ]],"-",Tabla4[[#This Row],[USO-CATEGORIA]]))</f>
        <v/>
      </c>
      <c r="B128" s="2"/>
      <c r="C128" s="2"/>
      <c r="D128" s="2"/>
      <c r="E128" s="2"/>
      <c r="F128" s="2"/>
      <c r="G128" s="2"/>
      <c r="H128" s="2"/>
      <c r="I128" s="2"/>
      <c r="J128" s="2"/>
    </row>
    <row r="129" spans="1:10" x14ac:dyDescent="0.3">
      <c r="A129" t="str">
        <f>IF(Tabla4[[#This Row],[MATERIAL]]="","",CONCATENATE(Tabla4[[#This Row],[MATERIAL]],"-",Tabla4[[#This Row],[MARCA ]],"-",Tabla4[[#This Row],[PROVEEDOR ]],"-",Tabla4[[#This Row],[USO-CATEGORIA]]))</f>
        <v/>
      </c>
      <c r="B129" s="2"/>
      <c r="C129" s="2"/>
      <c r="D129" s="2"/>
      <c r="E129" s="2"/>
      <c r="F129" s="2"/>
      <c r="G129" s="2"/>
      <c r="H129" s="2"/>
      <c r="I129" s="2"/>
      <c r="J129" s="2"/>
    </row>
    <row r="130" spans="1:10" x14ac:dyDescent="0.3">
      <c r="A130" t="str">
        <f>IF(Tabla4[[#This Row],[MATERIAL]]="","",CONCATENATE(Tabla4[[#This Row],[MATERIAL]],"-",Tabla4[[#This Row],[MARCA ]],"-",Tabla4[[#This Row],[PROVEEDOR ]],"-",Tabla4[[#This Row],[USO-CATEGORIA]]))</f>
        <v/>
      </c>
      <c r="B130" s="2"/>
      <c r="C130" s="2"/>
      <c r="D130" s="2"/>
      <c r="E130" s="2"/>
      <c r="F130" s="2"/>
      <c r="G130" s="2"/>
      <c r="H130" s="2"/>
      <c r="I130" s="2"/>
      <c r="J130" s="2"/>
    </row>
    <row r="131" spans="1:10" x14ac:dyDescent="0.3">
      <c r="A131" t="str">
        <f>IF(Tabla4[[#This Row],[MATERIAL]]="","",CONCATENATE(Tabla4[[#This Row],[MATERIAL]],"-",Tabla4[[#This Row],[MARCA ]],"-",Tabla4[[#This Row],[PROVEEDOR ]],"-",Tabla4[[#This Row],[USO-CATEGORIA]]))</f>
        <v/>
      </c>
      <c r="B131" s="2"/>
      <c r="C131" s="2"/>
      <c r="D131" s="2"/>
      <c r="E131" s="2"/>
      <c r="F131" s="2"/>
      <c r="G131" s="2"/>
      <c r="H131" s="2"/>
      <c r="I131" s="2"/>
      <c r="J131" s="2"/>
    </row>
    <row r="132" spans="1:10" x14ac:dyDescent="0.3">
      <c r="A132" t="str">
        <f>IF(Tabla4[[#This Row],[MATERIAL]]="","",CONCATENATE(Tabla4[[#This Row],[MATERIAL]],"-",Tabla4[[#This Row],[MARCA ]],"-",Tabla4[[#This Row],[PROVEEDOR ]],"-",Tabla4[[#This Row],[USO-CATEGORIA]]))</f>
        <v/>
      </c>
      <c r="B132" s="2"/>
      <c r="C132" s="2"/>
      <c r="D132" s="2"/>
      <c r="E132" s="2"/>
      <c r="F132" s="2"/>
      <c r="G132" s="2"/>
      <c r="H132" s="2"/>
      <c r="I132" s="2"/>
      <c r="J132" s="2"/>
    </row>
    <row r="133" spans="1:10" x14ac:dyDescent="0.3">
      <c r="A133" t="str">
        <f>IF(Tabla4[[#This Row],[MATERIAL]]="","",CONCATENATE(Tabla4[[#This Row],[MATERIAL]],"-",Tabla4[[#This Row],[MARCA ]],"-",Tabla4[[#This Row],[PROVEEDOR ]],"-",Tabla4[[#This Row],[USO-CATEGORIA]]))</f>
        <v/>
      </c>
      <c r="B133" s="2"/>
      <c r="C133" s="2"/>
      <c r="D133" s="2"/>
      <c r="E133" s="2"/>
      <c r="F133" s="2"/>
      <c r="G133" s="2"/>
      <c r="H133" s="2"/>
      <c r="I133" s="2"/>
      <c r="J133" s="2"/>
    </row>
    <row r="134" spans="1:10" x14ac:dyDescent="0.3">
      <c r="A134" t="str">
        <f>IF(Tabla4[[#This Row],[MATERIAL]]="","",CONCATENATE(Tabla4[[#This Row],[MATERIAL]],"-",Tabla4[[#This Row],[MARCA ]],"-",Tabla4[[#This Row],[PROVEEDOR ]],"-",Tabla4[[#This Row],[USO-CATEGORIA]]))</f>
        <v/>
      </c>
      <c r="B134" s="2"/>
      <c r="C134" s="2"/>
      <c r="D134" s="2"/>
      <c r="E134" s="2"/>
      <c r="F134" s="2"/>
      <c r="G134" s="2"/>
      <c r="H134" s="2"/>
      <c r="I134" s="2"/>
      <c r="J134" s="2"/>
    </row>
    <row r="135" spans="1:10" x14ac:dyDescent="0.3">
      <c r="A135" t="str">
        <f>IF(Tabla4[[#This Row],[MATERIAL]]="","",CONCATENATE(Tabla4[[#This Row],[MATERIAL]],"-",Tabla4[[#This Row],[MARCA ]],"-",Tabla4[[#This Row],[PROVEEDOR ]],"-",Tabla4[[#This Row],[USO-CATEGORIA]]))</f>
        <v/>
      </c>
      <c r="B135" s="2"/>
      <c r="C135" s="2"/>
      <c r="D135" s="2"/>
      <c r="E135" s="2"/>
      <c r="F135" s="2"/>
      <c r="G135" s="2"/>
      <c r="H135" s="2"/>
      <c r="I135" s="2"/>
      <c r="J135" s="2"/>
    </row>
    <row r="136" spans="1:10" x14ac:dyDescent="0.3">
      <c r="A136" t="str">
        <f>IF(Tabla4[[#This Row],[MATERIAL]]="","",CONCATENATE(Tabla4[[#This Row],[MATERIAL]],"-",Tabla4[[#This Row],[MARCA ]],"-",Tabla4[[#This Row],[PROVEEDOR ]],"-",Tabla4[[#This Row],[USO-CATEGORIA]]))</f>
        <v/>
      </c>
      <c r="B136" s="2"/>
      <c r="C136" s="2"/>
      <c r="D136" s="2"/>
      <c r="E136" s="2"/>
      <c r="F136" s="2"/>
      <c r="G136" s="2"/>
      <c r="H136" s="2"/>
      <c r="I136" s="2"/>
      <c r="J136" s="2"/>
    </row>
    <row r="137" spans="1:10" x14ac:dyDescent="0.3">
      <c r="A137" t="str">
        <f>IF(Tabla4[[#This Row],[MATERIAL]]="","",CONCATENATE(Tabla4[[#This Row],[MATERIAL]],"-",Tabla4[[#This Row],[MARCA ]],"-",Tabla4[[#This Row],[PROVEEDOR ]],"-",Tabla4[[#This Row],[USO-CATEGORIA]]))</f>
        <v/>
      </c>
      <c r="B137" s="2"/>
      <c r="C137" s="2"/>
      <c r="D137" s="2"/>
      <c r="E137" s="2"/>
      <c r="F137" s="2"/>
      <c r="G137" s="2"/>
      <c r="H137" s="2"/>
      <c r="I137" s="2"/>
      <c r="J137" s="2"/>
    </row>
    <row r="138" spans="1:10" x14ac:dyDescent="0.3">
      <c r="A138" t="str">
        <f>IF(Tabla4[[#This Row],[MATERIAL]]="","",CONCATENATE(Tabla4[[#This Row],[MATERIAL]],"-",Tabla4[[#This Row],[MARCA ]],"-",Tabla4[[#This Row],[PROVEEDOR ]],"-",Tabla4[[#This Row],[USO-CATEGORIA]]))</f>
        <v/>
      </c>
      <c r="B138" s="2"/>
      <c r="C138" s="2"/>
      <c r="D138" s="2"/>
      <c r="E138" s="2"/>
      <c r="F138" s="2"/>
      <c r="G138" s="2"/>
      <c r="H138" s="2"/>
      <c r="I138" s="2"/>
      <c r="J138" s="2"/>
    </row>
    <row r="139" spans="1:10" x14ac:dyDescent="0.3">
      <c r="A139" t="str">
        <f>IF(Tabla4[[#This Row],[MATERIAL]]="","",CONCATENATE(Tabla4[[#This Row],[MATERIAL]],"-",Tabla4[[#This Row],[MARCA ]],"-",Tabla4[[#This Row],[PROVEEDOR ]],"-",Tabla4[[#This Row],[USO-CATEGORIA]]))</f>
        <v/>
      </c>
      <c r="B139" s="2"/>
      <c r="C139" s="2"/>
      <c r="D139" s="2"/>
      <c r="E139" s="2"/>
      <c r="F139" s="2"/>
      <c r="G139" s="2"/>
      <c r="H139" s="2"/>
      <c r="I139" s="2"/>
      <c r="J139" s="2"/>
    </row>
    <row r="140" spans="1:10" x14ac:dyDescent="0.3">
      <c r="A140" t="str">
        <f>IF(Tabla4[[#This Row],[MATERIAL]]="","",CONCATENATE(Tabla4[[#This Row],[MATERIAL]],"-",Tabla4[[#This Row],[MARCA ]],"-",Tabla4[[#This Row],[PROVEEDOR ]],"-",Tabla4[[#This Row],[USO-CATEGORIA]]))</f>
        <v/>
      </c>
      <c r="B140" s="2"/>
      <c r="C140" s="2"/>
      <c r="D140" s="2"/>
      <c r="E140" s="2"/>
      <c r="F140" s="2"/>
      <c r="G140" s="2"/>
      <c r="H140" s="2"/>
      <c r="I140" s="2"/>
      <c r="J140" s="2"/>
    </row>
    <row r="141" spans="1:10" x14ac:dyDescent="0.3">
      <c r="A141" t="str">
        <f>IF(Tabla4[[#This Row],[MATERIAL]]="","",CONCATENATE(Tabla4[[#This Row],[MATERIAL]],"-",Tabla4[[#This Row],[MARCA ]],"-",Tabla4[[#This Row],[PROVEEDOR ]],"-",Tabla4[[#This Row],[USO-CATEGORIA]]))</f>
        <v/>
      </c>
      <c r="B141" s="2"/>
      <c r="C141" s="2"/>
      <c r="D141" s="2"/>
      <c r="E141" s="2"/>
      <c r="F141" s="2"/>
      <c r="G141" s="2"/>
      <c r="H141" s="2"/>
      <c r="I141" s="2"/>
      <c r="J141" s="2"/>
    </row>
    <row r="142" spans="1:10" x14ac:dyDescent="0.3">
      <c r="A142" t="str">
        <f>IF(Tabla4[[#This Row],[MATERIAL]]="","",CONCATENATE(Tabla4[[#This Row],[MATERIAL]],"-",Tabla4[[#This Row],[MARCA ]],"-",Tabla4[[#This Row],[PROVEEDOR ]],"-",Tabla4[[#This Row],[USO-CATEGORIA]]))</f>
        <v/>
      </c>
      <c r="B142" s="2"/>
      <c r="C142" s="2"/>
      <c r="D142" s="2"/>
      <c r="E142" s="2"/>
      <c r="F142" s="2"/>
      <c r="G142" s="2"/>
      <c r="H142" s="2"/>
      <c r="I142" s="2"/>
      <c r="J142" s="2"/>
    </row>
    <row r="143" spans="1:10" x14ac:dyDescent="0.3">
      <c r="A143" t="str">
        <f>IF(Tabla4[[#This Row],[MATERIAL]]="","",CONCATENATE(Tabla4[[#This Row],[MATERIAL]],"-",Tabla4[[#This Row],[MARCA ]],"-",Tabla4[[#This Row],[PROVEEDOR ]],"-",Tabla4[[#This Row],[USO-CATEGORIA]]))</f>
        <v/>
      </c>
      <c r="B143" s="2"/>
      <c r="C143" s="2"/>
      <c r="D143" s="2"/>
      <c r="E143" s="2"/>
      <c r="F143" s="2"/>
      <c r="G143" s="2"/>
      <c r="H143" s="2"/>
      <c r="I143" s="2"/>
      <c r="J143" s="2"/>
    </row>
    <row r="144" spans="1:10" x14ac:dyDescent="0.3">
      <c r="A144" t="str">
        <f>IF(Tabla4[[#This Row],[MATERIAL]]="","",CONCATENATE(Tabla4[[#This Row],[MATERIAL]],"-",Tabla4[[#This Row],[MARCA ]],"-",Tabla4[[#This Row],[PROVEEDOR ]],"-",Tabla4[[#This Row],[USO-CATEGORIA]]))</f>
        <v/>
      </c>
      <c r="B144" s="2"/>
      <c r="C144" s="2"/>
      <c r="D144" s="2"/>
      <c r="E144" s="2"/>
      <c r="F144" s="2"/>
      <c r="G144" s="2"/>
      <c r="H144" s="2"/>
      <c r="I144" s="2"/>
      <c r="J144" s="2"/>
    </row>
    <row r="145" spans="1:10" x14ac:dyDescent="0.3">
      <c r="A145" t="str">
        <f>IF(Tabla4[[#This Row],[MATERIAL]]="","",CONCATENATE(Tabla4[[#This Row],[MATERIAL]],"-",Tabla4[[#This Row],[MARCA ]],"-",Tabla4[[#This Row],[PROVEEDOR ]],"-",Tabla4[[#This Row],[USO-CATEGORIA]]))</f>
        <v/>
      </c>
      <c r="B145" s="2"/>
      <c r="C145" s="2"/>
      <c r="D145" s="2"/>
      <c r="E145" s="2"/>
      <c r="F145" s="2"/>
      <c r="G145" s="2"/>
      <c r="H145" s="2"/>
      <c r="I145" s="2"/>
      <c r="J145" s="2"/>
    </row>
    <row r="146" spans="1:10" x14ac:dyDescent="0.3">
      <c r="A146" t="str">
        <f>IF(Tabla4[[#This Row],[MATERIAL]]="","",CONCATENATE(Tabla4[[#This Row],[MATERIAL]],"-",Tabla4[[#This Row],[MARCA ]],"-",Tabla4[[#This Row],[PROVEEDOR ]],"-",Tabla4[[#This Row],[USO-CATEGORIA]]))</f>
        <v/>
      </c>
      <c r="B146" s="2"/>
      <c r="C146" s="2"/>
      <c r="D146" s="2"/>
      <c r="E146" s="2"/>
      <c r="F146" s="2"/>
      <c r="G146" s="2"/>
      <c r="H146" s="2"/>
      <c r="I146" s="2"/>
      <c r="J146" s="2"/>
    </row>
    <row r="147" spans="1:10" x14ac:dyDescent="0.3">
      <c r="A147" t="str">
        <f>IF(Tabla4[[#This Row],[MATERIAL]]="","",CONCATENATE(Tabla4[[#This Row],[MATERIAL]],"-",Tabla4[[#This Row],[MARCA ]],"-",Tabla4[[#This Row],[PROVEEDOR ]],"-",Tabla4[[#This Row],[USO-CATEGORIA]]))</f>
        <v/>
      </c>
      <c r="B147" s="2"/>
      <c r="C147" s="2"/>
      <c r="D147" s="2"/>
      <c r="E147" s="2"/>
      <c r="F147" s="2"/>
      <c r="G147" s="2"/>
      <c r="H147" s="2"/>
      <c r="I147" s="2"/>
      <c r="J147" s="2"/>
    </row>
    <row r="148" spans="1:10" x14ac:dyDescent="0.3">
      <c r="A148" t="str">
        <f>IF(Tabla4[[#This Row],[MATERIAL]]="","",CONCATENATE(Tabla4[[#This Row],[MATERIAL]],"-",Tabla4[[#This Row],[MARCA ]],"-",Tabla4[[#This Row],[PROVEEDOR ]],"-",Tabla4[[#This Row],[USO-CATEGORIA]]))</f>
        <v/>
      </c>
      <c r="B148" s="2"/>
      <c r="C148" s="2"/>
      <c r="D148" s="2"/>
      <c r="E148" s="2"/>
      <c r="F148" s="2"/>
      <c r="G148" s="2"/>
      <c r="H148" s="2"/>
      <c r="I148" s="2"/>
      <c r="J148" s="2"/>
    </row>
    <row r="149" spans="1:10" x14ac:dyDescent="0.3">
      <c r="A149" t="str">
        <f>IF(Tabla4[[#This Row],[MATERIAL]]="","",CONCATENATE(Tabla4[[#This Row],[MATERIAL]],"-",Tabla4[[#This Row],[MARCA ]],"-",Tabla4[[#This Row],[PROVEEDOR ]],"-",Tabla4[[#This Row],[USO-CATEGORIA]]))</f>
        <v/>
      </c>
      <c r="B149" s="2"/>
      <c r="C149" s="2"/>
      <c r="D149" s="2"/>
      <c r="E149" s="2"/>
      <c r="F149" s="2"/>
      <c r="G149" s="2"/>
      <c r="H149" s="2"/>
      <c r="I149" s="2"/>
      <c r="J149" s="2"/>
    </row>
    <row r="150" spans="1:10" x14ac:dyDescent="0.3">
      <c r="A150" t="str">
        <f>IF(Tabla4[[#This Row],[MATERIAL]]="","",CONCATENATE(Tabla4[[#This Row],[MATERIAL]],"-",Tabla4[[#This Row],[MARCA ]],"-",Tabla4[[#This Row],[PROVEEDOR ]],"-",Tabla4[[#This Row],[USO-CATEGORIA]]))</f>
        <v/>
      </c>
      <c r="B150" s="2"/>
      <c r="C150" s="2"/>
      <c r="D150" s="2"/>
      <c r="E150" s="2"/>
      <c r="F150" s="2"/>
      <c r="G150" s="2"/>
      <c r="H150" s="2"/>
      <c r="I150" s="2"/>
      <c r="J150" s="2"/>
    </row>
    <row r="151" spans="1:10" x14ac:dyDescent="0.3">
      <c r="A151" t="str">
        <f>IF(Tabla4[[#This Row],[MATERIAL]]="","",CONCATENATE(Tabla4[[#This Row],[MATERIAL]],"-",Tabla4[[#This Row],[MARCA ]],"-",Tabla4[[#This Row],[PROVEEDOR ]],"-",Tabla4[[#This Row],[USO-CATEGORIA]]))</f>
        <v/>
      </c>
      <c r="B151" s="2"/>
      <c r="C151" s="2"/>
      <c r="D151" s="2"/>
      <c r="E151" s="2"/>
      <c r="F151" s="2"/>
      <c r="G151" s="2"/>
      <c r="H151" s="2"/>
      <c r="I151" s="2"/>
      <c r="J151" s="2"/>
    </row>
    <row r="152" spans="1:10" x14ac:dyDescent="0.3">
      <c r="A152" t="str">
        <f>IF(Tabla4[[#This Row],[MATERIAL]]="","",CONCATENATE(Tabla4[[#This Row],[MATERIAL]],"-",Tabla4[[#This Row],[MARCA ]],"-",Tabla4[[#This Row],[PROVEEDOR ]],"-",Tabla4[[#This Row],[USO-CATEGORIA]]))</f>
        <v/>
      </c>
      <c r="B152" s="2"/>
      <c r="C152" s="2"/>
      <c r="D152" s="2"/>
      <c r="E152" s="2"/>
      <c r="F152" s="2"/>
      <c r="G152" s="2"/>
      <c r="H152" s="2"/>
      <c r="I152" s="2"/>
      <c r="J152" s="2"/>
    </row>
    <row r="153" spans="1:10" x14ac:dyDescent="0.3">
      <c r="A153" t="str">
        <f>IF(Tabla4[[#This Row],[MATERIAL]]="","",CONCATENATE(Tabla4[[#This Row],[MATERIAL]],"-",Tabla4[[#This Row],[MARCA ]],"-",Tabla4[[#This Row],[PROVEEDOR ]],"-",Tabla4[[#This Row],[USO-CATEGORIA]]))</f>
        <v/>
      </c>
      <c r="B153" s="2"/>
      <c r="C153" s="2"/>
      <c r="D153" s="2"/>
      <c r="E153" s="2"/>
      <c r="F153" s="2"/>
      <c r="G153" s="2"/>
      <c r="H153" s="2"/>
      <c r="I153" s="2"/>
      <c r="J153" s="2"/>
    </row>
    <row r="154" spans="1:10" x14ac:dyDescent="0.3">
      <c r="A154" t="str">
        <f>IF(Tabla4[[#This Row],[MATERIAL]]="","",CONCATENATE(Tabla4[[#This Row],[MATERIAL]],"-",Tabla4[[#This Row],[MARCA ]],"-",Tabla4[[#This Row],[PROVEEDOR ]],"-",Tabla4[[#This Row],[USO-CATEGORIA]]))</f>
        <v/>
      </c>
      <c r="B154" s="2"/>
      <c r="C154" s="2"/>
      <c r="D154" s="2"/>
      <c r="E154" s="2"/>
      <c r="F154" s="2"/>
      <c r="G154" s="2"/>
      <c r="H154" s="2"/>
      <c r="I154" s="2"/>
      <c r="J154" s="2"/>
    </row>
    <row r="155" spans="1:10" x14ac:dyDescent="0.3">
      <c r="A155" t="str">
        <f>IF(Tabla4[[#This Row],[MATERIAL]]="","",CONCATENATE(Tabla4[[#This Row],[MATERIAL]],"-",Tabla4[[#This Row],[MARCA ]],"-",Tabla4[[#This Row],[PROVEEDOR ]],"-",Tabla4[[#This Row],[USO-CATEGORIA]]))</f>
        <v/>
      </c>
      <c r="B155" s="2"/>
      <c r="C155" s="2"/>
      <c r="D155" s="2"/>
      <c r="E155" s="2"/>
      <c r="F155" s="2"/>
      <c r="G155" s="2"/>
      <c r="H155" s="2"/>
      <c r="I155" s="2"/>
      <c r="J155" s="2"/>
    </row>
    <row r="156" spans="1:10" x14ac:dyDescent="0.3">
      <c r="A156" t="str">
        <f>IF(Tabla4[[#This Row],[MATERIAL]]="","",CONCATENATE(Tabla4[[#This Row],[MATERIAL]],"-",Tabla4[[#This Row],[MARCA ]],"-",Tabla4[[#This Row],[PROVEEDOR ]],"-",Tabla4[[#This Row],[USO-CATEGORIA]]))</f>
        <v/>
      </c>
      <c r="B156" s="2"/>
      <c r="C156" s="2"/>
      <c r="D156" s="2"/>
      <c r="E156" s="2"/>
      <c r="F156" s="2"/>
      <c r="G156" s="2"/>
      <c r="H156" s="2"/>
      <c r="I156" s="2"/>
      <c r="J156" s="2"/>
    </row>
    <row r="157" spans="1:10" x14ac:dyDescent="0.3">
      <c r="A157" t="str">
        <f>IF(Tabla4[[#This Row],[MATERIAL]]="","",CONCATENATE(Tabla4[[#This Row],[MATERIAL]],"-",Tabla4[[#This Row],[MARCA ]],"-",Tabla4[[#This Row],[PROVEEDOR ]],"-",Tabla4[[#This Row],[USO-CATEGORIA]]))</f>
        <v/>
      </c>
      <c r="B157" s="2"/>
      <c r="C157" s="2"/>
      <c r="D157" s="2"/>
      <c r="E157" s="2"/>
      <c r="F157" s="2"/>
      <c r="G157" s="2"/>
      <c r="H157" s="2"/>
      <c r="I157" s="2"/>
      <c r="J157" s="2"/>
    </row>
    <row r="158" spans="1:10" x14ac:dyDescent="0.3">
      <c r="A158" t="str">
        <f>IF(Tabla4[[#This Row],[MATERIAL]]="","",CONCATENATE(Tabla4[[#This Row],[MATERIAL]],"-",Tabla4[[#This Row],[MARCA ]],"-",Tabla4[[#This Row],[PROVEEDOR ]],"-",Tabla4[[#This Row],[USO-CATEGORIA]]))</f>
        <v/>
      </c>
      <c r="B158" s="2"/>
      <c r="C158" s="2"/>
      <c r="D158" s="2"/>
      <c r="E158" s="2"/>
      <c r="F158" s="2"/>
      <c r="G158" s="2"/>
      <c r="H158" s="2"/>
      <c r="I158" s="2"/>
      <c r="J158" s="2"/>
    </row>
    <row r="159" spans="1:10" x14ac:dyDescent="0.3">
      <c r="A159" t="str">
        <f>IF(Tabla4[[#This Row],[MATERIAL]]="","",CONCATENATE(Tabla4[[#This Row],[MATERIAL]],"-",Tabla4[[#This Row],[MARCA ]],"-",Tabla4[[#This Row],[PROVEEDOR ]],"-",Tabla4[[#This Row],[USO-CATEGORIA]]))</f>
        <v/>
      </c>
      <c r="B159" s="2"/>
      <c r="C159" s="2"/>
      <c r="D159" s="2"/>
      <c r="E159" s="2"/>
      <c r="F159" s="2"/>
      <c r="G159" s="2"/>
      <c r="H159" s="2"/>
      <c r="I159" s="2"/>
      <c r="J159" s="2"/>
    </row>
    <row r="160" spans="1:10" x14ac:dyDescent="0.3">
      <c r="A160" t="str">
        <f>IF(Tabla4[[#This Row],[MATERIAL]]="","",CONCATENATE(Tabla4[[#This Row],[MATERIAL]],"-",Tabla4[[#This Row],[MARCA ]],"-",Tabla4[[#This Row],[PROVEEDOR ]],"-",Tabla4[[#This Row],[USO-CATEGORIA]]))</f>
        <v/>
      </c>
      <c r="B160" s="2"/>
      <c r="C160" s="2"/>
      <c r="D160" s="2"/>
      <c r="E160" s="2"/>
      <c r="F160" s="2"/>
      <c r="G160" s="2"/>
      <c r="H160" s="2"/>
      <c r="I160" s="2"/>
      <c r="J160" s="2"/>
    </row>
    <row r="161" spans="1:10" x14ac:dyDescent="0.3">
      <c r="A161" t="str">
        <f>IF(Tabla4[[#This Row],[MATERIAL]]="","",CONCATENATE(Tabla4[[#This Row],[MATERIAL]],"-",Tabla4[[#This Row],[MARCA ]],"-",Tabla4[[#This Row],[PROVEEDOR ]],"-",Tabla4[[#This Row],[USO-CATEGORIA]]))</f>
        <v/>
      </c>
      <c r="B161" s="2"/>
      <c r="C161" s="2"/>
      <c r="D161" s="2"/>
      <c r="E161" s="2"/>
      <c r="F161" s="2"/>
      <c r="G161" s="2"/>
      <c r="H161" s="2"/>
      <c r="I161" s="2"/>
      <c r="J161" s="2"/>
    </row>
    <row r="162" spans="1:10" x14ac:dyDescent="0.3">
      <c r="A162" t="str">
        <f>IF(Tabla4[[#This Row],[MATERIAL]]="","",CONCATENATE(Tabla4[[#This Row],[MATERIAL]],"-",Tabla4[[#This Row],[MARCA ]],"-",Tabla4[[#This Row],[PROVEEDOR ]],"-",Tabla4[[#This Row],[USO-CATEGORIA]]))</f>
        <v/>
      </c>
      <c r="B162" s="2"/>
      <c r="C162" s="2"/>
      <c r="D162" s="2"/>
      <c r="E162" s="2"/>
      <c r="F162" s="2"/>
      <c r="G162" s="2"/>
      <c r="H162" s="2"/>
      <c r="I162" s="2"/>
      <c r="J162" s="2"/>
    </row>
    <row r="163" spans="1:10" x14ac:dyDescent="0.3">
      <c r="A163" t="str">
        <f>IF(Tabla4[[#This Row],[MATERIAL]]="","",CONCATENATE(Tabla4[[#This Row],[MATERIAL]],"-",Tabla4[[#This Row],[MARCA ]],"-",Tabla4[[#This Row],[PROVEEDOR ]],"-",Tabla4[[#This Row],[USO-CATEGORIA]]))</f>
        <v/>
      </c>
      <c r="B163" s="2"/>
      <c r="C163" s="2"/>
      <c r="D163" s="2"/>
      <c r="E163" s="2"/>
      <c r="F163" s="2"/>
      <c r="G163" s="2"/>
      <c r="H163" s="2"/>
      <c r="I163" s="2"/>
      <c r="J163" s="2"/>
    </row>
    <row r="164" spans="1:10" x14ac:dyDescent="0.3">
      <c r="A164" t="str">
        <f>IF(Tabla4[[#This Row],[MATERIAL]]="","",CONCATENATE(Tabla4[[#This Row],[MATERIAL]],"-",Tabla4[[#This Row],[MARCA ]],"-",Tabla4[[#This Row],[PROVEEDOR ]],"-",Tabla4[[#This Row],[USO-CATEGORIA]]))</f>
        <v/>
      </c>
      <c r="B164" s="2"/>
      <c r="C164" s="2"/>
      <c r="D164" s="2"/>
      <c r="E164" s="2"/>
      <c r="F164" s="2"/>
      <c r="G164" s="2"/>
      <c r="H164" s="2"/>
      <c r="I164" s="2"/>
      <c r="J164" s="2"/>
    </row>
    <row r="165" spans="1:10" x14ac:dyDescent="0.3">
      <c r="A165" t="str">
        <f>IF(Tabla4[[#This Row],[MATERIAL]]="","",CONCATENATE(Tabla4[[#This Row],[MATERIAL]],"-",Tabla4[[#This Row],[MARCA ]],"-",Tabla4[[#This Row],[PROVEEDOR ]],"-",Tabla4[[#This Row],[USO-CATEGORIA]]))</f>
        <v/>
      </c>
      <c r="B165" s="2"/>
      <c r="C165" s="2"/>
      <c r="D165" s="2"/>
      <c r="E165" s="2"/>
      <c r="F165" s="2"/>
      <c r="G165" s="2"/>
      <c r="H165" s="2"/>
      <c r="I165" s="2"/>
      <c r="J165" s="2"/>
    </row>
    <row r="166" spans="1:10" x14ac:dyDescent="0.3">
      <c r="A166" t="str">
        <f>IF(Tabla4[[#This Row],[MATERIAL]]="","",CONCATENATE(Tabla4[[#This Row],[MATERIAL]],"-",Tabla4[[#This Row],[MARCA ]],"-",Tabla4[[#This Row],[PROVEEDOR ]],"-",Tabla4[[#This Row],[USO-CATEGORIA]]))</f>
        <v/>
      </c>
      <c r="B166" s="2"/>
      <c r="C166" s="2"/>
      <c r="D166" s="2"/>
      <c r="E166" s="2"/>
      <c r="F166" s="2"/>
      <c r="G166" s="2"/>
      <c r="H166" s="2"/>
      <c r="I166" s="2"/>
      <c r="J166" s="2"/>
    </row>
    <row r="167" spans="1:10" x14ac:dyDescent="0.3">
      <c r="A167" t="str">
        <f>IF(Tabla4[[#This Row],[MATERIAL]]="","",CONCATENATE(Tabla4[[#This Row],[MATERIAL]],"-",Tabla4[[#This Row],[MARCA ]],"-",Tabla4[[#This Row],[PROVEEDOR ]],"-",Tabla4[[#This Row],[USO-CATEGORIA]]))</f>
        <v/>
      </c>
      <c r="B167" s="2"/>
      <c r="C167" s="2"/>
      <c r="D167" s="2"/>
      <c r="E167" s="2"/>
      <c r="F167" s="2"/>
      <c r="G167" s="2"/>
      <c r="H167" s="2"/>
      <c r="I167" s="2"/>
      <c r="J167" s="2"/>
    </row>
    <row r="168" spans="1:10" x14ac:dyDescent="0.3">
      <c r="A168" t="str">
        <f>IF(Tabla4[[#This Row],[MATERIAL]]="","",CONCATENATE(Tabla4[[#This Row],[MATERIAL]],"-",Tabla4[[#This Row],[MARCA ]],"-",Tabla4[[#This Row],[PROVEEDOR ]],"-",Tabla4[[#This Row],[USO-CATEGORIA]]))</f>
        <v/>
      </c>
      <c r="B168" s="2"/>
      <c r="C168" s="2"/>
      <c r="D168" s="2"/>
      <c r="E168" s="2"/>
      <c r="F168" s="2"/>
      <c r="G168" s="2"/>
      <c r="H168" s="2"/>
      <c r="I168" s="2"/>
      <c r="J168" s="2"/>
    </row>
    <row r="169" spans="1:10" x14ac:dyDescent="0.3">
      <c r="A169" t="str">
        <f>IF(Tabla4[[#This Row],[MATERIAL]]="","",CONCATENATE(Tabla4[[#This Row],[MATERIAL]],"-",Tabla4[[#This Row],[MARCA ]],"-",Tabla4[[#This Row],[PROVEEDOR ]],"-",Tabla4[[#This Row],[USO-CATEGORIA]]))</f>
        <v/>
      </c>
      <c r="B169" s="2"/>
      <c r="C169" s="2"/>
      <c r="D169" s="2"/>
      <c r="E169" s="2"/>
      <c r="F169" s="2"/>
      <c r="G169" s="2"/>
      <c r="H169" s="2"/>
      <c r="I169" s="2"/>
      <c r="J169" s="2"/>
    </row>
    <row r="170" spans="1:10" x14ac:dyDescent="0.3">
      <c r="A170" t="str">
        <f>IF(Tabla4[[#This Row],[MATERIAL]]="","",CONCATENATE(Tabla4[[#This Row],[MATERIAL]],"-",Tabla4[[#This Row],[MARCA ]],"-",Tabla4[[#This Row],[PROVEEDOR ]],"-",Tabla4[[#This Row],[USO-CATEGORIA]]))</f>
        <v/>
      </c>
      <c r="B170" s="2"/>
      <c r="C170" s="2"/>
      <c r="D170" s="2"/>
      <c r="E170" s="2"/>
      <c r="F170" s="2"/>
      <c r="G170" s="2"/>
      <c r="H170" s="2"/>
      <c r="I170" s="2"/>
      <c r="J170" s="2"/>
    </row>
    <row r="171" spans="1:10" x14ac:dyDescent="0.3">
      <c r="A171" t="str">
        <f>IF(Tabla4[[#This Row],[MATERIAL]]="","",CONCATENATE(Tabla4[[#This Row],[MATERIAL]],"-",Tabla4[[#This Row],[MARCA ]],"-",Tabla4[[#This Row],[PROVEEDOR ]],"-",Tabla4[[#This Row],[USO-CATEGORIA]]))</f>
        <v/>
      </c>
      <c r="B171" s="2"/>
      <c r="C171" s="2"/>
      <c r="D171" s="2"/>
      <c r="E171" s="2"/>
      <c r="F171" s="2"/>
      <c r="G171" s="2"/>
      <c r="H171" s="2"/>
      <c r="I171" s="2"/>
      <c r="J171" s="2"/>
    </row>
    <row r="172" spans="1:10" x14ac:dyDescent="0.3">
      <c r="A172" t="str">
        <f>IF(Tabla4[[#This Row],[MATERIAL]]="","",CONCATENATE(Tabla4[[#This Row],[MATERIAL]],"-",Tabla4[[#This Row],[MARCA ]],"-",Tabla4[[#This Row],[PROVEEDOR ]],"-",Tabla4[[#This Row],[USO-CATEGORIA]]))</f>
        <v/>
      </c>
      <c r="B172" s="2"/>
      <c r="C172" s="2"/>
      <c r="D172" s="2"/>
      <c r="E172" s="2"/>
      <c r="F172" s="2"/>
      <c r="G172" s="2"/>
      <c r="H172" s="2"/>
      <c r="I172" s="2"/>
      <c r="J172" s="2"/>
    </row>
    <row r="173" spans="1:10" x14ac:dyDescent="0.3">
      <c r="A173" t="str">
        <f>IF(Tabla4[[#This Row],[MATERIAL]]="","",CONCATENATE(Tabla4[[#This Row],[MATERIAL]],"-",Tabla4[[#This Row],[MARCA ]],"-",Tabla4[[#This Row],[PROVEEDOR ]],"-",Tabla4[[#This Row],[USO-CATEGORIA]]))</f>
        <v/>
      </c>
      <c r="B173" s="2"/>
      <c r="C173" s="2"/>
      <c r="D173" s="2"/>
      <c r="E173" s="2"/>
      <c r="F173" s="2"/>
      <c r="G173" s="2"/>
      <c r="H173" s="2"/>
      <c r="I173" s="2"/>
      <c r="J173" s="2"/>
    </row>
    <row r="174" spans="1:10" x14ac:dyDescent="0.3">
      <c r="A174" t="str">
        <f>IF(Tabla4[[#This Row],[MATERIAL]]="","",CONCATENATE(Tabla4[[#This Row],[MATERIAL]],"-",Tabla4[[#This Row],[MARCA ]],"-",Tabla4[[#This Row],[PROVEEDOR ]],"-",Tabla4[[#This Row],[USO-CATEGORIA]]))</f>
        <v/>
      </c>
      <c r="B174" s="2"/>
      <c r="C174" s="2"/>
      <c r="D174" s="2"/>
      <c r="E174" s="2"/>
      <c r="F174" s="2"/>
      <c r="G174" s="2"/>
      <c r="H174" s="2"/>
      <c r="I174" s="2"/>
      <c r="J174" s="2"/>
    </row>
    <row r="175" spans="1:10" x14ac:dyDescent="0.3">
      <c r="A175" t="str">
        <f>IF(Tabla4[[#This Row],[MATERIAL]]="","",CONCATENATE(Tabla4[[#This Row],[MATERIAL]],"-",Tabla4[[#This Row],[MARCA ]],"-",Tabla4[[#This Row],[PROVEEDOR ]],"-",Tabla4[[#This Row],[USO-CATEGORIA]]))</f>
        <v/>
      </c>
      <c r="B175" s="2"/>
      <c r="C175" s="2"/>
      <c r="D175" s="2"/>
      <c r="E175" s="2"/>
      <c r="F175" s="2"/>
      <c r="G175" s="2"/>
      <c r="H175" s="2"/>
      <c r="I175" s="2"/>
      <c r="J175" s="2"/>
    </row>
    <row r="176" spans="1:10" x14ac:dyDescent="0.3">
      <c r="A176" t="str">
        <f>IF(Tabla4[[#This Row],[MATERIAL]]="","",CONCATENATE(Tabla4[[#This Row],[MATERIAL]],"-",Tabla4[[#This Row],[MARCA ]],"-",Tabla4[[#This Row],[PROVEEDOR ]],"-",Tabla4[[#This Row],[USO-CATEGORIA]]))</f>
        <v/>
      </c>
      <c r="B176" s="2"/>
      <c r="C176" s="2"/>
      <c r="D176" s="2"/>
      <c r="E176" s="2"/>
      <c r="F176" s="2"/>
    </row>
    <row r="177" spans="1:6" x14ac:dyDescent="0.3">
      <c r="A177" t="str">
        <f>IF(Tabla4[[#This Row],[MATERIAL]]="","",CONCATENATE(Tabla4[[#This Row],[MATERIAL]],"-",Tabla4[[#This Row],[MARCA ]],"-",Tabla4[[#This Row],[PROVEEDOR ]],"-",Tabla4[[#This Row],[USO-CATEGORIA]]))</f>
        <v/>
      </c>
      <c r="B177" s="2"/>
      <c r="C177" s="2"/>
      <c r="D177" s="2"/>
      <c r="E177" s="2"/>
      <c r="F177" s="2"/>
    </row>
    <row r="178" spans="1:6" x14ac:dyDescent="0.3">
      <c r="A178" t="str">
        <f>IF(Tabla4[[#This Row],[MATERIAL]]="","",CONCATENATE(Tabla4[[#This Row],[MATERIAL]],"-",Tabla4[[#This Row],[MARCA ]],"-",Tabla4[[#This Row],[PROVEEDOR ]],"-",Tabla4[[#This Row],[USO-CATEGORIA]]))</f>
        <v/>
      </c>
      <c r="B178" s="2"/>
      <c r="C178" s="2"/>
      <c r="D178" s="2"/>
      <c r="E178" s="2"/>
      <c r="F178" s="2"/>
    </row>
    <row r="179" spans="1:6" x14ac:dyDescent="0.3">
      <c r="A179" t="str">
        <f>IF(Tabla4[[#This Row],[MATERIAL]]="","",CONCATENATE(Tabla4[[#This Row],[MATERIAL]],"-",Tabla4[[#This Row],[MARCA ]],"-",Tabla4[[#This Row],[PROVEEDOR ]],"-",Tabla4[[#This Row],[USO-CATEGORIA]]))</f>
        <v/>
      </c>
      <c r="B179" s="2"/>
      <c r="C179" s="2"/>
      <c r="D179" s="2"/>
      <c r="E179" s="2"/>
      <c r="F179" s="2"/>
    </row>
    <row r="180" spans="1:6" x14ac:dyDescent="0.3">
      <c r="A180" t="str">
        <f>IF(Tabla4[[#This Row],[MATERIAL]]="","",CONCATENATE(Tabla4[[#This Row],[MATERIAL]],"-",Tabla4[[#This Row],[MARCA ]],"-",Tabla4[[#This Row],[PROVEEDOR ]],"-",Tabla4[[#This Row],[USO-CATEGORIA]]))</f>
        <v/>
      </c>
      <c r="B180" s="2"/>
      <c r="C180" s="2"/>
      <c r="D180" s="2"/>
      <c r="E180" s="2"/>
      <c r="F180" s="2"/>
    </row>
    <row r="181" spans="1:6" x14ac:dyDescent="0.3">
      <c r="A181" t="str">
        <f>IF(Tabla4[[#This Row],[MATERIAL]]="","",CONCATENATE(Tabla4[[#This Row],[MATERIAL]],"-",Tabla4[[#This Row],[MARCA ]],"-",Tabla4[[#This Row],[PROVEEDOR ]],"-",Tabla4[[#This Row],[USO-CATEGORIA]]))</f>
        <v/>
      </c>
      <c r="B181" s="2"/>
      <c r="C181" s="2"/>
      <c r="D181" s="2"/>
      <c r="E181" s="2"/>
      <c r="F181" s="2"/>
    </row>
    <row r="182" spans="1:6" x14ac:dyDescent="0.3">
      <c r="A182" t="str">
        <f>IF(Tabla4[[#This Row],[MATERIAL]]="","",CONCATENATE(Tabla4[[#This Row],[MATERIAL]],"-",Tabla4[[#This Row],[MARCA ]],"-",Tabla4[[#This Row],[PROVEEDOR ]],"-",Tabla4[[#This Row],[USO-CATEGORIA]]))</f>
        <v/>
      </c>
      <c r="B182" s="2"/>
      <c r="C182" s="2"/>
      <c r="D182" s="2"/>
      <c r="E182" s="2"/>
      <c r="F182" s="2"/>
    </row>
    <row r="183" spans="1:6" x14ac:dyDescent="0.3">
      <c r="A183" t="str">
        <f>IF(Tabla4[[#This Row],[MATERIAL]]="","",CONCATENATE(Tabla4[[#This Row],[MATERIAL]],"-",Tabla4[[#This Row],[MARCA ]],"-",Tabla4[[#This Row],[PROVEEDOR ]],"-",Tabla4[[#This Row],[USO-CATEGORIA]]))</f>
        <v/>
      </c>
      <c r="B183" s="2"/>
      <c r="C183" s="2"/>
      <c r="D183" s="2"/>
      <c r="E183" s="2"/>
      <c r="F183" s="2"/>
    </row>
    <row r="184" spans="1:6" x14ac:dyDescent="0.3">
      <c r="A184" t="str">
        <f>IF(Tabla4[[#This Row],[MATERIAL]]="","",CONCATENATE(Tabla4[[#This Row],[MATERIAL]],"-",Tabla4[[#This Row],[MARCA ]],"-",Tabla4[[#This Row],[PROVEEDOR ]],"-",Tabla4[[#This Row],[USO-CATEGORIA]]))</f>
        <v/>
      </c>
      <c r="B184" s="2"/>
      <c r="C184" s="2"/>
      <c r="D184" s="2"/>
      <c r="E184" s="2"/>
      <c r="F184" s="2"/>
    </row>
    <row r="185" spans="1:6" x14ac:dyDescent="0.3">
      <c r="A185" t="str">
        <f>IF(Tabla4[[#This Row],[MATERIAL]]="","",CONCATENATE(Tabla4[[#This Row],[MATERIAL]],"-",Tabla4[[#This Row],[MARCA ]],"-",Tabla4[[#This Row],[PROVEEDOR ]],"-",Tabla4[[#This Row],[USO-CATEGORIA]]))</f>
        <v/>
      </c>
      <c r="B185" s="2"/>
      <c r="C185" s="2"/>
      <c r="D185" s="2"/>
      <c r="E185" s="2"/>
      <c r="F185" s="2"/>
    </row>
    <row r="186" spans="1:6" x14ac:dyDescent="0.3">
      <c r="A186" t="str">
        <f>IF(Tabla4[[#This Row],[MATERIAL]]="","",CONCATENATE(Tabla4[[#This Row],[MATERIAL]],"-",Tabla4[[#This Row],[MARCA ]],"-",Tabla4[[#This Row],[PROVEEDOR ]],"-",Tabla4[[#This Row],[USO-CATEGORIA]]))</f>
        <v/>
      </c>
      <c r="B186" s="2"/>
      <c r="C186" s="2"/>
      <c r="D186" s="2"/>
      <c r="E186" s="2"/>
      <c r="F186" s="2"/>
    </row>
    <row r="187" spans="1:6" x14ac:dyDescent="0.3">
      <c r="A187" t="str">
        <f>IF(Tabla4[[#This Row],[MATERIAL]]="","",CONCATENATE(Tabla4[[#This Row],[MATERIAL]],"-",Tabla4[[#This Row],[MARCA ]],"-",Tabla4[[#This Row],[PROVEEDOR ]],"-",Tabla4[[#This Row],[USO-CATEGORIA]]))</f>
        <v/>
      </c>
      <c r="B187" s="2"/>
      <c r="C187" s="2"/>
      <c r="D187" s="2"/>
      <c r="E187" s="2"/>
      <c r="F187" s="2"/>
    </row>
    <row r="188" spans="1:6" x14ac:dyDescent="0.3">
      <c r="A188" t="str">
        <f>IF(Tabla4[[#This Row],[MATERIAL]]="","",CONCATENATE(Tabla4[[#This Row],[MATERIAL]],"-",Tabla4[[#This Row],[MARCA ]],"-",Tabla4[[#This Row],[PROVEEDOR ]],"-",Tabla4[[#This Row],[USO-CATEGORIA]]))</f>
        <v/>
      </c>
      <c r="B188" s="2"/>
      <c r="C188" s="2"/>
      <c r="D188" s="2"/>
      <c r="E188" s="2"/>
      <c r="F188" s="2"/>
    </row>
    <row r="189" spans="1:6" x14ac:dyDescent="0.3">
      <c r="A189" t="str">
        <f>IF(Tabla4[[#This Row],[MATERIAL]]="","",CONCATENATE(Tabla4[[#This Row],[MATERIAL]],"-",Tabla4[[#This Row],[MARCA ]],"-",Tabla4[[#This Row],[PROVEEDOR ]],"-",Tabla4[[#This Row],[USO-CATEGORIA]]))</f>
        <v/>
      </c>
      <c r="B189" s="2"/>
      <c r="C189" s="2"/>
      <c r="D189" s="2"/>
      <c r="E189" s="2"/>
      <c r="F189" s="2"/>
    </row>
    <row r="190" spans="1:6" x14ac:dyDescent="0.3">
      <c r="A190" t="str">
        <f>IF(Tabla4[[#This Row],[MATERIAL]]="","",CONCATENATE(Tabla4[[#This Row],[MATERIAL]],"-",Tabla4[[#This Row],[MARCA ]],"-",Tabla4[[#This Row],[PROVEEDOR ]],"-",Tabla4[[#This Row],[USO-CATEGORIA]]))</f>
        <v/>
      </c>
      <c r="B190" s="2"/>
      <c r="C190" s="2"/>
      <c r="D190" s="2"/>
      <c r="E190" s="2"/>
      <c r="F190" s="2"/>
    </row>
    <row r="191" spans="1:6" x14ac:dyDescent="0.3">
      <c r="A191" t="str">
        <f>IF(Tabla4[[#This Row],[MATERIAL]]="","",CONCATENATE(Tabla4[[#This Row],[MATERIAL]],"-",Tabla4[[#This Row],[MARCA ]],"-",Tabla4[[#This Row],[PROVEEDOR ]],"-",Tabla4[[#This Row],[USO-CATEGORIA]]))</f>
        <v/>
      </c>
      <c r="B191" s="2"/>
      <c r="C191" s="2"/>
      <c r="D191" s="2"/>
      <c r="E191" s="2"/>
      <c r="F191" s="2"/>
    </row>
    <row r="192" spans="1:6" x14ac:dyDescent="0.3">
      <c r="A192" t="str">
        <f>IF(Tabla4[[#This Row],[MATERIAL]]="","",CONCATENATE(Tabla4[[#This Row],[MATERIAL]],"-",Tabla4[[#This Row],[MARCA ]],"-",Tabla4[[#This Row],[PROVEEDOR ]],"-",Tabla4[[#This Row],[USO-CATEGORIA]]))</f>
        <v/>
      </c>
      <c r="B192" s="2"/>
      <c r="C192" s="2"/>
      <c r="D192" s="2"/>
      <c r="E192" s="2"/>
      <c r="F192" s="2"/>
    </row>
    <row r="193" spans="1:10" x14ac:dyDescent="0.3">
      <c r="A193" t="str">
        <f>IF(Tabla4[[#This Row],[MATERIAL]]="","",CONCATENATE(Tabla4[[#This Row],[MATERIAL]],"-",Tabla4[[#This Row],[MARCA ]],"-",Tabla4[[#This Row],[PROVEEDOR ]],"-",Tabla4[[#This Row],[USO-CATEGORIA]]))</f>
        <v/>
      </c>
      <c r="B193" s="2"/>
      <c r="C193" s="2"/>
      <c r="D193" s="2"/>
      <c r="E193" s="2"/>
      <c r="F193" s="2"/>
    </row>
    <row r="194" spans="1:10" x14ac:dyDescent="0.3">
      <c r="A194" t="str">
        <f>IF(Tabla4[[#This Row],[MATERIAL]]="","",CONCATENATE(Tabla4[[#This Row],[MATERIAL]],"-",Tabla4[[#This Row],[MARCA ]],"-",Tabla4[[#This Row],[PROVEEDOR ]],"-",Tabla4[[#This Row],[USO-CATEGORIA]]))</f>
        <v/>
      </c>
      <c r="D194" s="1"/>
      <c r="H194" s="128"/>
    </row>
    <row r="195" spans="1:10" x14ac:dyDescent="0.3">
      <c r="A195" t="str">
        <f>IF(Tabla4[[#This Row],[MATERIAL]]="","",CONCATENATE(Tabla4[[#This Row],[MATERIAL]],"-",Tabla4[[#This Row],[MARCA ]],"-",Tabla4[[#This Row],[PROVEEDOR ]],"-",Tabla4[[#This Row],[USO-CATEGORIA]]))</f>
        <v/>
      </c>
      <c r="D195" s="1"/>
      <c r="H195" s="128"/>
    </row>
    <row r="196" spans="1:10" x14ac:dyDescent="0.3">
      <c r="A196" t="str">
        <f>IF(Tabla4[[#This Row],[MATERIAL]]="","",CONCATENATE(Tabla4[[#This Row],[MATERIAL]],"-",Tabla4[[#This Row],[MARCA ]],"-",Tabla4[[#This Row],[PROVEEDOR ]],"-",Tabla4[[#This Row],[USO-CATEGORIA]]))</f>
        <v/>
      </c>
      <c r="D196" s="1"/>
      <c r="H196" s="128"/>
    </row>
    <row r="197" spans="1:10" x14ac:dyDescent="0.3">
      <c r="A197" t="str">
        <f>IF(Tabla4[[#This Row],[MATERIAL]]="","",CONCATENATE(Tabla4[[#This Row],[MATERIAL]],"-",Tabla4[[#This Row],[MARCA ]],"-",Tabla4[[#This Row],[PROVEEDOR ]],"-",Tabla4[[#This Row],[USO-CATEGORIA]]))</f>
        <v/>
      </c>
      <c r="D197" s="1"/>
      <c r="H197" s="128"/>
    </row>
    <row r="198" spans="1:10" x14ac:dyDescent="0.3">
      <c r="A198" t="str">
        <f>IF(Tabla4[[#This Row],[MATERIAL]]="","",CONCATENATE(Tabla4[[#This Row],[MATERIAL]],"-",Tabla4[[#This Row],[MARCA ]],"-",Tabla4[[#This Row],[PROVEEDOR ]],"-",Tabla4[[#This Row],[USO-CATEGORIA]]))</f>
        <v/>
      </c>
      <c r="D198" s="1"/>
      <c r="H198" s="128"/>
    </row>
    <row r="199" spans="1:10" x14ac:dyDescent="0.3">
      <c r="A199" t="str">
        <f>IF(Tabla4[[#This Row],[MATERIAL]]="","",CONCATENATE(Tabla4[[#This Row],[MATERIAL]],"-",Tabla4[[#This Row],[MARCA ]],"-",Tabla4[[#This Row],[PROVEEDOR ]],"-",Tabla4[[#This Row],[USO-CATEGORIA]]))</f>
        <v/>
      </c>
      <c r="D199" s="1"/>
      <c r="H199" s="128"/>
    </row>
    <row r="200" spans="1:10" x14ac:dyDescent="0.3">
      <c r="A200" t="str">
        <f>IF(Tabla4[[#This Row],[MATERIAL]]="","",CONCATENATE(Tabla4[[#This Row],[MATERIAL]],"-",Tabla4[[#This Row],[MARCA ]],"-",Tabla4[[#This Row],[PROVEEDOR ]],"-",Tabla4[[#This Row],[USO-CATEGORIA]]))</f>
        <v/>
      </c>
      <c r="D200" s="1"/>
      <c r="H200" s="128"/>
    </row>
    <row r="201" spans="1:10" x14ac:dyDescent="0.3">
      <c r="A201" t="str">
        <f>IF(Tabla4[[#This Row],[MATERIAL]]="","",CONCATENATE(Tabla4[[#This Row],[MATERIAL]],"-",Tabla4[[#This Row],[MARCA ]],"-",Tabla4[[#This Row],[PROVEEDOR ]],"-",Tabla4[[#This Row],[USO-CATEGORIA]]))</f>
        <v/>
      </c>
      <c r="D201" s="1"/>
      <c r="H201" s="128"/>
    </row>
    <row r="202" spans="1:10" x14ac:dyDescent="0.3">
      <c r="A202" t="str">
        <f>IF(Tabla4[[#This Row],[MATERIAL]]="","",CONCATENATE(Tabla4[[#This Row],[MATERIAL]],"-",Tabla4[[#This Row],[MARCA ]],"-",Tabla4[[#This Row],[PROVEEDOR ]],"-",Tabla4[[#This Row],[USO-CATEGORIA]]))</f>
        <v/>
      </c>
      <c r="D202" s="1"/>
      <c r="H202" s="128"/>
    </row>
    <row r="203" spans="1:10" x14ac:dyDescent="0.3">
      <c r="A203" t="str">
        <f>IF(Tabla4[[#This Row],[MATERIAL]]="","",CONCATENATE(Tabla4[[#This Row],[MATERIAL]],"-",Tabla4[[#This Row],[MARCA ]],"-",Tabla4[[#This Row],[PROVEEDOR ]],"-",Tabla4[[#This Row],[USO-CATEGORIA]]))</f>
        <v/>
      </c>
      <c r="D203" s="1"/>
      <c r="H203" s="128"/>
    </row>
    <row r="204" spans="1:10" x14ac:dyDescent="0.3">
      <c r="A204" t="str">
        <f>IF(Tabla4[[#This Row],[MATERIAL]]="","",CONCATENATE(Tabla4[[#This Row],[MATERIAL]],"-",Tabla4[[#This Row],[MARCA ]],"-",Tabla4[[#This Row],[PROVEEDOR ]],"-",Tabla4[[#This Row],[USO-CATEGORIA]]))</f>
        <v/>
      </c>
      <c r="B204" s="2"/>
      <c r="C204" s="2"/>
      <c r="D204" s="2"/>
      <c r="E204" s="2"/>
      <c r="F204" s="2"/>
      <c r="G204" s="2"/>
      <c r="H204" s="2"/>
      <c r="I204" s="2"/>
      <c r="J204" s="2"/>
    </row>
    <row r="205" spans="1:10" x14ac:dyDescent="0.3">
      <c r="A205" t="str">
        <f>IF(Tabla4[[#This Row],[MATERIAL]]="","",CONCATENATE(Tabla4[[#This Row],[MATERIAL]],"-",Tabla4[[#This Row],[MARCA ]],"-",Tabla4[[#This Row],[PROVEEDOR ]],"-",Tabla4[[#This Row],[USO-CATEGORIA]]))</f>
        <v/>
      </c>
      <c r="B205" s="2"/>
      <c r="C205" s="2"/>
      <c r="D205" s="2"/>
      <c r="E205" s="2"/>
      <c r="F205" s="2"/>
      <c r="G205" s="2"/>
      <c r="H205" s="2"/>
      <c r="I205" s="2"/>
      <c r="J205" s="2"/>
    </row>
    <row r="206" spans="1:10" x14ac:dyDescent="0.3">
      <c r="A206" t="str">
        <f>IF(Tabla4[[#This Row],[MATERIAL]]="","",CONCATENATE(Tabla4[[#This Row],[MATERIAL]],"-",Tabla4[[#This Row],[MARCA ]],"-",Tabla4[[#This Row],[PROVEEDOR ]],"-",Tabla4[[#This Row],[USO-CATEGORIA]]))</f>
        <v/>
      </c>
      <c r="B206" s="2"/>
      <c r="C206" s="2"/>
      <c r="D206" s="2"/>
      <c r="E206" s="2"/>
      <c r="F206" s="2"/>
      <c r="G206" s="2"/>
      <c r="H206" s="2"/>
      <c r="I206" s="2"/>
      <c r="J206" s="2"/>
    </row>
    <row r="207" spans="1:10" x14ac:dyDescent="0.3">
      <c r="A207" t="str">
        <f>IF(Tabla4[[#This Row],[MATERIAL]]="","",CONCATENATE(Tabla4[[#This Row],[MATERIAL]],"-",Tabla4[[#This Row],[MARCA ]],"-",Tabla4[[#This Row],[PROVEEDOR ]],"-",Tabla4[[#This Row],[USO-CATEGORIA]]))</f>
        <v/>
      </c>
      <c r="B207" s="2"/>
      <c r="C207" s="2"/>
      <c r="D207" s="2"/>
      <c r="E207" s="2"/>
      <c r="F207" s="2"/>
      <c r="G207" s="2"/>
      <c r="H207" s="2"/>
      <c r="I207" s="2"/>
      <c r="J207" s="2"/>
    </row>
    <row r="208" spans="1:10" x14ac:dyDescent="0.3">
      <c r="A208" t="str">
        <f>IF(Tabla4[[#This Row],[MATERIAL]]="","",CONCATENATE(Tabla4[[#This Row],[MATERIAL]],"-",Tabla4[[#This Row],[MARCA ]],"-",Tabla4[[#This Row],[PROVEEDOR ]],"-",Tabla4[[#This Row],[USO-CATEGORIA]]))</f>
        <v/>
      </c>
      <c r="B208" s="2"/>
      <c r="C208" s="2"/>
      <c r="D208" s="2"/>
      <c r="E208" s="2"/>
      <c r="F208" s="2"/>
      <c r="G208" s="2"/>
      <c r="H208" s="2"/>
      <c r="I208" s="2"/>
      <c r="J208" s="2"/>
    </row>
    <row r="209" spans="1:10" x14ac:dyDescent="0.3">
      <c r="A209" t="str">
        <f>IF(Tabla4[[#This Row],[MATERIAL]]="","",CONCATENATE(Tabla4[[#This Row],[MATERIAL]],"-",Tabla4[[#This Row],[MARCA ]],"-",Tabla4[[#This Row],[PROVEEDOR ]],"-",Tabla4[[#This Row],[USO-CATEGORIA]]))</f>
        <v/>
      </c>
      <c r="B209" s="2"/>
      <c r="C209" s="2"/>
      <c r="D209" s="2"/>
      <c r="E209" s="2"/>
      <c r="F209" s="2"/>
      <c r="G209" s="2"/>
      <c r="H209" s="2"/>
      <c r="I209" s="2"/>
      <c r="J209" s="2"/>
    </row>
    <row r="210" spans="1:10" x14ac:dyDescent="0.3">
      <c r="A210" t="str">
        <f>IF(Tabla4[[#This Row],[MATERIAL]]="","",CONCATENATE(Tabla4[[#This Row],[MATERIAL]],"-",Tabla4[[#This Row],[MARCA ]],"-",Tabla4[[#This Row],[PROVEEDOR ]],"-",Tabla4[[#This Row],[USO-CATEGORIA]]))</f>
        <v/>
      </c>
      <c r="B210" s="2"/>
      <c r="C210" s="2"/>
      <c r="D210" s="2"/>
      <c r="E210" s="2"/>
      <c r="F210" s="2"/>
      <c r="G210" s="2"/>
      <c r="H210" s="2"/>
      <c r="I210" s="2"/>
      <c r="J210" s="2"/>
    </row>
    <row r="211" spans="1:10" x14ac:dyDescent="0.3">
      <c r="A211" t="str">
        <f>IF(Tabla4[[#This Row],[MATERIAL]]="","",CONCATENATE(Tabla4[[#This Row],[MATERIAL]],"-",Tabla4[[#This Row],[MARCA ]],"-",Tabla4[[#This Row],[PROVEEDOR ]],"-",Tabla4[[#This Row],[USO-CATEGORIA]]))</f>
        <v/>
      </c>
      <c r="B211" s="2"/>
      <c r="C211" s="2"/>
      <c r="D211" s="2"/>
      <c r="E211" s="2"/>
      <c r="F211" s="2"/>
      <c r="G211" s="2"/>
      <c r="H211" s="2"/>
      <c r="I211" s="2"/>
      <c r="J211" s="2"/>
    </row>
    <row r="212" spans="1:10" x14ac:dyDescent="0.3">
      <c r="A212" t="str">
        <f>IF(Tabla4[[#This Row],[MATERIAL]]="","",CONCATENATE(Tabla4[[#This Row],[MATERIAL]],"-",Tabla4[[#This Row],[MARCA ]],"-",Tabla4[[#This Row],[PROVEEDOR ]],"-",Tabla4[[#This Row],[USO-CATEGORIA]]))</f>
        <v/>
      </c>
      <c r="B212" s="2"/>
      <c r="C212" s="2"/>
      <c r="D212" s="2"/>
      <c r="E212" s="2"/>
      <c r="F212" s="2"/>
      <c r="G212" s="2"/>
      <c r="H212" s="2"/>
      <c r="I212" s="2"/>
      <c r="J212" s="2"/>
    </row>
    <row r="213" spans="1:10" x14ac:dyDescent="0.3">
      <c r="A213" t="str">
        <f>IF(Tabla4[[#This Row],[MATERIAL]]="","",CONCATENATE(Tabla4[[#This Row],[MATERIAL]],"-",Tabla4[[#This Row],[MARCA ]],"-",Tabla4[[#This Row],[PROVEEDOR ]],"-",Tabla4[[#This Row],[USO-CATEGORIA]]))</f>
        <v/>
      </c>
      <c r="B213" s="2"/>
      <c r="C213" s="2"/>
      <c r="D213" s="2"/>
      <c r="E213" s="2"/>
      <c r="F213" s="2"/>
      <c r="G213" s="2"/>
      <c r="H213" s="2"/>
      <c r="I213" s="2"/>
      <c r="J213" s="2"/>
    </row>
    <row r="214" spans="1:10" x14ac:dyDescent="0.3">
      <c r="A214" t="str">
        <f>IF(Tabla4[[#This Row],[MATERIAL]]="","",CONCATENATE(Tabla4[[#This Row],[MATERIAL]],"-",Tabla4[[#This Row],[MARCA ]],"-",Tabla4[[#This Row],[PROVEEDOR ]],"-",Tabla4[[#This Row],[USO-CATEGORIA]]))</f>
        <v/>
      </c>
      <c r="B214" s="2"/>
      <c r="C214" s="2"/>
      <c r="D214" s="2"/>
      <c r="E214" s="2"/>
      <c r="F214" s="2"/>
      <c r="G214" s="2"/>
      <c r="H214" s="2"/>
      <c r="I214" s="2"/>
      <c r="J214" s="2"/>
    </row>
    <row r="215" spans="1:10" x14ac:dyDescent="0.3">
      <c r="A215" t="str">
        <f>IF(Tabla4[[#This Row],[MATERIAL]]="","",CONCATENATE(Tabla4[[#This Row],[MATERIAL]],"-",Tabla4[[#This Row],[MARCA ]],"-",Tabla4[[#This Row],[PROVEEDOR ]],"-",Tabla4[[#This Row],[USO-CATEGORIA]]))</f>
        <v/>
      </c>
      <c r="B215" s="2"/>
      <c r="C215" s="2"/>
      <c r="D215" s="2"/>
      <c r="E215" s="2"/>
      <c r="F215" s="2"/>
      <c r="G215" s="2"/>
      <c r="H215" s="2"/>
      <c r="I215" s="2"/>
      <c r="J215" s="2"/>
    </row>
    <row r="216" spans="1:10" x14ac:dyDescent="0.3">
      <c r="A216" t="str">
        <f>IF(Tabla4[[#This Row],[MATERIAL]]="","",CONCATENATE(Tabla4[[#This Row],[MATERIAL]],"-",Tabla4[[#This Row],[MARCA ]],"-",Tabla4[[#This Row],[PROVEEDOR ]],"-",Tabla4[[#This Row],[USO-CATEGORIA]]))</f>
        <v/>
      </c>
      <c r="B216" s="2"/>
      <c r="C216" s="2"/>
      <c r="D216" s="2"/>
      <c r="E216" s="2"/>
      <c r="F216" s="2"/>
      <c r="G216" s="2"/>
      <c r="H216" s="2"/>
      <c r="I216" s="2"/>
      <c r="J216" s="2"/>
    </row>
    <row r="217" spans="1:10" x14ac:dyDescent="0.3">
      <c r="A217" t="str">
        <f>IF(Tabla4[[#This Row],[MATERIAL]]="","",CONCATENATE(Tabla4[[#This Row],[MATERIAL]],"-",Tabla4[[#This Row],[MARCA ]],"-",Tabla4[[#This Row],[PROVEEDOR ]],"-",Tabla4[[#This Row],[USO-CATEGORIA]]))</f>
        <v/>
      </c>
      <c r="B217" s="2"/>
      <c r="C217" s="2"/>
      <c r="D217" s="2"/>
      <c r="E217" s="2"/>
      <c r="F217" s="2"/>
      <c r="G217" s="2"/>
      <c r="H217" s="2"/>
      <c r="I217" s="2"/>
      <c r="J217" s="2"/>
    </row>
    <row r="218" spans="1:10" x14ac:dyDescent="0.3">
      <c r="A218" t="str">
        <f>IF(Tabla4[[#This Row],[MATERIAL]]="","",CONCATENATE(Tabla4[[#This Row],[MATERIAL]],"-",Tabla4[[#This Row],[MARCA ]],"-",Tabla4[[#This Row],[PROVEEDOR ]],"-",Tabla4[[#This Row],[USO-CATEGORIA]]))</f>
        <v/>
      </c>
      <c r="B218" s="2"/>
      <c r="C218" s="2"/>
      <c r="D218" s="2"/>
      <c r="E218" s="2"/>
      <c r="F218" s="2"/>
      <c r="G218" s="2"/>
      <c r="H218" s="2"/>
      <c r="I218" s="2"/>
      <c r="J218" s="2"/>
    </row>
    <row r="219" spans="1:10" x14ac:dyDescent="0.3">
      <c r="A219" t="str">
        <f>IF(Tabla4[[#This Row],[MATERIAL]]="","",CONCATENATE(Tabla4[[#This Row],[MATERIAL]],"-",Tabla4[[#This Row],[MARCA ]],"-",Tabla4[[#This Row],[PROVEEDOR ]],"-",Tabla4[[#This Row],[USO-CATEGORIA]]))</f>
        <v/>
      </c>
      <c r="B219" s="2"/>
      <c r="C219" s="2"/>
      <c r="D219" s="2"/>
      <c r="E219" s="2"/>
      <c r="F219" s="2"/>
      <c r="G219" s="2"/>
      <c r="H219" s="2"/>
      <c r="I219" s="2"/>
      <c r="J219" s="2"/>
    </row>
    <row r="220" spans="1:10" x14ac:dyDescent="0.3">
      <c r="A220" t="str">
        <f>IF(Tabla4[[#This Row],[MATERIAL]]="","",CONCATENATE(Tabla4[[#This Row],[MATERIAL]],"-",Tabla4[[#This Row],[MARCA ]],"-",Tabla4[[#This Row],[PROVEEDOR ]],"-",Tabla4[[#This Row],[USO-CATEGORIA]]))</f>
        <v/>
      </c>
      <c r="B220" s="2"/>
      <c r="C220" s="2"/>
      <c r="D220" s="2"/>
      <c r="E220" s="2"/>
      <c r="F220" s="2"/>
      <c r="G220" s="2"/>
      <c r="H220" s="2"/>
      <c r="I220" s="2"/>
      <c r="J220" s="2"/>
    </row>
    <row r="221" spans="1:10" x14ac:dyDescent="0.3">
      <c r="A221" t="str">
        <f>IF(Tabla4[[#This Row],[MATERIAL]]="","",CONCATENATE(Tabla4[[#This Row],[MATERIAL]],"-",Tabla4[[#This Row],[MARCA ]],"-",Tabla4[[#This Row],[PROVEEDOR ]],"-",Tabla4[[#This Row],[USO-CATEGORIA]]))</f>
        <v/>
      </c>
      <c r="B221" s="2"/>
      <c r="C221" s="2"/>
      <c r="D221" s="2"/>
      <c r="E221" s="2"/>
      <c r="F221" s="2"/>
      <c r="G221" s="2"/>
      <c r="H221" s="2"/>
      <c r="I221" s="2"/>
      <c r="J221" s="2"/>
    </row>
    <row r="222" spans="1:10" x14ac:dyDescent="0.3">
      <c r="A222" t="str">
        <f>IF(Tabla4[[#This Row],[MATERIAL]]="","",CONCATENATE(Tabla4[[#This Row],[MATERIAL]],"-",Tabla4[[#This Row],[MARCA ]],"-",Tabla4[[#This Row],[PROVEEDOR ]],"-",Tabla4[[#This Row],[USO-CATEGORIA]]))</f>
        <v/>
      </c>
      <c r="B222" s="2"/>
      <c r="C222" s="2"/>
      <c r="D222" s="2"/>
      <c r="E222" s="2"/>
      <c r="F222" s="2"/>
      <c r="G222" s="2"/>
      <c r="H222" s="2"/>
      <c r="I222" s="2"/>
      <c r="J222" s="2"/>
    </row>
    <row r="223" spans="1:10" x14ac:dyDescent="0.3">
      <c r="A223" t="str">
        <f>IF(Tabla4[[#This Row],[MATERIAL]]="","",CONCATENATE(Tabla4[[#This Row],[MATERIAL]],"-",Tabla4[[#This Row],[MARCA ]],"-",Tabla4[[#This Row],[PROVEEDOR ]],"-",Tabla4[[#This Row],[USO-CATEGORIA]]))</f>
        <v/>
      </c>
      <c r="B223" s="2"/>
      <c r="C223" s="2"/>
      <c r="D223" s="2"/>
      <c r="E223" s="2"/>
      <c r="F223" s="2"/>
      <c r="G223" s="2"/>
      <c r="H223" s="2"/>
      <c r="I223" s="2"/>
      <c r="J223" s="2"/>
    </row>
    <row r="224" spans="1:10" x14ac:dyDescent="0.3">
      <c r="A224" t="str">
        <f>IF(Tabla4[[#This Row],[MATERIAL]]="","",CONCATENATE(Tabla4[[#This Row],[MATERIAL]],"-",Tabla4[[#This Row],[MARCA ]],"-",Tabla4[[#This Row],[PROVEEDOR ]],"-",Tabla4[[#This Row],[USO-CATEGORIA]]))</f>
        <v/>
      </c>
      <c r="B224" s="2"/>
      <c r="C224" s="2"/>
      <c r="D224" s="2"/>
      <c r="E224" s="2"/>
      <c r="F224" s="2"/>
      <c r="G224" s="2"/>
      <c r="H224" s="2"/>
      <c r="I224" s="2"/>
      <c r="J224" s="2"/>
    </row>
    <row r="225" spans="1:10" x14ac:dyDescent="0.3">
      <c r="A225" t="str">
        <f>IF(Tabla4[[#This Row],[MATERIAL]]="","",CONCATENATE(Tabla4[[#This Row],[MATERIAL]],"-",Tabla4[[#This Row],[MARCA ]],"-",Tabla4[[#This Row],[PROVEEDOR ]],"-",Tabla4[[#This Row],[USO-CATEGORIA]]))</f>
        <v/>
      </c>
      <c r="B225" s="2"/>
      <c r="C225" s="2"/>
      <c r="D225" s="2"/>
      <c r="E225" s="2"/>
      <c r="F225" s="2"/>
      <c r="G225" s="2"/>
      <c r="H225" s="2"/>
      <c r="I225" s="2"/>
      <c r="J225" s="2"/>
    </row>
    <row r="226" spans="1:10" x14ac:dyDescent="0.3">
      <c r="A226" t="str">
        <f>IF(Tabla4[[#This Row],[MATERIAL]]="","",CONCATENATE(Tabla4[[#This Row],[MATERIAL]],"-",Tabla4[[#This Row],[MARCA ]],"-",Tabla4[[#This Row],[PROVEEDOR ]],"-",Tabla4[[#This Row],[USO-CATEGORIA]]))</f>
        <v/>
      </c>
      <c r="B226" s="2"/>
      <c r="C226" s="2"/>
      <c r="D226" s="2"/>
      <c r="E226" s="2"/>
      <c r="F226" s="2"/>
      <c r="G226" s="2"/>
      <c r="H226" s="2"/>
      <c r="I226" s="2"/>
      <c r="J226" s="2"/>
    </row>
    <row r="227" spans="1:10" x14ac:dyDescent="0.3">
      <c r="A227" t="str">
        <f>IF(Tabla4[[#This Row],[MATERIAL]]="","",CONCATENATE(Tabla4[[#This Row],[MATERIAL]],"-",Tabla4[[#This Row],[MARCA ]],"-",Tabla4[[#This Row],[PROVEEDOR ]],"-",Tabla4[[#This Row],[USO-CATEGORIA]]))</f>
        <v/>
      </c>
      <c r="B227" s="2"/>
      <c r="C227" s="2"/>
      <c r="D227" s="2"/>
      <c r="E227" s="2"/>
      <c r="F227" s="2"/>
      <c r="G227" s="2"/>
      <c r="H227" s="2"/>
      <c r="I227" s="2"/>
      <c r="J227" s="2"/>
    </row>
    <row r="228" spans="1:10" x14ac:dyDescent="0.3">
      <c r="A228" t="str">
        <f>IF(Tabla4[[#This Row],[MATERIAL]]="","",CONCATENATE(Tabla4[[#This Row],[MATERIAL]],"-",Tabla4[[#This Row],[MARCA ]],"-",Tabla4[[#This Row],[PROVEEDOR ]],"-",Tabla4[[#This Row],[USO-CATEGORIA]]))</f>
        <v/>
      </c>
      <c r="B228" s="2"/>
      <c r="C228" s="2"/>
      <c r="D228" s="2"/>
      <c r="E228" s="2"/>
      <c r="F228" s="2"/>
      <c r="G228" s="2"/>
      <c r="H228" s="2"/>
      <c r="I228" s="2"/>
      <c r="J228" s="2"/>
    </row>
    <row r="229" spans="1:10" x14ac:dyDescent="0.3">
      <c r="A229" t="str">
        <f>IF(Tabla4[[#This Row],[MATERIAL]]="","",CONCATENATE(Tabla4[[#This Row],[MATERIAL]],"-",Tabla4[[#This Row],[MARCA ]],"-",Tabla4[[#This Row],[PROVEEDOR ]],"-",Tabla4[[#This Row],[USO-CATEGORIA]]))</f>
        <v/>
      </c>
      <c r="B229" s="2"/>
      <c r="C229" s="2"/>
      <c r="D229" s="2"/>
      <c r="E229" s="2"/>
      <c r="F229" s="2"/>
      <c r="G229" s="2"/>
      <c r="H229" s="2"/>
      <c r="I229" s="2"/>
      <c r="J229" s="2"/>
    </row>
    <row r="230" spans="1:10" x14ac:dyDescent="0.3">
      <c r="A230" t="str">
        <f>IF(Tabla4[[#This Row],[MATERIAL]]="","",CONCATENATE(Tabla4[[#This Row],[MATERIAL]],"-",Tabla4[[#This Row],[MARCA ]],"-",Tabla4[[#This Row],[PROVEEDOR ]],"-",Tabla4[[#This Row],[USO-CATEGORIA]]))</f>
        <v/>
      </c>
      <c r="B230" s="2"/>
      <c r="C230" s="2"/>
      <c r="D230" s="2"/>
      <c r="E230" s="2"/>
      <c r="F230" s="2"/>
      <c r="G230" s="2"/>
      <c r="H230" s="2"/>
      <c r="I230" s="2"/>
      <c r="J230" s="2"/>
    </row>
    <row r="231" spans="1:10" x14ac:dyDescent="0.3">
      <c r="A231" t="str">
        <f>IF(Tabla4[[#This Row],[MATERIAL]]="","",CONCATENATE(Tabla4[[#This Row],[MATERIAL]],"-",Tabla4[[#This Row],[MARCA ]],"-",Tabla4[[#This Row],[PROVEEDOR ]],"-",Tabla4[[#This Row],[USO-CATEGORIA]]))</f>
        <v/>
      </c>
      <c r="B231" s="2"/>
      <c r="C231" s="2"/>
      <c r="D231" s="2"/>
      <c r="E231" s="2"/>
      <c r="F231" s="2"/>
      <c r="G231" s="2"/>
      <c r="H231" s="2"/>
      <c r="I231" s="2"/>
      <c r="J231" s="2"/>
    </row>
    <row r="232" spans="1:10" x14ac:dyDescent="0.3">
      <c r="A232" t="str">
        <f>IF(Tabla4[[#This Row],[MATERIAL]]="","",CONCATENATE(Tabla4[[#This Row],[MATERIAL]],"-",Tabla4[[#This Row],[MARCA ]],"-",Tabla4[[#This Row],[PROVEEDOR ]],"-",Tabla4[[#This Row],[USO-CATEGORIA]]))</f>
        <v/>
      </c>
      <c r="B232" s="2"/>
      <c r="C232" s="2"/>
      <c r="D232" s="2"/>
      <c r="E232" s="2"/>
      <c r="F232" s="2"/>
      <c r="G232" s="2"/>
      <c r="H232" s="2"/>
      <c r="I232" s="2"/>
      <c r="J232" s="2"/>
    </row>
    <row r="233" spans="1:10" x14ac:dyDescent="0.3">
      <c r="A233" t="str">
        <f>IF(Tabla4[[#This Row],[MATERIAL]]="","",CONCATENATE(Tabla4[[#This Row],[MATERIAL]],"-",Tabla4[[#This Row],[MARCA ]],"-",Tabla4[[#This Row],[PROVEEDOR ]],"-",Tabla4[[#This Row],[USO-CATEGORIA]]))</f>
        <v/>
      </c>
      <c r="B233" s="2"/>
      <c r="C233" s="2"/>
      <c r="D233" s="2"/>
      <c r="E233" s="2"/>
      <c r="F233" s="2"/>
      <c r="G233" s="2"/>
      <c r="H233" s="2"/>
      <c r="I233" s="2"/>
      <c r="J233" s="2"/>
    </row>
    <row r="234" spans="1:10" x14ac:dyDescent="0.3">
      <c r="A234" t="str">
        <f>IF(Tabla4[[#This Row],[MATERIAL]]="","",CONCATENATE(Tabla4[[#This Row],[MATERIAL]],"-",Tabla4[[#This Row],[MARCA ]],"-",Tabla4[[#This Row],[PROVEEDOR ]],"-",Tabla4[[#This Row],[USO-CATEGORIA]]))</f>
        <v/>
      </c>
      <c r="B234" s="2"/>
      <c r="C234" s="2"/>
      <c r="D234" s="2"/>
      <c r="E234" s="2"/>
      <c r="F234" s="2"/>
      <c r="G234" s="2"/>
      <c r="H234" s="2"/>
      <c r="I234" s="2"/>
      <c r="J234" s="2"/>
    </row>
    <row r="235" spans="1:10" x14ac:dyDescent="0.3">
      <c r="A235" t="str">
        <f>IF(Tabla4[[#This Row],[MATERIAL]]="","",CONCATENATE(Tabla4[[#This Row],[MATERIAL]],"-",Tabla4[[#This Row],[MARCA ]],"-",Tabla4[[#This Row],[PROVEEDOR ]],"-",Tabla4[[#This Row],[USO-CATEGORIA]]))</f>
        <v/>
      </c>
      <c r="B235" s="2"/>
      <c r="C235" s="2"/>
      <c r="D235" s="2"/>
      <c r="E235" s="2"/>
      <c r="F235" s="2"/>
      <c r="G235" s="2"/>
      <c r="H235" s="2"/>
      <c r="I235" s="2"/>
      <c r="J235" s="2"/>
    </row>
    <row r="236" spans="1:10" x14ac:dyDescent="0.3">
      <c r="A236" t="str">
        <f>IF(Tabla4[[#This Row],[MATERIAL]]="","",CONCATENATE(Tabla4[[#This Row],[MATERIAL]],"-",Tabla4[[#This Row],[MARCA ]],"-",Tabla4[[#This Row],[PROVEEDOR ]],"-",Tabla4[[#This Row],[USO-CATEGORIA]]))</f>
        <v/>
      </c>
      <c r="B236" s="2"/>
      <c r="C236" s="2"/>
      <c r="D236" s="2"/>
      <c r="E236" s="2"/>
      <c r="F236" s="2"/>
      <c r="G236" s="2"/>
      <c r="H236" s="2"/>
      <c r="I236" s="2"/>
      <c r="J236" s="2"/>
    </row>
    <row r="237" spans="1:10" x14ac:dyDescent="0.3">
      <c r="A237" t="str">
        <f>IF(Tabla4[[#This Row],[MATERIAL]]="","",CONCATENATE(Tabla4[[#This Row],[MATERIAL]],"-",Tabla4[[#This Row],[MARCA ]],"-",Tabla4[[#This Row],[PROVEEDOR ]],"-",Tabla4[[#This Row],[USO-CATEGORIA]]))</f>
        <v/>
      </c>
      <c r="B237" s="2"/>
      <c r="C237" s="2"/>
      <c r="D237" s="2"/>
      <c r="E237" s="2"/>
      <c r="F237" s="2"/>
      <c r="G237" s="2"/>
      <c r="H237" s="2"/>
      <c r="I237" s="2"/>
      <c r="J237" s="2"/>
    </row>
    <row r="238" spans="1:10" x14ac:dyDescent="0.3">
      <c r="A238" t="str">
        <f>IF(Tabla4[[#This Row],[MATERIAL]]="","",CONCATENATE(Tabla4[[#This Row],[MATERIAL]],"-",Tabla4[[#This Row],[MARCA ]],"-",Tabla4[[#This Row],[PROVEEDOR ]],"-",Tabla4[[#This Row],[USO-CATEGORIA]]))</f>
        <v/>
      </c>
      <c r="B238" s="2"/>
      <c r="C238" s="2"/>
      <c r="D238" s="2"/>
      <c r="E238" s="2"/>
      <c r="F238" s="2"/>
      <c r="G238" s="2"/>
      <c r="H238" s="2"/>
      <c r="I238" s="2"/>
      <c r="J238" s="2"/>
    </row>
    <row r="239" spans="1:10" x14ac:dyDescent="0.3">
      <c r="A239" t="str">
        <f>IF(Tabla4[[#This Row],[MATERIAL]]="","",CONCATENATE(Tabla4[[#This Row],[MATERIAL]],"-",Tabla4[[#This Row],[MARCA ]],"-",Tabla4[[#This Row],[PROVEEDOR ]],"-",Tabla4[[#This Row],[USO-CATEGORIA]]))</f>
        <v/>
      </c>
      <c r="B239" s="2"/>
      <c r="C239" s="2"/>
      <c r="D239" s="2"/>
      <c r="E239" s="2"/>
      <c r="F239" s="2"/>
      <c r="G239" s="2"/>
      <c r="H239" s="2"/>
      <c r="I239" s="2"/>
      <c r="J239" s="2"/>
    </row>
    <row r="240" spans="1:10" x14ac:dyDescent="0.3">
      <c r="A240" t="str">
        <f>IF(Tabla4[[#This Row],[MATERIAL]]="","",CONCATENATE(Tabla4[[#This Row],[MATERIAL]],"-",Tabla4[[#This Row],[MARCA ]],"-",Tabla4[[#This Row],[PROVEEDOR ]],"-",Tabla4[[#This Row],[USO-CATEGORIA]]))</f>
        <v/>
      </c>
      <c r="B240" s="2"/>
      <c r="C240" s="2"/>
      <c r="D240" s="2"/>
      <c r="E240" s="2"/>
      <c r="F240" s="2"/>
      <c r="G240" s="2"/>
      <c r="H240" s="2"/>
      <c r="I240" s="2"/>
      <c r="J240" s="2"/>
    </row>
    <row r="241" spans="1:10" x14ac:dyDescent="0.3">
      <c r="A241" t="str">
        <f>IF(Tabla4[[#This Row],[MATERIAL]]="","",CONCATENATE(Tabla4[[#This Row],[MATERIAL]],"-",Tabla4[[#This Row],[MARCA ]],"-",Tabla4[[#This Row],[PROVEEDOR ]],"-",Tabla4[[#This Row],[USO-CATEGORIA]]))</f>
        <v/>
      </c>
      <c r="B241" s="2"/>
      <c r="C241" s="2"/>
      <c r="D241" s="2"/>
      <c r="E241" s="2"/>
      <c r="F241" s="2"/>
      <c r="G241" s="2"/>
      <c r="H241" s="2"/>
      <c r="I241" s="2"/>
      <c r="J241" s="2"/>
    </row>
    <row r="242" spans="1:10" x14ac:dyDescent="0.3">
      <c r="A242" t="str">
        <f>IF(Tabla4[[#This Row],[MATERIAL]]="","",CONCATENATE(Tabla4[[#This Row],[MATERIAL]],"-",Tabla4[[#This Row],[MARCA ]],"-",Tabla4[[#This Row],[PROVEEDOR ]],"-",Tabla4[[#This Row],[USO-CATEGORIA]]))</f>
        <v/>
      </c>
      <c r="B242" s="2"/>
      <c r="C242" s="2"/>
      <c r="D242" s="2"/>
      <c r="E242" s="2"/>
      <c r="F242" s="2"/>
      <c r="G242" s="2"/>
      <c r="H242" s="2"/>
      <c r="I242" s="2"/>
      <c r="J242" s="2"/>
    </row>
    <row r="243" spans="1:10" x14ac:dyDescent="0.3">
      <c r="A243" t="str">
        <f>IF(Tabla4[[#This Row],[MATERIAL]]="","",CONCATENATE(Tabla4[[#This Row],[MATERIAL]],"-",Tabla4[[#This Row],[MARCA ]],"-",Tabla4[[#This Row],[PROVEEDOR ]],"-",Tabla4[[#This Row],[USO-CATEGORIA]]))</f>
        <v/>
      </c>
      <c r="B243" s="2"/>
      <c r="C243" s="2"/>
      <c r="D243" s="2"/>
      <c r="E243" s="2"/>
      <c r="F243" s="2"/>
      <c r="G243" s="2"/>
      <c r="H243" s="2"/>
      <c r="I243" s="2"/>
      <c r="J243" s="2"/>
    </row>
    <row r="244" spans="1:10" x14ac:dyDescent="0.3">
      <c r="A244" t="str">
        <f>IF(Tabla4[[#This Row],[MATERIAL]]="","",CONCATENATE(Tabla4[[#This Row],[MATERIAL]],"-",Tabla4[[#This Row],[MARCA ]],"-",Tabla4[[#This Row],[PROVEEDOR ]],"-",Tabla4[[#This Row],[USO-CATEGORIA]]))</f>
        <v/>
      </c>
      <c r="B244" s="2"/>
      <c r="C244" s="2"/>
      <c r="D244" s="2"/>
      <c r="E244" s="2"/>
      <c r="F244" s="2"/>
      <c r="G244" s="2"/>
      <c r="H244" s="2"/>
      <c r="I244" s="2"/>
      <c r="J244" s="2"/>
    </row>
  </sheetData>
  <mergeCells count="3">
    <mergeCell ref="B1:J1"/>
    <mergeCell ref="B2:J2"/>
    <mergeCell ref="B3:J3"/>
  </mergeCells>
  <phoneticPr fontId="10" type="noConversion"/>
  <pageMargins left="0.7" right="0.7" top="0.75" bottom="0.75" header="0.3" footer="0.3"/>
  <pageSetup paperSize="9" scale="19" orientation="portrait" r:id="rId1"/>
  <rowBreaks count="1" manualBreakCount="1">
    <brk id="204" max="11" man="1"/>
  </rowBreaks>
  <colBreaks count="2" manualBreakCount="2">
    <brk id="1" max="1048575" man="1"/>
    <brk id="10" max="1048575" man="1"/>
  </colBreaks>
  <drawing r:id="rId2"/>
  <legacyDrawing r:id="rId3"/>
  <tableParts count="1">
    <tablePart r:id="rId4"/>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578AEE-BA54-4AC7-9C21-9CAFE3D83CDF}">
  <sheetPr codeName="Hoja93"/>
  <dimension ref="A1:FU111"/>
  <sheetViews>
    <sheetView showGridLines="0" zoomScale="40" zoomScaleNormal="40" workbookViewId="0">
      <pane ySplit="11" topLeftCell="A12" activePane="bottomLeft" state="frozen"/>
      <selection pane="bottomLeft" activeCell="E111" sqref="E111"/>
    </sheetView>
  </sheetViews>
  <sheetFormatPr defaultColWidth="11" defaultRowHeight="16.5" x14ac:dyDescent="0.3"/>
  <cols>
    <col min="1" max="1" width="52.125" bestFit="1" customWidth="1"/>
    <col min="2" max="2" width="51.375" bestFit="1" customWidth="1"/>
    <col min="3" max="3" width="35.375" bestFit="1" customWidth="1"/>
    <col min="4" max="4" width="27" bestFit="1" customWidth="1"/>
    <col min="5" max="5" width="33.75" bestFit="1" customWidth="1"/>
    <col min="6" max="6" width="37.75" bestFit="1" customWidth="1"/>
    <col min="7" max="7" width="37.125" customWidth="1"/>
    <col min="8" max="8" width="37.375" bestFit="1" customWidth="1"/>
    <col min="9" max="9" width="19.375" bestFit="1" customWidth="1"/>
    <col min="11" max="11" width="28.125" customWidth="1"/>
    <col min="12" max="12" width="26.125" bestFit="1" customWidth="1"/>
    <col min="13" max="13" width="20.75" bestFit="1" customWidth="1"/>
    <col min="14" max="14" width="25.125" bestFit="1" customWidth="1"/>
    <col min="15" max="15" width="26.75" bestFit="1" customWidth="1"/>
    <col min="16" max="16" width="37.75" bestFit="1" customWidth="1"/>
    <col min="17" max="17" width="37.125" bestFit="1" customWidth="1"/>
    <col min="18" max="18" width="17.125" bestFit="1" customWidth="1"/>
    <col min="21" max="21" width="13.375" bestFit="1" customWidth="1"/>
    <col min="22" max="22" width="15.375" bestFit="1" customWidth="1"/>
    <col min="23" max="23" width="22.125" bestFit="1" customWidth="1"/>
    <col min="24" max="24" width="25.125" bestFit="1" customWidth="1"/>
    <col min="25" max="25" width="26.75" bestFit="1" customWidth="1"/>
    <col min="26" max="26" width="37.75" bestFit="1" customWidth="1"/>
    <col min="27" max="27" width="37.125" bestFit="1" customWidth="1"/>
    <col min="28" max="28" width="17.125" bestFit="1" customWidth="1"/>
    <col min="30" max="30" width="26.875" bestFit="1" customWidth="1"/>
    <col min="31" max="31" width="15.375" bestFit="1" customWidth="1"/>
    <col min="32" max="32" width="22.125" bestFit="1" customWidth="1"/>
    <col min="33" max="33" width="25.125" bestFit="1" customWidth="1"/>
    <col min="34" max="34" width="26.75" bestFit="1" customWidth="1"/>
    <col min="35" max="35" width="37.75" bestFit="1" customWidth="1"/>
    <col min="36" max="36" width="37.125" bestFit="1" customWidth="1"/>
    <col min="37" max="37" width="17.125" bestFit="1" customWidth="1"/>
    <col min="40" max="40" width="13.375" bestFit="1" customWidth="1"/>
    <col min="41" max="41" width="15.375" bestFit="1" customWidth="1"/>
    <col min="42" max="42" width="22.125" bestFit="1" customWidth="1"/>
    <col min="43" max="43" width="25.125" bestFit="1" customWidth="1"/>
    <col min="44" max="44" width="26.75" bestFit="1" customWidth="1"/>
    <col min="45" max="45" width="37.75" bestFit="1" customWidth="1"/>
    <col min="46" max="46" width="37.125" bestFit="1" customWidth="1"/>
    <col min="47" max="47" width="17.125" bestFit="1" customWidth="1"/>
    <col min="50" max="50" width="13.375" bestFit="1" customWidth="1"/>
    <col min="51" max="51" width="15.375" bestFit="1" customWidth="1"/>
    <col min="52" max="52" width="22.125" bestFit="1" customWidth="1"/>
    <col min="53" max="53" width="25.125" bestFit="1" customWidth="1"/>
    <col min="54" max="54" width="26.75" bestFit="1" customWidth="1"/>
    <col min="55" max="55" width="37.75" bestFit="1" customWidth="1"/>
    <col min="56" max="56" width="37.125" bestFit="1" customWidth="1"/>
    <col min="57" max="57" width="17.125" bestFit="1" customWidth="1"/>
    <col min="60" max="60" width="13.375" bestFit="1" customWidth="1"/>
    <col min="61" max="61" width="15.375" bestFit="1" customWidth="1"/>
    <col min="62" max="62" width="22.125" bestFit="1" customWidth="1"/>
    <col min="63" max="63" width="25.125" bestFit="1" customWidth="1"/>
    <col min="64" max="64" width="26.75" bestFit="1" customWidth="1"/>
    <col min="65" max="65" width="37.75" bestFit="1" customWidth="1"/>
    <col min="66" max="66" width="37.125" bestFit="1" customWidth="1"/>
    <col min="67" max="67" width="17.125" bestFit="1" customWidth="1"/>
    <col min="70" max="70" width="13.375" bestFit="1" customWidth="1"/>
    <col min="71" max="71" width="15.375" bestFit="1" customWidth="1"/>
    <col min="72" max="72" width="22.125" bestFit="1" customWidth="1"/>
    <col min="73" max="73" width="25.125" bestFit="1" customWidth="1"/>
    <col min="74" max="74" width="26.75" bestFit="1" customWidth="1"/>
    <col min="75" max="75" width="37.75" bestFit="1" customWidth="1"/>
    <col min="76" max="76" width="37.125" bestFit="1" customWidth="1"/>
    <col min="77" max="77" width="17.125" bestFit="1" customWidth="1"/>
    <col min="80" max="80" width="13.375" bestFit="1" customWidth="1"/>
    <col min="81" max="81" width="15.375" bestFit="1" customWidth="1"/>
    <col min="82" max="82" width="22.125" bestFit="1" customWidth="1"/>
    <col min="83" max="83" width="25.125" bestFit="1" customWidth="1"/>
    <col min="84" max="84" width="26.75" bestFit="1" customWidth="1"/>
    <col min="85" max="85" width="37.75" bestFit="1" customWidth="1"/>
    <col min="86" max="86" width="37.125" bestFit="1" customWidth="1"/>
    <col min="87" max="87" width="17.125" bestFit="1" customWidth="1"/>
    <col min="90" max="90" width="13.375" bestFit="1" customWidth="1"/>
    <col min="91" max="91" width="15.375" bestFit="1" customWidth="1"/>
    <col min="92" max="92" width="22.125" bestFit="1" customWidth="1"/>
    <col min="93" max="93" width="25.125" bestFit="1" customWidth="1"/>
    <col min="94" max="94" width="26.75" bestFit="1" customWidth="1"/>
    <col min="95" max="95" width="37.75" bestFit="1" customWidth="1"/>
    <col min="96" max="96" width="37.125" bestFit="1" customWidth="1"/>
    <col min="97" max="97" width="17.125" bestFit="1" customWidth="1"/>
    <col min="100" max="100" width="13.375" bestFit="1" customWidth="1"/>
    <col min="101" max="101" width="15.375" bestFit="1" customWidth="1"/>
    <col min="102" max="102" width="22.125" bestFit="1" customWidth="1"/>
    <col min="103" max="103" width="25.125" bestFit="1" customWidth="1"/>
    <col min="104" max="104" width="26.75" bestFit="1" customWidth="1"/>
    <col min="105" max="105" width="37.75" bestFit="1" customWidth="1"/>
    <col min="106" max="106" width="37.125" bestFit="1" customWidth="1"/>
    <col min="107" max="107" width="17.125" bestFit="1" customWidth="1"/>
    <col min="110" max="110" width="13.375" bestFit="1" customWidth="1"/>
    <col min="111" max="111" width="15.375" bestFit="1" customWidth="1"/>
    <col min="112" max="112" width="22.125" bestFit="1" customWidth="1"/>
    <col min="113" max="113" width="25.125" bestFit="1" customWidth="1"/>
    <col min="114" max="114" width="26.75" bestFit="1" customWidth="1"/>
    <col min="115" max="115" width="37.75" bestFit="1" customWidth="1"/>
    <col min="116" max="116" width="37.125" bestFit="1" customWidth="1"/>
    <col min="117" max="117" width="17.125" bestFit="1" customWidth="1"/>
    <col min="120" max="120" width="13.375" bestFit="1" customWidth="1"/>
    <col min="121" max="121" width="15.375" bestFit="1" customWidth="1"/>
    <col min="122" max="122" width="22.125" bestFit="1" customWidth="1"/>
    <col min="123" max="123" width="25.125" bestFit="1" customWidth="1"/>
    <col min="124" max="124" width="26.75" bestFit="1" customWidth="1"/>
    <col min="125" max="125" width="37.75" bestFit="1" customWidth="1"/>
    <col min="126" max="126" width="37.125" bestFit="1" customWidth="1"/>
    <col min="127" max="127" width="17.125" bestFit="1" customWidth="1"/>
    <col min="130" max="130" width="13.375" bestFit="1" customWidth="1"/>
    <col min="131" max="131" width="15.375" bestFit="1" customWidth="1"/>
    <col min="132" max="132" width="22.125" bestFit="1" customWidth="1"/>
    <col min="133" max="133" width="25.125" bestFit="1" customWidth="1"/>
    <col min="134" max="134" width="26.75" bestFit="1" customWidth="1"/>
    <col min="135" max="135" width="37.75" bestFit="1" customWidth="1"/>
    <col min="136" max="136" width="37.125" bestFit="1" customWidth="1"/>
    <col min="137" max="137" width="17.125" bestFit="1" customWidth="1"/>
    <col min="140" max="140" width="13.375" bestFit="1" customWidth="1"/>
    <col min="141" max="141" width="15.375" bestFit="1" customWidth="1"/>
    <col min="142" max="142" width="22.125" bestFit="1" customWidth="1"/>
    <col min="143" max="143" width="25.125" bestFit="1" customWidth="1"/>
    <col min="144" max="144" width="26.75" bestFit="1" customWidth="1"/>
    <col min="145" max="145" width="37.75" bestFit="1" customWidth="1"/>
    <col min="146" max="146" width="37.125" bestFit="1" customWidth="1"/>
    <col min="147" max="147" width="17.125" bestFit="1" customWidth="1"/>
    <col min="150" max="150" width="13.375" bestFit="1" customWidth="1"/>
    <col min="151" max="151" width="15.375" bestFit="1" customWidth="1"/>
    <col min="152" max="152" width="22.125" bestFit="1" customWidth="1"/>
    <col min="153" max="153" width="25.125" bestFit="1" customWidth="1"/>
    <col min="154" max="154" width="26.75" bestFit="1" customWidth="1"/>
    <col min="155" max="155" width="37.75" bestFit="1" customWidth="1"/>
    <col min="156" max="156" width="37.125" bestFit="1" customWidth="1"/>
    <col min="157" max="157" width="17.125" bestFit="1" customWidth="1"/>
    <col min="160" max="160" width="13.375" bestFit="1" customWidth="1"/>
    <col min="161" max="161" width="15.375" bestFit="1" customWidth="1"/>
    <col min="162" max="162" width="22.125" bestFit="1" customWidth="1"/>
    <col min="163" max="163" width="25.125" bestFit="1" customWidth="1"/>
    <col min="164" max="164" width="26.75" bestFit="1" customWidth="1"/>
    <col min="165" max="165" width="37.75" bestFit="1" customWidth="1"/>
    <col min="166" max="166" width="37.125" bestFit="1" customWidth="1"/>
    <col min="167" max="167" width="17.125" bestFit="1" customWidth="1"/>
    <col min="170" max="170" width="13.375" bestFit="1" customWidth="1"/>
    <col min="171" max="171" width="15.375" bestFit="1" customWidth="1"/>
    <col min="172" max="172" width="22.125" bestFit="1" customWidth="1"/>
    <col min="173" max="173" width="25.125" bestFit="1" customWidth="1"/>
    <col min="174" max="174" width="26.75" bestFit="1" customWidth="1"/>
    <col min="175" max="175" width="37.75" bestFit="1" customWidth="1"/>
    <col min="176" max="176" width="37.125" bestFit="1" customWidth="1"/>
    <col min="177" max="177" width="17.125" bestFit="1" customWidth="1"/>
  </cols>
  <sheetData>
    <row r="1" spans="1:177" ht="54" customHeight="1" thickBot="1" x14ac:dyDescent="0.35">
      <c r="A1" s="280" t="s">
        <v>226</v>
      </c>
      <c r="B1" s="521" t="str">
        <f>NOMBRE_DEL_PROYECTO</f>
        <v>MYT ENERGY PARQUE FOTOVOLTAICO TEPUY 108 MW</v>
      </c>
      <c r="C1" s="522"/>
      <c r="D1" s="522"/>
      <c r="E1" s="522"/>
      <c r="F1" s="522"/>
      <c r="G1" s="522"/>
      <c r="H1" s="522"/>
      <c r="I1" s="523"/>
    </row>
    <row r="2" spans="1:177" ht="24.75" customHeight="1" thickBot="1" x14ac:dyDescent="0.35">
      <c r="A2" s="280" t="s">
        <v>231</v>
      </c>
      <c r="B2" s="524">
        <f ca="1">FECHA</f>
        <v>45726</v>
      </c>
      <c r="C2" s="525"/>
      <c r="D2" s="525"/>
      <c r="E2" s="525"/>
      <c r="F2" s="525"/>
      <c r="G2" s="525"/>
      <c r="H2" s="525"/>
      <c r="I2" s="526"/>
    </row>
    <row r="3" spans="1:177" ht="30" customHeight="1" thickBot="1" x14ac:dyDescent="0.35">
      <c r="A3" s="280" t="s">
        <v>230</v>
      </c>
      <c r="B3" s="533">
        <f>+DURCION_PROYECTO</f>
        <v>3</v>
      </c>
      <c r="C3" s="534"/>
      <c r="D3" s="534"/>
      <c r="E3" s="534"/>
      <c r="F3" s="534"/>
      <c r="G3" s="534"/>
      <c r="H3" s="534"/>
      <c r="I3" s="535"/>
    </row>
    <row r="4" spans="1:177" ht="32.25" customHeight="1" thickBot="1" x14ac:dyDescent="0.35">
      <c r="A4" s="536" t="s">
        <v>132</v>
      </c>
      <c r="B4" s="537"/>
      <c r="C4" s="537"/>
      <c r="D4" s="537"/>
      <c r="E4" s="537"/>
      <c r="F4" s="537"/>
      <c r="G4" s="537"/>
      <c r="H4" s="537"/>
      <c r="I4" s="538"/>
    </row>
    <row r="5" spans="1:177" ht="18" customHeight="1" thickBot="1" x14ac:dyDescent="0.35">
      <c r="B5" s="43"/>
      <c r="D5" s="1"/>
      <c r="E5" s="19"/>
      <c r="F5" s="1"/>
    </row>
    <row r="6" spans="1:177" ht="18" customHeight="1" x14ac:dyDescent="0.3">
      <c r="B6" s="539" t="s">
        <v>113</v>
      </c>
      <c r="C6" s="540"/>
      <c r="D6" s="540"/>
      <c r="E6" s="541"/>
      <c r="F6" s="1"/>
    </row>
    <row r="7" spans="1:177" ht="18" customHeight="1" x14ac:dyDescent="0.3">
      <c r="B7" s="542"/>
      <c r="C7" s="543"/>
      <c r="D7" s="543"/>
      <c r="E7" s="544"/>
      <c r="F7" s="1"/>
    </row>
    <row r="8" spans="1:177" ht="18" customHeight="1" thickBot="1" x14ac:dyDescent="0.35">
      <c r="B8" s="545"/>
      <c r="C8" s="546"/>
      <c r="D8" s="546"/>
      <c r="E8" s="547"/>
      <c r="F8" s="1"/>
    </row>
    <row r="9" spans="1:177" ht="17.25" thickBot="1" x14ac:dyDescent="0.35"/>
    <row r="10" spans="1:177" ht="27" thickBot="1" x14ac:dyDescent="0.5">
      <c r="A10" s="530" t="s">
        <v>44</v>
      </c>
      <c r="B10" s="531"/>
      <c r="C10" s="531"/>
      <c r="D10" s="531"/>
      <c r="E10" s="531"/>
      <c r="F10" s="532"/>
      <c r="G10" s="531">
        <v>1</v>
      </c>
      <c r="H10" s="531"/>
      <c r="K10" s="530" t="s">
        <v>44</v>
      </c>
      <c r="L10" s="531"/>
      <c r="M10" s="531"/>
      <c r="N10" s="531"/>
      <c r="O10" s="531"/>
      <c r="P10" s="532"/>
      <c r="Q10" s="531">
        <v>2</v>
      </c>
      <c r="R10" s="531"/>
      <c r="U10" s="530" t="s">
        <v>44</v>
      </c>
      <c r="V10" s="531"/>
      <c r="W10" s="531"/>
      <c r="X10" s="531"/>
      <c r="Y10" s="531"/>
      <c r="Z10" s="532"/>
      <c r="AA10" s="531">
        <v>3</v>
      </c>
      <c r="AB10" s="531"/>
      <c r="AD10" s="530" t="s">
        <v>44</v>
      </c>
      <c r="AE10" s="531"/>
      <c r="AF10" s="531"/>
      <c r="AG10" s="531"/>
      <c r="AH10" s="531"/>
      <c r="AI10" s="532"/>
      <c r="AJ10" s="531">
        <v>4</v>
      </c>
      <c r="AK10" s="531"/>
      <c r="AN10" s="530" t="s">
        <v>44</v>
      </c>
      <c r="AO10" s="531"/>
      <c r="AP10" s="531"/>
      <c r="AQ10" s="531"/>
      <c r="AR10" s="531"/>
      <c r="AS10" s="532"/>
      <c r="AT10" s="531">
        <v>5</v>
      </c>
      <c r="AU10" s="531"/>
      <c r="AX10" s="530" t="s">
        <v>44</v>
      </c>
      <c r="AY10" s="531"/>
      <c r="AZ10" s="531"/>
      <c r="BA10" s="531"/>
      <c r="BB10" s="531"/>
      <c r="BC10" s="532"/>
      <c r="BD10" s="531">
        <v>6</v>
      </c>
      <c r="BE10" s="531"/>
      <c r="BH10" s="530" t="s">
        <v>44</v>
      </c>
      <c r="BI10" s="531"/>
      <c r="BJ10" s="531"/>
      <c r="BK10" s="531"/>
      <c r="BL10" s="531"/>
      <c r="BM10" s="532"/>
      <c r="BN10" s="531">
        <v>7</v>
      </c>
      <c r="BO10" s="531"/>
      <c r="BR10" s="530" t="s">
        <v>44</v>
      </c>
      <c r="BS10" s="531"/>
      <c r="BT10" s="531"/>
      <c r="BU10" s="531"/>
      <c r="BV10" s="531"/>
      <c r="BW10" s="532"/>
      <c r="BX10" s="531">
        <v>8</v>
      </c>
      <c r="BY10" s="531"/>
      <c r="CB10" s="530" t="s">
        <v>44</v>
      </c>
      <c r="CC10" s="531"/>
      <c r="CD10" s="531"/>
      <c r="CE10" s="531"/>
      <c r="CF10" s="531"/>
      <c r="CG10" s="532"/>
      <c r="CH10" s="531">
        <v>9</v>
      </c>
      <c r="CI10" s="531"/>
      <c r="CL10" s="530" t="s">
        <v>44</v>
      </c>
      <c r="CM10" s="531"/>
      <c r="CN10" s="531"/>
      <c r="CO10" s="531"/>
      <c r="CP10" s="531"/>
      <c r="CQ10" s="532"/>
      <c r="CR10" s="531">
        <v>10</v>
      </c>
      <c r="CS10" s="531"/>
      <c r="CV10" s="530" t="s">
        <v>44</v>
      </c>
      <c r="CW10" s="531"/>
      <c r="CX10" s="531"/>
      <c r="CY10" s="531"/>
      <c r="CZ10" s="531"/>
      <c r="DA10" s="532"/>
      <c r="DB10" s="531">
        <v>11</v>
      </c>
      <c r="DC10" s="531"/>
      <c r="DF10" s="530" t="s">
        <v>44</v>
      </c>
      <c r="DG10" s="531"/>
      <c r="DH10" s="531"/>
      <c r="DI10" s="531"/>
      <c r="DJ10" s="531"/>
      <c r="DK10" s="532"/>
      <c r="DL10" s="531">
        <v>12</v>
      </c>
      <c r="DM10" s="531"/>
      <c r="DP10" s="530" t="s">
        <v>44</v>
      </c>
      <c r="DQ10" s="531"/>
      <c r="DR10" s="531"/>
      <c r="DS10" s="531"/>
      <c r="DT10" s="531"/>
      <c r="DU10" s="532"/>
      <c r="DV10" s="531">
        <v>13</v>
      </c>
      <c r="DW10" s="531"/>
      <c r="DZ10" s="530" t="s">
        <v>44</v>
      </c>
      <c r="EA10" s="531"/>
      <c r="EB10" s="531"/>
      <c r="EC10" s="531"/>
      <c r="ED10" s="531"/>
      <c r="EE10" s="532"/>
      <c r="EF10" s="531">
        <v>14</v>
      </c>
      <c r="EG10" s="531"/>
      <c r="EJ10" s="530" t="s">
        <v>44</v>
      </c>
      <c r="EK10" s="531"/>
      <c r="EL10" s="531"/>
      <c r="EM10" s="531"/>
      <c r="EN10" s="531"/>
      <c r="EO10" s="532"/>
      <c r="EP10" s="531">
        <v>15</v>
      </c>
      <c r="EQ10" s="531"/>
      <c r="ET10" s="530" t="s">
        <v>44</v>
      </c>
      <c r="EU10" s="531"/>
      <c r="EV10" s="531"/>
      <c r="EW10" s="531"/>
      <c r="EX10" s="531"/>
      <c r="EY10" s="532"/>
      <c r="EZ10" s="531">
        <v>16</v>
      </c>
      <c r="FA10" s="531"/>
      <c r="FD10" s="530" t="s">
        <v>44</v>
      </c>
      <c r="FE10" s="531"/>
      <c r="FF10" s="531"/>
      <c r="FG10" s="531"/>
      <c r="FH10" s="531"/>
      <c r="FI10" s="532"/>
      <c r="FJ10" s="531">
        <v>17</v>
      </c>
      <c r="FK10" s="531"/>
      <c r="FN10" s="530" t="s">
        <v>44</v>
      </c>
      <c r="FO10" s="531"/>
      <c r="FP10" s="531"/>
      <c r="FQ10" s="531"/>
      <c r="FR10" s="531"/>
      <c r="FS10" s="532"/>
      <c r="FT10" s="531">
        <v>18</v>
      </c>
      <c r="FU10" s="531"/>
    </row>
    <row r="11" spans="1:177" ht="27" thickBot="1" x14ac:dyDescent="0.5">
      <c r="A11" s="548"/>
      <c r="B11" s="549"/>
      <c r="C11" s="549"/>
      <c r="D11" s="549"/>
      <c r="E11" s="549"/>
      <c r="F11" s="549"/>
      <c r="G11" s="549"/>
      <c r="H11" s="550"/>
      <c r="K11" s="548"/>
      <c r="L11" s="549"/>
      <c r="M11" s="549"/>
      <c r="N11" s="549"/>
      <c r="O11" s="549"/>
      <c r="P11" s="549"/>
      <c r="Q11" s="549"/>
      <c r="R11" s="550"/>
      <c r="U11" s="548"/>
      <c r="V11" s="549"/>
      <c r="W11" s="549"/>
      <c r="X11" s="549"/>
      <c r="Y11" s="549"/>
      <c r="Z11" s="549"/>
      <c r="AA11" s="549"/>
      <c r="AB11" s="550"/>
      <c r="AD11" s="548"/>
      <c r="AE11" s="549"/>
      <c r="AF11" s="549"/>
      <c r="AG11" s="549"/>
      <c r="AH11" s="549"/>
      <c r="AI11" s="549"/>
      <c r="AJ11" s="549"/>
      <c r="AK11" s="550"/>
      <c r="AN11" s="548"/>
      <c r="AO11" s="549"/>
      <c r="AP11" s="549"/>
      <c r="AQ11" s="549"/>
      <c r="AR11" s="549"/>
      <c r="AS11" s="549"/>
      <c r="AT11" s="549"/>
      <c r="AU11" s="550"/>
      <c r="AX11" s="548"/>
      <c r="AY11" s="549"/>
      <c r="AZ11" s="549"/>
      <c r="BA11" s="549"/>
      <c r="BB11" s="549"/>
      <c r="BC11" s="549"/>
      <c r="BD11" s="549"/>
      <c r="BE11" s="550"/>
      <c r="BH11" s="548"/>
      <c r="BI11" s="549"/>
      <c r="BJ11" s="549"/>
      <c r="BK11" s="549"/>
      <c r="BL11" s="549"/>
      <c r="BM11" s="549"/>
      <c r="BN11" s="549"/>
      <c r="BO11" s="550"/>
      <c r="BR11" s="548"/>
      <c r="BS11" s="549"/>
      <c r="BT11" s="549"/>
      <c r="BU11" s="549"/>
      <c r="BV11" s="549"/>
      <c r="BW11" s="549"/>
      <c r="BX11" s="549"/>
      <c r="BY11" s="550"/>
      <c r="CB11" s="548"/>
      <c r="CC11" s="549"/>
      <c r="CD11" s="549"/>
      <c r="CE11" s="549"/>
      <c r="CF11" s="549"/>
      <c r="CG11" s="549"/>
      <c r="CH11" s="549"/>
      <c r="CI11" s="550"/>
      <c r="CL11" s="548"/>
      <c r="CM11" s="549"/>
      <c r="CN11" s="549"/>
      <c r="CO11" s="549"/>
      <c r="CP11" s="549"/>
      <c r="CQ11" s="549"/>
      <c r="CR11" s="549"/>
      <c r="CS11" s="550"/>
      <c r="CV11" s="548"/>
      <c r="CW11" s="549"/>
      <c r="CX11" s="549"/>
      <c r="CY11" s="549"/>
      <c r="CZ11" s="549"/>
      <c r="DA11" s="549"/>
      <c r="DB11" s="549"/>
      <c r="DC11" s="550"/>
      <c r="DF11" s="548"/>
      <c r="DG11" s="549"/>
      <c r="DH11" s="549"/>
      <c r="DI11" s="549"/>
      <c r="DJ11" s="549"/>
      <c r="DK11" s="549"/>
      <c r="DL11" s="549"/>
      <c r="DM11" s="550"/>
      <c r="DP11" s="548"/>
      <c r="DQ11" s="549"/>
      <c r="DR11" s="549"/>
      <c r="DS11" s="549"/>
      <c r="DT11" s="549"/>
      <c r="DU11" s="549"/>
      <c r="DV11" s="549"/>
      <c r="DW11" s="550"/>
      <c r="DZ11" s="548"/>
      <c r="EA11" s="549"/>
      <c r="EB11" s="549"/>
      <c r="EC11" s="549"/>
      <c r="ED11" s="549"/>
      <c r="EE11" s="549"/>
      <c r="EF11" s="549"/>
      <c r="EG11" s="550"/>
      <c r="EJ11" s="548"/>
      <c r="EK11" s="549"/>
      <c r="EL11" s="549"/>
      <c r="EM11" s="549"/>
      <c r="EN11" s="549"/>
      <c r="EO11" s="549"/>
      <c r="EP11" s="549"/>
      <c r="EQ11" s="550"/>
      <c r="ET11" s="548"/>
      <c r="EU11" s="549"/>
      <c r="EV11" s="549"/>
      <c r="EW11" s="549"/>
      <c r="EX11" s="549"/>
      <c r="EY11" s="549"/>
      <c r="EZ11" s="549"/>
      <c r="FA11" s="550"/>
      <c r="FD11" s="548"/>
      <c r="FE11" s="549"/>
      <c r="FF11" s="549"/>
      <c r="FG11" s="549"/>
      <c r="FH11" s="549"/>
      <c r="FI11" s="549"/>
      <c r="FJ11" s="549"/>
      <c r="FK11" s="550"/>
      <c r="FN11" s="548"/>
      <c r="FO11" s="549"/>
      <c r="FP11" s="549"/>
      <c r="FQ11" s="549"/>
      <c r="FR11" s="549"/>
      <c r="FS11" s="549"/>
      <c r="FT11" s="549"/>
      <c r="FU11" s="550"/>
    </row>
    <row r="12" spans="1:177" x14ac:dyDescent="0.3">
      <c r="A12" s="9"/>
      <c r="B12" s="9" t="s">
        <v>23</v>
      </c>
      <c r="C12" t="s">
        <v>24</v>
      </c>
      <c r="D12" t="s">
        <v>25</v>
      </c>
      <c r="E12" t="s">
        <v>26</v>
      </c>
      <c r="F12" t="s">
        <v>27</v>
      </c>
      <c r="G12" t="s">
        <v>211</v>
      </c>
      <c r="H12" s="11"/>
      <c r="K12" s="9"/>
      <c r="L12" s="9" t="s">
        <v>23</v>
      </c>
      <c r="M12" t="s">
        <v>24</v>
      </c>
      <c r="N12" t="s">
        <v>25</v>
      </c>
      <c r="O12" t="s">
        <v>26</v>
      </c>
      <c r="P12" t="s">
        <v>27</v>
      </c>
      <c r="Q12" t="s">
        <v>28</v>
      </c>
      <c r="R12" s="11"/>
      <c r="U12" s="9"/>
      <c r="V12" s="9" t="s">
        <v>23</v>
      </c>
      <c r="W12" t="s">
        <v>24</v>
      </c>
      <c r="X12" t="s">
        <v>25</v>
      </c>
      <c r="Y12" t="s">
        <v>26</v>
      </c>
      <c r="Z12" t="s">
        <v>27</v>
      </c>
      <c r="AA12" t="s">
        <v>28</v>
      </c>
      <c r="AB12" s="11"/>
      <c r="AD12" s="9"/>
      <c r="AE12" s="9" t="s">
        <v>23</v>
      </c>
      <c r="AF12" t="s">
        <v>24</v>
      </c>
      <c r="AG12" t="s">
        <v>25</v>
      </c>
      <c r="AH12" t="s">
        <v>26</v>
      </c>
      <c r="AI12" t="s">
        <v>27</v>
      </c>
      <c r="AJ12" t="s">
        <v>28</v>
      </c>
      <c r="AK12" s="11"/>
      <c r="AN12" s="9"/>
      <c r="AO12" s="9" t="s">
        <v>23</v>
      </c>
      <c r="AP12" t="s">
        <v>24</v>
      </c>
      <c r="AQ12" t="s">
        <v>25</v>
      </c>
      <c r="AR12" t="s">
        <v>26</v>
      </c>
      <c r="AS12" t="s">
        <v>27</v>
      </c>
      <c r="AT12" t="s">
        <v>28</v>
      </c>
      <c r="AU12" s="11"/>
      <c r="AX12" s="9"/>
      <c r="AY12" s="9" t="s">
        <v>23</v>
      </c>
      <c r="AZ12" t="s">
        <v>24</v>
      </c>
      <c r="BA12" t="s">
        <v>25</v>
      </c>
      <c r="BB12" t="s">
        <v>26</v>
      </c>
      <c r="BC12" t="s">
        <v>27</v>
      </c>
      <c r="BD12" t="s">
        <v>28</v>
      </c>
      <c r="BE12" s="11"/>
      <c r="BH12" s="9"/>
      <c r="BI12" s="9" t="s">
        <v>23</v>
      </c>
      <c r="BJ12" t="s">
        <v>24</v>
      </c>
      <c r="BK12" t="s">
        <v>25</v>
      </c>
      <c r="BL12" t="s">
        <v>26</v>
      </c>
      <c r="BM12" t="s">
        <v>27</v>
      </c>
      <c r="BN12" t="s">
        <v>28</v>
      </c>
      <c r="BO12" s="11"/>
      <c r="BR12" s="9"/>
      <c r="BS12" s="9" t="s">
        <v>23</v>
      </c>
      <c r="BT12" t="s">
        <v>24</v>
      </c>
      <c r="BU12" t="s">
        <v>25</v>
      </c>
      <c r="BV12" t="s">
        <v>26</v>
      </c>
      <c r="BW12" t="s">
        <v>27</v>
      </c>
      <c r="BX12" t="s">
        <v>28</v>
      </c>
      <c r="BY12" s="11"/>
      <c r="CB12" s="9"/>
      <c r="CC12" s="9" t="s">
        <v>23</v>
      </c>
      <c r="CD12" t="s">
        <v>24</v>
      </c>
      <c r="CE12" t="s">
        <v>25</v>
      </c>
      <c r="CF12" t="s">
        <v>26</v>
      </c>
      <c r="CG12" t="s">
        <v>27</v>
      </c>
      <c r="CH12" t="s">
        <v>28</v>
      </c>
      <c r="CI12" s="11"/>
      <c r="CL12" s="9"/>
      <c r="CM12" s="9" t="s">
        <v>23</v>
      </c>
      <c r="CN12" t="s">
        <v>24</v>
      </c>
      <c r="CO12" t="s">
        <v>25</v>
      </c>
      <c r="CP12" t="s">
        <v>26</v>
      </c>
      <c r="CQ12" t="s">
        <v>27</v>
      </c>
      <c r="CR12" t="s">
        <v>28</v>
      </c>
      <c r="CS12" s="11"/>
      <c r="CV12" s="9"/>
      <c r="CW12" s="9" t="s">
        <v>23</v>
      </c>
      <c r="CX12" t="s">
        <v>24</v>
      </c>
      <c r="CY12" t="s">
        <v>25</v>
      </c>
      <c r="CZ12" t="s">
        <v>26</v>
      </c>
      <c r="DA12" t="s">
        <v>27</v>
      </c>
      <c r="DB12" t="s">
        <v>28</v>
      </c>
      <c r="DC12" s="11"/>
      <c r="DF12" s="9"/>
      <c r="DG12" s="9" t="s">
        <v>23</v>
      </c>
      <c r="DH12" t="s">
        <v>24</v>
      </c>
      <c r="DI12" t="s">
        <v>25</v>
      </c>
      <c r="DJ12" t="s">
        <v>26</v>
      </c>
      <c r="DK12" t="s">
        <v>27</v>
      </c>
      <c r="DL12" t="s">
        <v>28</v>
      </c>
      <c r="DM12" s="11"/>
      <c r="DP12" s="9"/>
      <c r="DQ12" s="9" t="s">
        <v>23</v>
      </c>
      <c r="DR12" t="s">
        <v>24</v>
      </c>
      <c r="DS12" t="s">
        <v>25</v>
      </c>
      <c r="DT12" t="s">
        <v>26</v>
      </c>
      <c r="DU12" t="s">
        <v>27</v>
      </c>
      <c r="DV12" t="s">
        <v>28</v>
      </c>
      <c r="DW12" s="11"/>
      <c r="DZ12" s="9"/>
      <c r="EA12" s="9" t="s">
        <v>23</v>
      </c>
      <c r="EB12" t="s">
        <v>24</v>
      </c>
      <c r="EC12" t="s">
        <v>25</v>
      </c>
      <c r="ED12" t="s">
        <v>26</v>
      </c>
      <c r="EE12" t="s">
        <v>27</v>
      </c>
      <c r="EF12" t="s">
        <v>28</v>
      </c>
      <c r="EG12" s="11"/>
      <c r="EJ12" s="9"/>
      <c r="EK12" s="9" t="s">
        <v>23</v>
      </c>
      <c r="EL12" t="s">
        <v>24</v>
      </c>
      <c r="EM12" t="s">
        <v>25</v>
      </c>
      <c r="EN12" t="s">
        <v>26</v>
      </c>
      <c r="EO12" t="s">
        <v>27</v>
      </c>
      <c r="EP12" t="s">
        <v>28</v>
      </c>
      <c r="EQ12" s="11"/>
      <c r="ET12" s="9"/>
      <c r="EU12" s="9" t="s">
        <v>23</v>
      </c>
      <c r="EV12" t="s">
        <v>24</v>
      </c>
      <c r="EW12" t="s">
        <v>25</v>
      </c>
      <c r="EX12" t="s">
        <v>26</v>
      </c>
      <c r="EY12" t="s">
        <v>27</v>
      </c>
      <c r="EZ12" t="s">
        <v>28</v>
      </c>
      <c r="FA12" s="11"/>
      <c r="FD12" s="9"/>
      <c r="FE12" s="9" t="s">
        <v>23</v>
      </c>
      <c r="FF12" t="s">
        <v>24</v>
      </c>
      <c r="FG12" t="s">
        <v>25</v>
      </c>
      <c r="FH12" t="s">
        <v>26</v>
      </c>
      <c r="FI12" t="s">
        <v>27</v>
      </c>
      <c r="FJ12" t="s">
        <v>28</v>
      </c>
      <c r="FK12" s="11"/>
      <c r="FN12" s="9"/>
      <c r="FO12" s="9" t="s">
        <v>23</v>
      </c>
      <c r="FP12" t="s">
        <v>24</v>
      </c>
      <c r="FQ12" t="s">
        <v>25</v>
      </c>
      <c r="FR12" t="s">
        <v>26</v>
      </c>
      <c r="FS12" t="s">
        <v>27</v>
      </c>
      <c r="FT12" t="s">
        <v>28</v>
      </c>
      <c r="FU12" s="11"/>
    </row>
    <row r="13" spans="1:177" x14ac:dyDescent="0.3">
      <c r="A13" s="9"/>
      <c r="B13" s="9" t="s">
        <v>301</v>
      </c>
      <c r="C13" s="10">
        <v>1</v>
      </c>
      <c r="D13" s="166">
        <f t="shared" ref="D13:D30" si="0">+IF(B13="","",INDEX(V_MANODEOBRA_MENSUAL,MATCH(B13,L_PERSONAL,0)))</f>
        <v>10800000</v>
      </c>
      <c r="E13" s="167">
        <f t="shared" ref="E13:E30" si="1">+IF(D13="","",INDEX(F_PRESTACIONAL,MATCH(B13,L_PERSONAL,0)))</f>
        <v>1.7740888888888888</v>
      </c>
      <c r="F13" s="165">
        <f>+IF(D13="","",E13*D13)</f>
        <v>19160160</v>
      </c>
      <c r="G13" s="165">
        <f>+IF(F13="","",F13*C13)</f>
        <v>19160160</v>
      </c>
      <c r="H13" s="11"/>
      <c r="K13" s="9"/>
      <c r="L13" s="9" t="s">
        <v>301</v>
      </c>
      <c r="M13" s="10">
        <v>1</v>
      </c>
      <c r="N13" s="166">
        <f t="shared" ref="N13:N30" si="2">+IF(L13="","",INDEX(V_MANODEOBRA_MENSUAL,MATCH(L13,L_PERSONAL,0)))</f>
        <v>10800000</v>
      </c>
      <c r="O13" s="167">
        <f t="shared" ref="O13:O30" si="3">+IF(N13="","",INDEX(F_PRESTACIONAL,MATCH(L13,L_PERSONAL,0)))</f>
        <v>1.7740888888888888</v>
      </c>
      <c r="P13" s="165">
        <f>+IF(N13="","",O13*N13)</f>
        <v>19160160</v>
      </c>
      <c r="Q13" s="136">
        <f>+IF(P13="","",P13*M13)</f>
        <v>19160160</v>
      </c>
      <c r="R13" s="11"/>
      <c r="U13" s="9"/>
      <c r="V13" s="9" t="s">
        <v>301</v>
      </c>
      <c r="W13" s="10">
        <v>1</v>
      </c>
      <c r="X13" s="166">
        <f t="shared" ref="X13:X30" si="4">+IF(V13="","",INDEX(V_MANODEOBRA_MENSUAL,MATCH(V13,L_PERSONAL,0)))</f>
        <v>10800000</v>
      </c>
      <c r="Y13" s="167">
        <f t="shared" ref="Y13:Y30" si="5">+IF(X13="","",INDEX(F_PRESTACIONAL,MATCH(V13,L_PERSONAL,0)))</f>
        <v>1.7740888888888888</v>
      </c>
      <c r="Z13" s="165">
        <f>+IF(X13="","",Y13*X13)</f>
        <v>19160160</v>
      </c>
      <c r="AA13" s="165">
        <f>+IF(Z13="","",Z13*W13)</f>
        <v>19160160</v>
      </c>
      <c r="AB13" s="11"/>
      <c r="AD13" s="9"/>
      <c r="AE13" s="9" t="s">
        <v>301</v>
      </c>
      <c r="AF13" s="10">
        <v>1</v>
      </c>
      <c r="AG13" s="166">
        <f t="shared" ref="AG13:AG30" si="6">+IF(AE13="","",INDEX(V_MANODEOBRA_MENSUAL,MATCH(AE13,L_PERSONAL,0)))</f>
        <v>10800000</v>
      </c>
      <c r="AH13" s="167">
        <f t="shared" ref="AH13:AH30" si="7">+IF(AG13="","",INDEX(F_PRESTACIONAL,MATCH(AE13,L_PERSONAL,0)))</f>
        <v>1.7740888888888888</v>
      </c>
      <c r="AI13" s="165">
        <f>+IF(AG13="","",AH13*AG13)</f>
        <v>19160160</v>
      </c>
      <c r="AJ13" s="165">
        <f>+IF(AI13="","",AI13*AF13)</f>
        <v>19160160</v>
      </c>
      <c r="AK13" s="11"/>
      <c r="AN13" s="9"/>
      <c r="AO13" s="9"/>
      <c r="AP13" s="10"/>
      <c r="AQ13" s="166" t="str">
        <f t="shared" ref="AQ13:AQ30" si="8">+IF(AO13="","",INDEX(V_MANODEOBRA_MENSUAL,MATCH(AO13,L_PERSONAL,0)))</f>
        <v/>
      </c>
      <c r="AR13" s="167" t="str">
        <f t="shared" ref="AR13:AR30" si="9">+IF(AQ13="","",INDEX(F_PRESTACIONAL,MATCH(AO13,L_PERSONAL,0)))</f>
        <v/>
      </c>
      <c r="AS13" s="165" t="str">
        <f>+IF(AQ13="","",AR13*AQ13)</f>
        <v/>
      </c>
      <c r="AT13" s="165" t="str">
        <f>+IF(AS13="","",AS13*AP13)</f>
        <v/>
      </c>
      <c r="AU13" s="11"/>
      <c r="AX13" s="9"/>
      <c r="AY13" s="9"/>
      <c r="AZ13" s="10"/>
      <c r="BA13" s="166" t="str">
        <f t="shared" ref="BA13:BA30" si="10">+IF(AY13="","",INDEX(V_MANODEOBRA_MENSUAL,MATCH(AY13,L_PERSONAL,0)))</f>
        <v/>
      </c>
      <c r="BB13" s="167" t="str">
        <f t="shared" ref="BB13:BB30" si="11">+IF(BA13="","",INDEX(F_PRESTACIONAL,MATCH(AY13,L_PERSONAL,0)))</f>
        <v/>
      </c>
      <c r="BC13" s="165" t="str">
        <f>+IF(BA13="","",BB13*BA13)</f>
        <v/>
      </c>
      <c r="BD13" s="165" t="str">
        <f>+IF(BC13="","",BC13*AZ13)</f>
        <v/>
      </c>
      <c r="BE13" s="11"/>
      <c r="BH13" s="9"/>
      <c r="BI13" s="9"/>
      <c r="BJ13" s="10"/>
      <c r="BK13" s="166" t="str">
        <f t="shared" ref="BK13:BK30" si="12">+IF(BI13="","",INDEX(V_MANODEOBRA_MENSUAL,MATCH(BI13,L_PERSONAL,0)))</f>
        <v/>
      </c>
      <c r="BL13" s="167" t="str">
        <f t="shared" ref="BL13:BL30" si="13">+IF(BK13="","",INDEX(F_PRESTACIONAL,MATCH(BI13,L_PERSONAL,0)))</f>
        <v/>
      </c>
      <c r="BM13" s="165" t="str">
        <f>+IF(BK13="","",BL13*BK13)</f>
        <v/>
      </c>
      <c r="BN13" s="165" t="str">
        <f>+IF(BM13="","",BM13*BJ13)</f>
        <v/>
      </c>
      <c r="BO13" s="11"/>
      <c r="BR13" s="9"/>
      <c r="BS13" s="9"/>
      <c r="BT13" s="10"/>
      <c r="BU13" s="166" t="str">
        <f t="shared" ref="BU13:BU30" si="14">+IF(BS13="","",INDEX(V_MANODEOBRA_MENSUAL,MATCH(BS13,L_PERSONAL,0)))</f>
        <v/>
      </c>
      <c r="BV13" s="167" t="str">
        <f t="shared" ref="BV13:BV30" si="15">+IF(BU13="","",INDEX(F_PRESTACIONAL,MATCH(BS13,L_PERSONAL,0)))</f>
        <v/>
      </c>
      <c r="BW13" s="165" t="str">
        <f>+IF(BU13="","",BV13*BU13)</f>
        <v/>
      </c>
      <c r="BX13" s="165" t="str">
        <f>+IF(BW13="","",BW13*BT13)</f>
        <v/>
      </c>
      <c r="BY13" s="11"/>
      <c r="CB13" s="9"/>
      <c r="CC13" s="9"/>
      <c r="CD13" s="10"/>
      <c r="CE13" s="166" t="str">
        <f t="shared" ref="CE13:CE30" si="16">+IF(CC13="","",INDEX(V_MANODEOBRA_MENSUAL,MATCH(CC13,L_PERSONAL,0)))</f>
        <v/>
      </c>
      <c r="CF13" s="167" t="str">
        <f t="shared" ref="CF13:CF30" si="17">+IF(CE13="","",INDEX(F_PRESTACIONAL,MATCH(CC13,L_PERSONAL,0)))</f>
        <v/>
      </c>
      <c r="CG13" s="165" t="str">
        <f>+IF(CE13="","",CF13*CE13)</f>
        <v/>
      </c>
      <c r="CH13" s="165" t="str">
        <f>+IF(CG13="","",CG13*CD13)</f>
        <v/>
      </c>
      <c r="CI13" s="11"/>
      <c r="CL13" s="9"/>
      <c r="CM13" s="9"/>
      <c r="CN13" s="10"/>
      <c r="CO13" s="166" t="str">
        <f t="shared" ref="CO13:CO30" si="18">+IF(CM13="","",INDEX(V_MANODEOBRA_MENSUAL,MATCH(CM13,L_PERSONAL,0)))</f>
        <v/>
      </c>
      <c r="CP13" s="167" t="str">
        <f t="shared" ref="CP13:CP30" si="19">+IF(CO13="","",INDEX(F_PRESTACIONAL,MATCH(CM13,L_PERSONAL,0)))</f>
        <v/>
      </c>
      <c r="CQ13" s="165" t="str">
        <f>+IF(CO13="","",CP13*CO13)</f>
        <v/>
      </c>
      <c r="CR13" s="165" t="str">
        <f>+IF(CQ13="","",CQ13*CN13)</f>
        <v/>
      </c>
      <c r="CS13" s="11"/>
      <c r="CV13" s="9"/>
      <c r="CW13" s="9"/>
      <c r="CX13" s="10"/>
      <c r="CY13" s="166" t="str">
        <f t="shared" ref="CY13:CY30" si="20">+IF(CW13="","",INDEX(V_MANODEOBRA_MENSUAL,MATCH(CW13,L_PERSONAL,0)))</f>
        <v/>
      </c>
      <c r="CZ13" s="167" t="str">
        <f t="shared" ref="CZ13:CZ30" si="21">+IF(CY13="","",INDEX(F_PRESTACIONAL,MATCH(CW13,L_PERSONAL,0)))</f>
        <v/>
      </c>
      <c r="DA13" s="165" t="str">
        <f>+IF(CY13="","",CZ13*CY13)</f>
        <v/>
      </c>
      <c r="DB13" s="165" t="str">
        <f>+IF(DA13="","",DA13*CX13)</f>
        <v/>
      </c>
      <c r="DC13" s="11"/>
      <c r="DF13" s="9"/>
      <c r="DG13" s="9"/>
      <c r="DH13" s="10"/>
      <c r="DI13" s="166" t="str">
        <f t="shared" ref="DI13:DI30" si="22">+IF(DG13="","",INDEX(V_MANODEOBRA_MENSUAL,MATCH(DG13,L_PERSONAL,0)))</f>
        <v/>
      </c>
      <c r="DJ13" s="167" t="str">
        <f t="shared" ref="DJ13:DJ30" si="23">+IF(DI13="","",INDEX(F_PRESTACIONAL,MATCH(DG13,L_PERSONAL,0)))</f>
        <v/>
      </c>
      <c r="DK13" s="165" t="str">
        <f>+IF(DI13="","",DJ13*DI13)</f>
        <v/>
      </c>
      <c r="DL13" s="165" t="str">
        <f>+IF(DK13="","",DK13*DH13)</f>
        <v/>
      </c>
      <c r="DM13" s="11"/>
      <c r="DP13" s="9"/>
      <c r="DQ13" s="9"/>
      <c r="DR13" s="10"/>
      <c r="DS13" s="166" t="str">
        <f t="shared" ref="DS13:DS30" si="24">+IF(DQ13="","",INDEX(V_MANODEOBRA_MENSUAL,MATCH(DQ13,L_PERSONAL,0)))</f>
        <v/>
      </c>
      <c r="DT13" s="167" t="str">
        <f t="shared" ref="DT13:DT30" si="25">+IF(DS13="","",INDEX(F_PRESTACIONAL,MATCH(DQ13,L_PERSONAL,0)))</f>
        <v/>
      </c>
      <c r="DU13" s="165" t="str">
        <f>+IF(DS13="","",DT13*DS13)</f>
        <v/>
      </c>
      <c r="DV13" s="165" t="str">
        <f>+IF(DU13="","",DU13*DR13)</f>
        <v/>
      </c>
      <c r="DW13" s="11"/>
      <c r="DZ13" s="9"/>
      <c r="EA13" s="9"/>
      <c r="EB13" s="10"/>
      <c r="EC13" s="166" t="str">
        <f t="shared" ref="EC13:EC30" si="26">+IF(EA13="","",INDEX(V_MANODEOBRA_MENSUAL,MATCH(EA13,L_PERSONAL,0)))</f>
        <v/>
      </c>
      <c r="ED13" s="167" t="str">
        <f t="shared" ref="ED13:ED30" si="27">+IF(EC13="","",INDEX(F_PRESTACIONAL,MATCH(EA13,L_PERSONAL,0)))</f>
        <v/>
      </c>
      <c r="EE13" s="165" t="str">
        <f>+IF(EC13="","",ED13*EC13)</f>
        <v/>
      </c>
      <c r="EF13" s="165" t="str">
        <f>+IF(EE13="","",EE13*EB13)</f>
        <v/>
      </c>
      <c r="EG13" s="11"/>
      <c r="EJ13" s="9"/>
      <c r="EK13" s="9"/>
      <c r="EL13" s="10"/>
      <c r="EM13" s="166" t="str">
        <f t="shared" ref="EM13:EM30" si="28">+IF(EK13="","",INDEX(V_MANODEOBRA_MENSUAL,MATCH(EK13,L_PERSONAL,0)))</f>
        <v/>
      </c>
      <c r="EN13" s="167" t="str">
        <f t="shared" ref="EN13:EN30" si="29">+IF(EM13="","",INDEX(F_PRESTACIONAL,MATCH(EK13,L_PERSONAL,0)))</f>
        <v/>
      </c>
      <c r="EO13" s="165" t="str">
        <f>+IF(EM13="","",EN13*EM13)</f>
        <v/>
      </c>
      <c r="EP13" s="165" t="str">
        <f>+IF(EO13="","",EO13*EL13)</f>
        <v/>
      </c>
      <c r="EQ13" s="11"/>
      <c r="ET13" s="9"/>
      <c r="EU13" s="9"/>
      <c r="EV13" s="10"/>
      <c r="EW13" s="166" t="str">
        <f t="shared" ref="EW13:EW30" si="30">+IF(EU13="","",INDEX(V_MANODEOBRA_MENSUAL,MATCH(EU13,L_PERSONAL,0)))</f>
        <v/>
      </c>
      <c r="EX13" s="167" t="str">
        <f t="shared" ref="EX13:EX30" si="31">+IF(EW13="","",INDEX(F_PRESTACIONAL,MATCH(EU13,L_PERSONAL,0)))</f>
        <v/>
      </c>
      <c r="EY13" s="165" t="str">
        <f>+IF(EW13="","",EX13*EW13)</f>
        <v/>
      </c>
      <c r="EZ13" s="165" t="str">
        <f>+IF(EY13="","",EY13*EV13)</f>
        <v/>
      </c>
      <c r="FA13" s="11"/>
      <c r="FD13" s="9"/>
      <c r="FE13" s="9"/>
      <c r="FF13" s="10"/>
      <c r="FG13" s="166" t="str">
        <f t="shared" ref="FG13:FG30" si="32">+IF(FE13="","",INDEX(V_MANODEOBRA_MENSUAL,MATCH(FE13,L_PERSONAL,0)))</f>
        <v/>
      </c>
      <c r="FH13" s="167" t="str">
        <f t="shared" ref="FH13:FH30" si="33">+IF(FG13="","",INDEX(F_PRESTACIONAL,MATCH(FE13,L_PERSONAL,0)))</f>
        <v/>
      </c>
      <c r="FI13" s="165" t="str">
        <f>+IF(FG13="","",FH13*FG13)</f>
        <v/>
      </c>
      <c r="FJ13" s="165" t="str">
        <f>+IF(FI13="","",FI13*FF13)</f>
        <v/>
      </c>
      <c r="FK13" s="11"/>
      <c r="FN13" s="9"/>
      <c r="FO13" s="9"/>
      <c r="FP13" s="10"/>
      <c r="FQ13" s="166" t="str">
        <f t="shared" ref="FQ13:FQ30" si="34">+IF(FO13="","",INDEX(V_MANODEOBRA_MENSUAL,MATCH(FO13,L_PERSONAL,0)))</f>
        <v/>
      </c>
      <c r="FR13" s="167" t="str">
        <f t="shared" ref="FR13:FR30" si="35">+IF(FQ13="","",INDEX(F_PRESTACIONAL,MATCH(FO13,L_PERSONAL,0)))</f>
        <v/>
      </c>
      <c r="FS13" s="165" t="str">
        <f>+IF(FQ13="","",FR13*FQ13)</f>
        <v/>
      </c>
      <c r="FT13" s="165" t="str">
        <f>+IF(FS13="","",FS13*FP13)</f>
        <v/>
      </c>
      <c r="FU13" s="11"/>
    </row>
    <row r="14" spans="1:177" x14ac:dyDescent="0.3">
      <c r="A14" s="9"/>
      <c r="B14" s="9" t="s">
        <v>474</v>
      </c>
      <c r="C14" s="10">
        <v>1</v>
      </c>
      <c r="D14" s="166" t="e">
        <f t="shared" si="0"/>
        <v>#N/A</v>
      </c>
      <c r="E14" s="167" t="e">
        <f t="shared" si="1"/>
        <v>#N/A</v>
      </c>
      <c r="F14" s="165" t="e">
        <f t="shared" ref="F14:F30" si="36">+IF(D14="","",E14*D14)</f>
        <v>#N/A</v>
      </c>
      <c r="G14" s="165" t="e">
        <f t="shared" ref="G14:G30" si="37">+IF(F14="","",F14*C14)</f>
        <v>#N/A</v>
      </c>
      <c r="H14" s="11"/>
      <c r="K14" s="9"/>
      <c r="L14" s="9" t="s">
        <v>474</v>
      </c>
      <c r="M14" s="10">
        <v>1</v>
      </c>
      <c r="N14" s="166" t="e">
        <f t="shared" si="2"/>
        <v>#N/A</v>
      </c>
      <c r="O14" s="167" t="e">
        <f t="shared" si="3"/>
        <v>#N/A</v>
      </c>
      <c r="P14" s="165" t="e">
        <f t="shared" ref="P14:P21" si="38">+IF(N14="","",O14*N14)</f>
        <v>#N/A</v>
      </c>
      <c r="Q14" s="136" t="e">
        <f t="shared" ref="Q14:Q21" si="39">+IF(P14="","",P14*M14)</f>
        <v>#N/A</v>
      </c>
      <c r="R14" s="11"/>
      <c r="U14" s="9"/>
      <c r="V14" s="9" t="s">
        <v>474</v>
      </c>
      <c r="W14" s="10">
        <v>1</v>
      </c>
      <c r="X14" s="166" t="e">
        <f t="shared" si="4"/>
        <v>#N/A</v>
      </c>
      <c r="Y14" s="167" t="e">
        <f t="shared" si="5"/>
        <v>#N/A</v>
      </c>
      <c r="Z14" s="165" t="e">
        <f t="shared" ref="Z14:Z21" si="40">+IF(X14="","",Y14*X14)</f>
        <v>#N/A</v>
      </c>
      <c r="AA14" s="165" t="e">
        <f t="shared" ref="AA14:AA21" si="41">+IF(Z14="","",Z14*W14)</f>
        <v>#N/A</v>
      </c>
      <c r="AB14" s="11"/>
      <c r="AD14" s="9"/>
      <c r="AE14" s="9" t="s">
        <v>474</v>
      </c>
      <c r="AF14" s="10">
        <v>1</v>
      </c>
      <c r="AG14" s="166" t="e">
        <f t="shared" si="6"/>
        <v>#N/A</v>
      </c>
      <c r="AH14" s="167" t="e">
        <f t="shared" si="7"/>
        <v>#N/A</v>
      </c>
      <c r="AI14" s="165" t="e">
        <f t="shared" ref="AI14:AI21" si="42">+IF(AG14="","",AH14*AG14)</f>
        <v>#N/A</v>
      </c>
      <c r="AJ14" s="165" t="e">
        <f t="shared" ref="AJ14:AJ21" si="43">+IF(AI14="","",AI14*AF14)</f>
        <v>#N/A</v>
      </c>
      <c r="AK14" s="11"/>
      <c r="AN14" s="9"/>
      <c r="AO14" s="9"/>
      <c r="AP14" s="10"/>
      <c r="AQ14" s="166" t="str">
        <f t="shared" si="8"/>
        <v/>
      </c>
      <c r="AR14" s="167" t="str">
        <f t="shared" si="9"/>
        <v/>
      </c>
      <c r="AS14" s="165" t="str">
        <f t="shared" ref="AS14:AS21" si="44">+IF(AQ14="","",AR14*AQ14)</f>
        <v/>
      </c>
      <c r="AT14" s="165" t="str">
        <f t="shared" ref="AT14:AT21" si="45">+IF(AS14="","",AS14*AP14)</f>
        <v/>
      </c>
      <c r="AU14" s="11"/>
      <c r="AX14" s="9"/>
      <c r="AY14" s="9"/>
      <c r="AZ14" s="10"/>
      <c r="BA14" s="166" t="str">
        <f t="shared" si="10"/>
        <v/>
      </c>
      <c r="BB14" s="167" t="str">
        <f t="shared" si="11"/>
        <v/>
      </c>
      <c r="BC14" s="165" t="str">
        <f t="shared" ref="BC14:BC21" si="46">+IF(BA14="","",BB14*BA14)</f>
        <v/>
      </c>
      <c r="BD14" s="165" t="str">
        <f t="shared" ref="BD14:BD21" si="47">+IF(BC14="","",BC14*AZ14)</f>
        <v/>
      </c>
      <c r="BE14" s="11"/>
      <c r="BH14" s="9"/>
      <c r="BI14" s="9"/>
      <c r="BJ14" s="10"/>
      <c r="BK14" s="166" t="str">
        <f t="shared" si="12"/>
        <v/>
      </c>
      <c r="BL14" s="167" t="str">
        <f t="shared" si="13"/>
        <v/>
      </c>
      <c r="BM14" s="165" t="str">
        <f t="shared" ref="BM14:BM21" si="48">+IF(BK14="","",BL14*BK14)</f>
        <v/>
      </c>
      <c r="BN14" s="165" t="str">
        <f t="shared" ref="BN14:BN21" si="49">+IF(BM14="","",BM14*BJ14)</f>
        <v/>
      </c>
      <c r="BO14" s="11"/>
      <c r="BR14" s="9"/>
      <c r="BS14" s="9"/>
      <c r="BT14" s="10"/>
      <c r="BU14" s="166" t="str">
        <f t="shared" si="14"/>
        <v/>
      </c>
      <c r="BV14" s="167" t="str">
        <f t="shared" si="15"/>
        <v/>
      </c>
      <c r="BW14" s="165" t="str">
        <f t="shared" ref="BW14:BW21" si="50">+IF(BU14="","",BV14*BU14)</f>
        <v/>
      </c>
      <c r="BX14" s="165" t="str">
        <f t="shared" ref="BX14:BX21" si="51">+IF(BW14="","",BW14*BT14)</f>
        <v/>
      </c>
      <c r="BY14" s="11"/>
      <c r="CB14" s="9"/>
      <c r="CC14" s="9"/>
      <c r="CD14" s="10"/>
      <c r="CE14" s="166" t="str">
        <f t="shared" si="16"/>
        <v/>
      </c>
      <c r="CF14" s="167" t="str">
        <f t="shared" si="17"/>
        <v/>
      </c>
      <c r="CG14" s="165" t="str">
        <f t="shared" ref="CG14:CG21" si="52">+IF(CE14="","",CF14*CE14)</f>
        <v/>
      </c>
      <c r="CH14" s="165" t="str">
        <f t="shared" ref="CH14:CH21" si="53">+IF(CG14="","",CG14*CD14)</f>
        <v/>
      </c>
      <c r="CI14" s="11"/>
      <c r="CL14" s="9"/>
      <c r="CM14" s="9"/>
      <c r="CN14" s="10"/>
      <c r="CO14" s="166" t="str">
        <f t="shared" si="18"/>
        <v/>
      </c>
      <c r="CP14" s="167" t="str">
        <f t="shared" si="19"/>
        <v/>
      </c>
      <c r="CQ14" s="165" t="str">
        <f t="shared" ref="CQ14:CQ21" si="54">+IF(CO14="","",CP14*CO14)</f>
        <v/>
      </c>
      <c r="CR14" s="165" t="str">
        <f t="shared" ref="CR14:CR21" si="55">+IF(CQ14="","",CQ14*CN14)</f>
        <v/>
      </c>
      <c r="CS14" s="11"/>
      <c r="CV14" s="9"/>
      <c r="CW14" s="9"/>
      <c r="CX14" s="10"/>
      <c r="CY14" s="166" t="str">
        <f t="shared" si="20"/>
        <v/>
      </c>
      <c r="CZ14" s="167" t="str">
        <f t="shared" si="21"/>
        <v/>
      </c>
      <c r="DA14" s="165" t="str">
        <f t="shared" ref="DA14:DA21" si="56">+IF(CY14="","",CZ14*CY14)</f>
        <v/>
      </c>
      <c r="DB14" s="165" t="str">
        <f t="shared" ref="DB14:DB21" si="57">+IF(DA14="","",DA14*CX14)</f>
        <v/>
      </c>
      <c r="DC14" s="11"/>
      <c r="DF14" s="9"/>
      <c r="DG14" s="9"/>
      <c r="DH14" s="10"/>
      <c r="DI14" s="166" t="str">
        <f t="shared" si="22"/>
        <v/>
      </c>
      <c r="DJ14" s="167" t="str">
        <f t="shared" si="23"/>
        <v/>
      </c>
      <c r="DK14" s="165" t="str">
        <f t="shared" ref="DK14:DK21" si="58">+IF(DI14="","",DJ14*DI14)</f>
        <v/>
      </c>
      <c r="DL14" s="165" t="str">
        <f t="shared" ref="DL14:DL21" si="59">+IF(DK14="","",DK14*DH14)</f>
        <v/>
      </c>
      <c r="DM14" s="11"/>
      <c r="DP14" s="9"/>
      <c r="DQ14" s="9"/>
      <c r="DR14" s="10"/>
      <c r="DS14" s="166" t="str">
        <f t="shared" si="24"/>
        <v/>
      </c>
      <c r="DT14" s="167" t="str">
        <f t="shared" si="25"/>
        <v/>
      </c>
      <c r="DU14" s="165" t="str">
        <f t="shared" ref="DU14:DU21" si="60">+IF(DS14="","",DT14*DS14)</f>
        <v/>
      </c>
      <c r="DV14" s="165" t="str">
        <f t="shared" ref="DV14:DV21" si="61">+IF(DU14="","",DU14*DR14)</f>
        <v/>
      </c>
      <c r="DW14" s="11"/>
      <c r="DZ14" s="9"/>
      <c r="EA14" s="9"/>
      <c r="EB14" s="10"/>
      <c r="EC14" s="166" t="str">
        <f t="shared" si="26"/>
        <v/>
      </c>
      <c r="ED14" s="167" t="str">
        <f t="shared" si="27"/>
        <v/>
      </c>
      <c r="EE14" s="165" t="str">
        <f t="shared" ref="EE14:EE21" si="62">+IF(EC14="","",ED14*EC14)</f>
        <v/>
      </c>
      <c r="EF14" s="165" t="str">
        <f t="shared" ref="EF14:EF21" si="63">+IF(EE14="","",EE14*EB14)</f>
        <v/>
      </c>
      <c r="EG14" s="11"/>
      <c r="EJ14" s="9"/>
      <c r="EK14" s="9"/>
      <c r="EL14" s="10"/>
      <c r="EM14" s="166" t="str">
        <f t="shared" si="28"/>
        <v/>
      </c>
      <c r="EN14" s="167" t="str">
        <f t="shared" si="29"/>
        <v/>
      </c>
      <c r="EO14" s="165" t="str">
        <f t="shared" ref="EO14:EO21" si="64">+IF(EM14="","",EN14*EM14)</f>
        <v/>
      </c>
      <c r="EP14" s="165" t="str">
        <f t="shared" ref="EP14:EP21" si="65">+IF(EO14="","",EO14*EL14)</f>
        <v/>
      </c>
      <c r="EQ14" s="11"/>
      <c r="ET14" s="9"/>
      <c r="EU14" s="9"/>
      <c r="EV14" s="10"/>
      <c r="EW14" s="166" t="str">
        <f t="shared" si="30"/>
        <v/>
      </c>
      <c r="EX14" s="167" t="str">
        <f t="shared" si="31"/>
        <v/>
      </c>
      <c r="EY14" s="165" t="str">
        <f t="shared" ref="EY14:EY21" si="66">+IF(EW14="","",EX14*EW14)</f>
        <v/>
      </c>
      <c r="EZ14" s="165" t="str">
        <f t="shared" ref="EZ14:EZ21" si="67">+IF(EY14="","",EY14*EV14)</f>
        <v/>
      </c>
      <c r="FA14" s="11"/>
      <c r="FD14" s="9"/>
      <c r="FE14" s="9"/>
      <c r="FF14" s="10"/>
      <c r="FG14" s="166" t="str">
        <f t="shared" si="32"/>
        <v/>
      </c>
      <c r="FH14" s="167" t="str">
        <f t="shared" si="33"/>
        <v/>
      </c>
      <c r="FI14" s="165" t="str">
        <f t="shared" ref="FI14:FI21" si="68">+IF(FG14="","",FH14*FG14)</f>
        <v/>
      </c>
      <c r="FJ14" s="165" t="str">
        <f t="shared" ref="FJ14:FJ21" si="69">+IF(FI14="","",FI14*FF14)</f>
        <v/>
      </c>
      <c r="FK14" s="11"/>
      <c r="FN14" s="9"/>
      <c r="FO14" s="9"/>
      <c r="FP14" s="10"/>
      <c r="FQ14" s="166" t="str">
        <f t="shared" si="34"/>
        <v/>
      </c>
      <c r="FR14" s="167" t="str">
        <f t="shared" si="35"/>
        <v/>
      </c>
      <c r="FS14" s="165" t="str">
        <f t="shared" ref="FS14:FS21" si="70">+IF(FQ14="","",FR14*FQ14)</f>
        <v/>
      </c>
      <c r="FT14" s="165" t="str">
        <f t="shared" ref="FT14:FT21" si="71">+IF(FS14="","",FS14*FP14)</f>
        <v/>
      </c>
      <c r="FU14" s="11"/>
    </row>
    <row r="15" spans="1:177" x14ac:dyDescent="0.3">
      <c r="A15" s="9"/>
      <c r="B15" s="9" t="s">
        <v>316</v>
      </c>
      <c r="C15" s="10">
        <v>1</v>
      </c>
      <c r="D15" s="166">
        <f t="shared" si="0"/>
        <v>4000000</v>
      </c>
      <c r="E15" s="167">
        <f t="shared" si="1"/>
        <v>2.0102000000000002</v>
      </c>
      <c r="F15" s="165">
        <f t="shared" si="36"/>
        <v>8040800.0000000009</v>
      </c>
      <c r="G15" s="165">
        <f t="shared" si="37"/>
        <v>8040800.0000000009</v>
      </c>
      <c r="H15" s="11"/>
      <c r="K15" s="9"/>
      <c r="L15" s="9" t="s">
        <v>316</v>
      </c>
      <c r="M15" s="10">
        <v>1</v>
      </c>
      <c r="N15" s="166">
        <f t="shared" si="2"/>
        <v>4000000</v>
      </c>
      <c r="O15" s="167">
        <f t="shared" si="3"/>
        <v>2.0102000000000002</v>
      </c>
      <c r="P15" s="165">
        <f t="shared" si="38"/>
        <v>8040800.0000000009</v>
      </c>
      <c r="Q15" s="136">
        <f t="shared" si="39"/>
        <v>8040800.0000000009</v>
      </c>
      <c r="R15" s="11"/>
      <c r="U15" s="9"/>
      <c r="V15" s="9" t="s">
        <v>316</v>
      </c>
      <c r="W15" s="10">
        <v>1</v>
      </c>
      <c r="X15" s="166">
        <f t="shared" si="4"/>
        <v>4000000</v>
      </c>
      <c r="Y15" s="167">
        <f t="shared" si="5"/>
        <v>2.0102000000000002</v>
      </c>
      <c r="Z15" s="165">
        <f t="shared" si="40"/>
        <v>8040800.0000000009</v>
      </c>
      <c r="AA15" s="165">
        <f t="shared" si="41"/>
        <v>8040800.0000000009</v>
      </c>
      <c r="AB15" s="11"/>
      <c r="AD15" s="9"/>
      <c r="AE15" s="9" t="s">
        <v>316</v>
      </c>
      <c r="AF15" s="10">
        <v>1</v>
      </c>
      <c r="AG15" s="166">
        <f t="shared" si="6"/>
        <v>4000000</v>
      </c>
      <c r="AH15" s="167">
        <f t="shared" si="7"/>
        <v>2.0102000000000002</v>
      </c>
      <c r="AI15" s="165">
        <f t="shared" si="42"/>
        <v>8040800.0000000009</v>
      </c>
      <c r="AJ15" s="165">
        <f t="shared" si="43"/>
        <v>8040800.0000000009</v>
      </c>
      <c r="AK15" s="11"/>
      <c r="AN15" s="9"/>
      <c r="AO15" s="9"/>
      <c r="AP15" s="10"/>
      <c r="AQ15" s="166" t="str">
        <f t="shared" si="8"/>
        <v/>
      </c>
      <c r="AR15" s="167" t="str">
        <f t="shared" si="9"/>
        <v/>
      </c>
      <c r="AS15" s="165" t="str">
        <f t="shared" si="44"/>
        <v/>
      </c>
      <c r="AT15" s="165" t="str">
        <f t="shared" si="45"/>
        <v/>
      </c>
      <c r="AU15" s="11"/>
      <c r="AX15" s="9"/>
      <c r="AY15" s="9"/>
      <c r="AZ15" s="10"/>
      <c r="BA15" s="166" t="str">
        <f t="shared" si="10"/>
        <v/>
      </c>
      <c r="BB15" s="167" t="str">
        <f t="shared" si="11"/>
        <v/>
      </c>
      <c r="BC15" s="165" t="str">
        <f t="shared" si="46"/>
        <v/>
      </c>
      <c r="BD15" s="165" t="str">
        <f t="shared" si="47"/>
        <v/>
      </c>
      <c r="BE15" s="11"/>
      <c r="BH15" s="9"/>
      <c r="BI15" s="9"/>
      <c r="BJ15" s="10"/>
      <c r="BK15" s="166" t="str">
        <f t="shared" si="12"/>
        <v/>
      </c>
      <c r="BL15" s="167" t="str">
        <f t="shared" si="13"/>
        <v/>
      </c>
      <c r="BM15" s="165" t="str">
        <f t="shared" si="48"/>
        <v/>
      </c>
      <c r="BN15" s="165" t="str">
        <f t="shared" si="49"/>
        <v/>
      </c>
      <c r="BO15" s="11"/>
      <c r="BR15" s="9"/>
      <c r="BS15" s="9"/>
      <c r="BT15" s="10"/>
      <c r="BU15" s="166" t="str">
        <f t="shared" si="14"/>
        <v/>
      </c>
      <c r="BV15" s="167" t="str">
        <f t="shared" si="15"/>
        <v/>
      </c>
      <c r="BW15" s="165" t="str">
        <f t="shared" si="50"/>
        <v/>
      </c>
      <c r="BX15" s="165" t="str">
        <f t="shared" si="51"/>
        <v/>
      </c>
      <c r="BY15" s="11"/>
      <c r="CB15" s="9"/>
      <c r="CC15" s="9"/>
      <c r="CD15" s="10"/>
      <c r="CE15" s="166" t="str">
        <f t="shared" si="16"/>
        <v/>
      </c>
      <c r="CF15" s="167" t="str">
        <f t="shared" si="17"/>
        <v/>
      </c>
      <c r="CG15" s="165" t="str">
        <f t="shared" si="52"/>
        <v/>
      </c>
      <c r="CH15" s="165" t="str">
        <f t="shared" si="53"/>
        <v/>
      </c>
      <c r="CI15" s="11"/>
      <c r="CL15" s="9"/>
      <c r="CM15" s="9"/>
      <c r="CN15" s="10"/>
      <c r="CO15" s="166" t="str">
        <f t="shared" si="18"/>
        <v/>
      </c>
      <c r="CP15" s="167" t="str">
        <f t="shared" si="19"/>
        <v/>
      </c>
      <c r="CQ15" s="165" t="str">
        <f t="shared" si="54"/>
        <v/>
      </c>
      <c r="CR15" s="165" t="str">
        <f t="shared" si="55"/>
        <v/>
      </c>
      <c r="CS15" s="11"/>
      <c r="CV15" s="9"/>
      <c r="CW15" s="9"/>
      <c r="CX15" s="10"/>
      <c r="CY15" s="166" t="str">
        <f t="shared" si="20"/>
        <v/>
      </c>
      <c r="CZ15" s="167" t="str">
        <f t="shared" si="21"/>
        <v/>
      </c>
      <c r="DA15" s="165" t="str">
        <f t="shared" si="56"/>
        <v/>
      </c>
      <c r="DB15" s="165" t="str">
        <f t="shared" si="57"/>
        <v/>
      </c>
      <c r="DC15" s="11"/>
      <c r="DF15" s="9"/>
      <c r="DG15" s="9"/>
      <c r="DH15" s="10"/>
      <c r="DI15" s="166" t="str">
        <f t="shared" si="22"/>
        <v/>
      </c>
      <c r="DJ15" s="167" t="str">
        <f t="shared" si="23"/>
        <v/>
      </c>
      <c r="DK15" s="165" t="str">
        <f t="shared" si="58"/>
        <v/>
      </c>
      <c r="DL15" s="165" t="str">
        <f t="shared" si="59"/>
        <v/>
      </c>
      <c r="DM15" s="11"/>
      <c r="DP15" s="9"/>
      <c r="DQ15" s="9"/>
      <c r="DR15" s="10"/>
      <c r="DS15" s="166" t="str">
        <f t="shared" si="24"/>
        <v/>
      </c>
      <c r="DT15" s="167" t="str">
        <f t="shared" si="25"/>
        <v/>
      </c>
      <c r="DU15" s="165" t="str">
        <f t="shared" si="60"/>
        <v/>
      </c>
      <c r="DV15" s="165" t="str">
        <f t="shared" si="61"/>
        <v/>
      </c>
      <c r="DW15" s="11"/>
      <c r="DZ15" s="9"/>
      <c r="EA15" s="9"/>
      <c r="EB15" s="10"/>
      <c r="EC15" s="166" t="str">
        <f t="shared" si="26"/>
        <v/>
      </c>
      <c r="ED15" s="167" t="str">
        <f t="shared" si="27"/>
        <v/>
      </c>
      <c r="EE15" s="165" t="str">
        <f t="shared" si="62"/>
        <v/>
      </c>
      <c r="EF15" s="165" t="str">
        <f t="shared" si="63"/>
        <v/>
      </c>
      <c r="EG15" s="11"/>
      <c r="EJ15" s="9"/>
      <c r="EK15" s="9"/>
      <c r="EL15" s="10"/>
      <c r="EM15" s="166" t="str">
        <f t="shared" si="28"/>
        <v/>
      </c>
      <c r="EN15" s="167" t="str">
        <f t="shared" si="29"/>
        <v/>
      </c>
      <c r="EO15" s="165" t="str">
        <f t="shared" si="64"/>
        <v/>
      </c>
      <c r="EP15" s="165" t="str">
        <f t="shared" si="65"/>
        <v/>
      </c>
      <c r="EQ15" s="11"/>
      <c r="ET15" s="9"/>
      <c r="EU15" s="9"/>
      <c r="EV15" s="10"/>
      <c r="EW15" s="166" t="str">
        <f t="shared" si="30"/>
        <v/>
      </c>
      <c r="EX15" s="167" t="str">
        <f t="shared" si="31"/>
        <v/>
      </c>
      <c r="EY15" s="165" t="str">
        <f t="shared" si="66"/>
        <v/>
      </c>
      <c r="EZ15" s="165" t="str">
        <f t="shared" si="67"/>
        <v/>
      </c>
      <c r="FA15" s="11"/>
      <c r="FD15" s="9"/>
      <c r="FE15" s="9"/>
      <c r="FF15" s="10"/>
      <c r="FG15" s="166" t="str">
        <f t="shared" si="32"/>
        <v/>
      </c>
      <c r="FH15" s="167" t="str">
        <f t="shared" si="33"/>
        <v/>
      </c>
      <c r="FI15" s="165" t="str">
        <f t="shared" si="68"/>
        <v/>
      </c>
      <c r="FJ15" s="165" t="str">
        <f t="shared" si="69"/>
        <v/>
      </c>
      <c r="FK15" s="11"/>
      <c r="FN15" s="9"/>
      <c r="FO15" s="9"/>
      <c r="FP15" s="10"/>
      <c r="FQ15" s="166" t="str">
        <f t="shared" si="34"/>
        <v/>
      </c>
      <c r="FR15" s="167" t="str">
        <f t="shared" si="35"/>
        <v/>
      </c>
      <c r="FS15" s="165" t="str">
        <f t="shared" si="70"/>
        <v/>
      </c>
      <c r="FT15" s="165" t="str">
        <f t="shared" si="71"/>
        <v/>
      </c>
      <c r="FU15" s="11"/>
    </row>
    <row r="16" spans="1:177" x14ac:dyDescent="0.3">
      <c r="A16" s="9"/>
      <c r="B16" s="9" t="s">
        <v>309</v>
      </c>
      <c r="C16" s="10">
        <v>1</v>
      </c>
      <c r="D16" s="166">
        <f t="shared" si="0"/>
        <v>4000000</v>
      </c>
      <c r="E16" s="167">
        <f t="shared" si="1"/>
        <v>2.0102000000000002</v>
      </c>
      <c r="F16" s="165">
        <f t="shared" si="36"/>
        <v>8040800.0000000009</v>
      </c>
      <c r="G16" s="165">
        <f t="shared" si="37"/>
        <v>8040800.0000000009</v>
      </c>
      <c r="H16" s="11"/>
      <c r="K16" s="9"/>
      <c r="L16" s="9" t="s">
        <v>309</v>
      </c>
      <c r="M16" s="10">
        <v>1</v>
      </c>
      <c r="N16" s="166">
        <f t="shared" si="2"/>
        <v>4000000</v>
      </c>
      <c r="O16" s="167">
        <f t="shared" si="3"/>
        <v>2.0102000000000002</v>
      </c>
      <c r="P16" s="165">
        <f t="shared" si="38"/>
        <v>8040800.0000000009</v>
      </c>
      <c r="Q16" s="136">
        <f t="shared" si="39"/>
        <v>8040800.0000000009</v>
      </c>
      <c r="R16" s="11"/>
      <c r="U16" s="9"/>
      <c r="V16" s="9" t="s">
        <v>309</v>
      </c>
      <c r="W16" s="10">
        <v>1</v>
      </c>
      <c r="X16" s="166">
        <f t="shared" si="4"/>
        <v>4000000</v>
      </c>
      <c r="Y16" s="167">
        <f t="shared" si="5"/>
        <v>2.0102000000000002</v>
      </c>
      <c r="Z16" s="165">
        <f t="shared" si="40"/>
        <v>8040800.0000000009</v>
      </c>
      <c r="AA16" s="165">
        <f t="shared" si="41"/>
        <v>8040800.0000000009</v>
      </c>
      <c r="AB16" s="11"/>
      <c r="AD16" s="9"/>
      <c r="AE16" s="9" t="s">
        <v>309</v>
      </c>
      <c r="AF16" s="10">
        <v>1</v>
      </c>
      <c r="AG16" s="166">
        <f t="shared" si="6"/>
        <v>4000000</v>
      </c>
      <c r="AH16" s="167">
        <f t="shared" si="7"/>
        <v>2.0102000000000002</v>
      </c>
      <c r="AI16" s="165">
        <f t="shared" si="42"/>
        <v>8040800.0000000009</v>
      </c>
      <c r="AJ16" s="165">
        <f t="shared" si="43"/>
        <v>8040800.0000000009</v>
      </c>
      <c r="AK16" s="11"/>
      <c r="AN16" s="9"/>
      <c r="AO16" s="9"/>
      <c r="AP16" s="10"/>
      <c r="AQ16" s="166" t="str">
        <f t="shared" si="8"/>
        <v/>
      </c>
      <c r="AR16" s="167" t="str">
        <f t="shared" si="9"/>
        <v/>
      </c>
      <c r="AS16" s="165" t="str">
        <f t="shared" si="44"/>
        <v/>
      </c>
      <c r="AT16" s="165" t="str">
        <f t="shared" si="45"/>
        <v/>
      </c>
      <c r="AU16" s="11"/>
      <c r="AX16" s="9"/>
      <c r="AY16" s="9"/>
      <c r="AZ16" s="10"/>
      <c r="BA16" s="166" t="str">
        <f t="shared" si="10"/>
        <v/>
      </c>
      <c r="BB16" s="167" t="str">
        <f t="shared" si="11"/>
        <v/>
      </c>
      <c r="BC16" s="165" t="str">
        <f t="shared" si="46"/>
        <v/>
      </c>
      <c r="BD16" s="165" t="str">
        <f t="shared" si="47"/>
        <v/>
      </c>
      <c r="BE16" s="11"/>
      <c r="BH16" s="9"/>
      <c r="BI16" s="9"/>
      <c r="BJ16" s="10"/>
      <c r="BK16" s="166" t="str">
        <f t="shared" si="12"/>
        <v/>
      </c>
      <c r="BL16" s="167" t="str">
        <f t="shared" si="13"/>
        <v/>
      </c>
      <c r="BM16" s="165" t="str">
        <f t="shared" si="48"/>
        <v/>
      </c>
      <c r="BN16" s="165" t="str">
        <f t="shared" si="49"/>
        <v/>
      </c>
      <c r="BO16" s="11"/>
      <c r="BR16" s="9"/>
      <c r="BS16" s="9"/>
      <c r="BT16" s="10"/>
      <c r="BU16" s="166" t="str">
        <f t="shared" si="14"/>
        <v/>
      </c>
      <c r="BV16" s="167" t="str">
        <f t="shared" si="15"/>
        <v/>
      </c>
      <c r="BW16" s="165" t="str">
        <f t="shared" si="50"/>
        <v/>
      </c>
      <c r="BX16" s="165" t="str">
        <f t="shared" si="51"/>
        <v/>
      </c>
      <c r="BY16" s="11"/>
      <c r="CB16" s="9"/>
      <c r="CC16" s="9"/>
      <c r="CD16" s="10"/>
      <c r="CE16" s="166" t="str">
        <f t="shared" si="16"/>
        <v/>
      </c>
      <c r="CF16" s="167" t="str">
        <f t="shared" si="17"/>
        <v/>
      </c>
      <c r="CG16" s="165" t="str">
        <f t="shared" si="52"/>
        <v/>
      </c>
      <c r="CH16" s="165" t="str">
        <f t="shared" si="53"/>
        <v/>
      </c>
      <c r="CI16" s="11"/>
      <c r="CL16" s="9"/>
      <c r="CM16" s="9"/>
      <c r="CN16" s="10"/>
      <c r="CO16" s="166" t="str">
        <f t="shared" si="18"/>
        <v/>
      </c>
      <c r="CP16" s="167" t="str">
        <f t="shared" si="19"/>
        <v/>
      </c>
      <c r="CQ16" s="165" t="str">
        <f t="shared" si="54"/>
        <v/>
      </c>
      <c r="CR16" s="165" t="str">
        <f t="shared" si="55"/>
        <v/>
      </c>
      <c r="CS16" s="11"/>
      <c r="CV16" s="9"/>
      <c r="CW16" s="9"/>
      <c r="CX16" s="10"/>
      <c r="CY16" s="166" t="str">
        <f t="shared" si="20"/>
        <v/>
      </c>
      <c r="CZ16" s="167" t="str">
        <f t="shared" si="21"/>
        <v/>
      </c>
      <c r="DA16" s="165" t="str">
        <f t="shared" si="56"/>
        <v/>
      </c>
      <c r="DB16" s="165" t="str">
        <f t="shared" si="57"/>
        <v/>
      </c>
      <c r="DC16" s="11"/>
      <c r="DF16" s="9"/>
      <c r="DG16" s="9"/>
      <c r="DH16" s="10"/>
      <c r="DI16" s="166" t="str">
        <f t="shared" si="22"/>
        <v/>
      </c>
      <c r="DJ16" s="167" t="str">
        <f t="shared" si="23"/>
        <v/>
      </c>
      <c r="DK16" s="165" t="str">
        <f t="shared" si="58"/>
        <v/>
      </c>
      <c r="DL16" s="165" t="str">
        <f t="shared" si="59"/>
        <v/>
      </c>
      <c r="DM16" s="11"/>
      <c r="DP16" s="9"/>
      <c r="DQ16" s="9"/>
      <c r="DR16" s="10"/>
      <c r="DS16" s="166" t="str">
        <f t="shared" si="24"/>
        <v/>
      </c>
      <c r="DT16" s="167" t="str">
        <f t="shared" si="25"/>
        <v/>
      </c>
      <c r="DU16" s="165" t="str">
        <f t="shared" si="60"/>
        <v/>
      </c>
      <c r="DV16" s="165" t="str">
        <f t="shared" si="61"/>
        <v/>
      </c>
      <c r="DW16" s="11"/>
      <c r="DZ16" s="9"/>
      <c r="EA16" s="9"/>
      <c r="EB16" s="10"/>
      <c r="EC16" s="166" t="str">
        <f t="shared" si="26"/>
        <v/>
      </c>
      <c r="ED16" s="167" t="str">
        <f t="shared" si="27"/>
        <v/>
      </c>
      <c r="EE16" s="165" t="str">
        <f t="shared" si="62"/>
        <v/>
      </c>
      <c r="EF16" s="165" t="str">
        <f t="shared" si="63"/>
        <v/>
      </c>
      <c r="EG16" s="11"/>
      <c r="EJ16" s="9"/>
      <c r="EK16" s="9"/>
      <c r="EL16" s="10"/>
      <c r="EM16" s="166" t="str">
        <f t="shared" si="28"/>
        <v/>
      </c>
      <c r="EN16" s="167" t="str">
        <f t="shared" si="29"/>
        <v/>
      </c>
      <c r="EO16" s="165" t="str">
        <f t="shared" si="64"/>
        <v/>
      </c>
      <c r="EP16" s="165" t="str">
        <f t="shared" si="65"/>
        <v/>
      </c>
      <c r="EQ16" s="11"/>
      <c r="ET16" s="9"/>
      <c r="EU16" s="9"/>
      <c r="EV16" s="10"/>
      <c r="EW16" s="166" t="str">
        <f t="shared" si="30"/>
        <v/>
      </c>
      <c r="EX16" s="167" t="str">
        <f t="shared" si="31"/>
        <v/>
      </c>
      <c r="EY16" s="165" t="str">
        <f t="shared" si="66"/>
        <v/>
      </c>
      <c r="EZ16" s="165" t="str">
        <f t="shared" si="67"/>
        <v/>
      </c>
      <c r="FA16" s="11"/>
      <c r="FD16" s="9"/>
      <c r="FE16" s="9"/>
      <c r="FF16" s="10"/>
      <c r="FG16" s="166" t="str">
        <f t="shared" si="32"/>
        <v/>
      </c>
      <c r="FH16" s="167" t="str">
        <f t="shared" si="33"/>
        <v/>
      </c>
      <c r="FI16" s="165" t="str">
        <f t="shared" si="68"/>
        <v/>
      </c>
      <c r="FJ16" s="165" t="str">
        <f t="shared" si="69"/>
        <v/>
      </c>
      <c r="FK16" s="11"/>
      <c r="FN16" s="9"/>
      <c r="FO16" s="9"/>
      <c r="FP16" s="10"/>
      <c r="FQ16" s="166" t="str">
        <f t="shared" si="34"/>
        <v/>
      </c>
      <c r="FR16" s="167" t="str">
        <f t="shared" si="35"/>
        <v/>
      </c>
      <c r="FS16" s="165" t="str">
        <f t="shared" si="70"/>
        <v/>
      </c>
      <c r="FT16" s="165" t="str">
        <f t="shared" si="71"/>
        <v/>
      </c>
      <c r="FU16" s="11"/>
    </row>
    <row r="17" spans="1:177" x14ac:dyDescent="0.3">
      <c r="A17" s="9"/>
      <c r="B17" s="9" t="s">
        <v>300</v>
      </c>
      <c r="C17" s="10">
        <v>1</v>
      </c>
      <c r="D17" s="166">
        <f t="shared" si="0"/>
        <v>4000000</v>
      </c>
      <c r="E17" s="167">
        <f t="shared" si="1"/>
        <v>2.0102000000000002</v>
      </c>
      <c r="F17" s="165">
        <f t="shared" si="36"/>
        <v>8040800.0000000009</v>
      </c>
      <c r="G17" s="165">
        <f t="shared" si="37"/>
        <v>8040800.0000000009</v>
      </c>
      <c r="H17" s="11"/>
      <c r="K17" s="9"/>
      <c r="L17" s="9" t="s">
        <v>300</v>
      </c>
      <c r="M17" s="10">
        <v>1</v>
      </c>
      <c r="N17" s="166">
        <f t="shared" si="2"/>
        <v>4000000</v>
      </c>
      <c r="O17" s="167">
        <f t="shared" si="3"/>
        <v>2.0102000000000002</v>
      </c>
      <c r="P17" s="165">
        <f t="shared" si="38"/>
        <v>8040800.0000000009</v>
      </c>
      <c r="Q17" s="136">
        <f t="shared" si="39"/>
        <v>8040800.0000000009</v>
      </c>
      <c r="R17" s="11"/>
      <c r="U17" s="9"/>
      <c r="V17" s="9" t="s">
        <v>300</v>
      </c>
      <c r="W17" s="10">
        <v>1</v>
      </c>
      <c r="X17" s="166">
        <f t="shared" si="4"/>
        <v>4000000</v>
      </c>
      <c r="Y17" s="167">
        <f t="shared" si="5"/>
        <v>2.0102000000000002</v>
      </c>
      <c r="Z17" s="165">
        <f t="shared" si="40"/>
        <v>8040800.0000000009</v>
      </c>
      <c r="AA17" s="165">
        <f t="shared" si="41"/>
        <v>8040800.0000000009</v>
      </c>
      <c r="AB17" s="11"/>
      <c r="AD17" s="9"/>
      <c r="AE17" s="9" t="s">
        <v>300</v>
      </c>
      <c r="AF17" s="10">
        <v>1</v>
      </c>
      <c r="AG17" s="166">
        <f t="shared" si="6"/>
        <v>4000000</v>
      </c>
      <c r="AH17" s="167">
        <f t="shared" si="7"/>
        <v>2.0102000000000002</v>
      </c>
      <c r="AI17" s="165">
        <f t="shared" si="42"/>
        <v>8040800.0000000009</v>
      </c>
      <c r="AJ17" s="165">
        <f t="shared" si="43"/>
        <v>8040800.0000000009</v>
      </c>
      <c r="AK17" s="11"/>
      <c r="AN17" s="9"/>
      <c r="AO17" s="9"/>
      <c r="AP17" s="10"/>
      <c r="AQ17" s="166" t="str">
        <f t="shared" si="8"/>
        <v/>
      </c>
      <c r="AR17" s="167" t="str">
        <f t="shared" si="9"/>
        <v/>
      </c>
      <c r="AS17" s="165" t="str">
        <f t="shared" si="44"/>
        <v/>
      </c>
      <c r="AT17" s="165" t="str">
        <f t="shared" si="45"/>
        <v/>
      </c>
      <c r="AU17" s="11"/>
      <c r="AX17" s="9"/>
      <c r="AY17" s="9"/>
      <c r="AZ17" s="10"/>
      <c r="BA17" s="166" t="str">
        <f t="shared" si="10"/>
        <v/>
      </c>
      <c r="BB17" s="167" t="str">
        <f t="shared" si="11"/>
        <v/>
      </c>
      <c r="BC17" s="165" t="str">
        <f t="shared" si="46"/>
        <v/>
      </c>
      <c r="BD17" s="165" t="str">
        <f t="shared" si="47"/>
        <v/>
      </c>
      <c r="BE17" s="11"/>
      <c r="BH17" s="9"/>
      <c r="BI17" s="9"/>
      <c r="BJ17" s="10"/>
      <c r="BK17" s="166" t="str">
        <f t="shared" si="12"/>
        <v/>
      </c>
      <c r="BL17" s="167" t="str">
        <f t="shared" si="13"/>
        <v/>
      </c>
      <c r="BM17" s="165" t="str">
        <f t="shared" si="48"/>
        <v/>
      </c>
      <c r="BN17" s="165" t="str">
        <f t="shared" si="49"/>
        <v/>
      </c>
      <c r="BO17" s="11"/>
      <c r="BR17" s="9"/>
      <c r="BS17" s="9"/>
      <c r="BT17" s="10"/>
      <c r="BU17" s="166" t="str">
        <f t="shared" si="14"/>
        <v/>
      </c>
      <c r="BV17" s="167" t="str">
        <f t="shared" si="15"/>
        <v/>
      </c>
      <c r="BW17" s="165" t="str">
        <f t="shared" si="50"/>
        <v/>
      </c>
      <c r="BX17" s="165" t="str">
        <f t="shared" si="51"/>
        <v/>
      </c>
      <c r="BY17" s="11"/>
      <c r="CB17" s="9"/>
      <c r="CC17" s="9"/>
      <c r="CD17" s="10"/>
      <c r="CE17" s="166" t="str">
        <f t="shared" si="16"/>
        <v/>
      </c>
      <c r="CF17" s="167" t="str">
        <f t="shared" si="17"/>
        <v/>
      </c>
      <c r="CG17" s="165" t="str">
        <f t="shared" si="52"/>
        <v/>
      </c>
      <c r="CH17" s="165" t="str">
        <f t="shared" si="53"/>
        <v/>
      </c>
      <c r="CI17" s="11"/>
      <c r="CL17" s="9"/>
      <c r="CM17" s="9"/>
      <c r="CN17" s="10"/>
      <c r="CO17" s="166" t="str">
        <f t="shared" si="18"/>
        <v/>
      </c>
      <c r="CP17" s="167" t="str">
        <f t="shared" si="19"/>
        <v/>
      </c>
      <c r="CQ17" s="165" t="str">
        <f t="shared" si="54"/>
        <v/>
      </c>
      <c r="CR17" s="165" t="str">
        <f t="shared" si="55"/>
        <v/>
      </c>
      <c r="CS17" s="11"/>
      <c r="CV17" s="9"/>
      <c r="CW17" s="9"/>
      <c r="CX17" s="10"/>
      <c r="CY17" s="166" t="str">
        <f t="shared" si="20"/>
        <v/>
      </c>
      <c r="CZ17" s="167" t="str">
        <f t="shared" si="21"/>
        <v/>
      </c>
      <c r="DA17" s="165" t="str">
        <f t="shared" si="56"/>
        <v/>
      </c>
      <c r="DB17" s="165" t="str">
        <f t="shared" si="57"/>
        <v/>
      </c>
      <c r="DC17" s="11"/>
      <c r="DF17" s="9"/>
      <c r="DG17" s="9"/>
      <c r="DH17" s="10"/>
      <c r="DI17" s="166" t="str">
        <f t="shared" si="22"/>
        <v/>
      </c>
      <c r="DJ17" s="167" t="str">
        <f t="shared" si="23"/>
        <v/>
      </c>
      <c r="DK17" s="165" t="str">
        <f t="shared" si="58"/>
        <v/>
      </c>
      <c r="DL17" s="165" t="str">
        <f t="shared" si="59"/>
        <v/>
      </c>
      <c r="DM17" s="11"/>
      <c r="DP17" s="9"/>
      <c r="DQ17" s="9"/>
      <c r="DR17" s="10"/>
      <c r="DS17" s="166" t="str">
        <f t="shared" si="24"/>
        <v/>
      </c>
      <c r="DT17" s="167" t="str">
        <f t="shared" si="25"/>
        <v/>
      </c>
      <c r="DU17" s="165" t="str">
        <f t="shared" si="60"/>
        <v/>
      </c>
      <c r="DV17" s="165" t="str">
        <f t="shared" si="61"/>
        <v/>
      </c>
      <c r="DW17" s="11"/>
      <c r="DZ17" s="9"/>
      <c r="EA17" s="9"/>
      <c r="EB17" s="10"/>
      <c r="EC17" s="166" t="str">
        <f t="shared" si="26"/>
        <v/>
      </c>
      <c r="ED17" s="167" t="str">
        <f t="shared" si="27"/>
        <v/>
      </c>
      <c r="EE17" s="165" t="str">
        <f t="shared" si="62"/>
        <v/>
      </c>
      <c r="EF17" s="165" t="str">
        <f t="shared" si="63"/>
        <v/>
      </c>
      <c r="EG17" s="11"/>
      <c r="EJ17" s="9"/>
      <c r="EK17" s="9"/>
      <c r="EL17" s="10"/>
      <c r="EM17" s="166" t="str">
        <f t="shared" si="28"/>
        <v/>
      </c>
      <c r="EN17" s="167" t="str">
        <f t="shared" si="29"/>
        <v/>
      </c>
      <c r="EO17" s="165" t="str">
        <f t="shared" si="64"/>
        <v/>
      </c>
      <c r="EP17" s="165" t="str">
        <f t="shared" si="65"/>
        <v/>
      </c>
      <c r="EQ17" s="11"/>
      <c r="ET17" s="9"/>
      <c r="EU17" s="9"/>
      <c r="EV17" s="10"/>
      <c r="EW17" s="166" t="str">
        <f t="shared" si="30"/>
        <v/>
      </c>
      <c r="EX17" s="167" t="str">
        <f t="shared" si="31"/>
        <v/>
      </c>
      <c r="EY17" s="165" t="str">
        <f t="shared" si="66"/>
        <v/>
      </c>
      <c r="EZ17" s="165" t="str">
        <f t="shared" si="67"/>
        <v/>
      </c>
      <c r="FA17" s="11"/>
      <c r="FD17" s="9"/>
      <c r="FE17" s="9"/>
      <c r="FF17" s="10"/>
      <c r="FG17" s="166" t="str">
        <f t="shared" si="32"/>
        <v/>
      </c>
      <c r="FH17" s="167" t="str">
        <f t="shared" si="33"/>
        <v/>
      </c>
      <c r="FI17" s="165" t="str">
        <f t="shared" si="68"/>
        <v/>
      </c>
      <c r="FJ17" s="165" t="str">
        <f t="shared" si="69"/>
        <v/>
      </c>
      <c r="FK17" s="11"/>
      <c r="FN17" s="9"/>
      <c r="FO17" s="9"/>
      <c r="FP17" s="10"/>
      <c r="FQ17" s="166" t="str">
        <f t="shared" si="34"/>
        <v/>
      </c>
      <c r="FR17" s="167" t="str">
        <f t="shared" si="35"/>
        <v/>
      </c>
      <c r="FS17" s="165" t="str">
        <f t="shared" si="70"/>
        <v/>
      </c>
      <c r="FT17" s="165" t="str">
        <f t="shared" si="71"/>
        <v/>
      </c>
      <c r="FU17" s="11"/>
    </row>
    <row r="18" spans="1:177" x14ac:dyDescent="0.3">
      <c r="A18" s="9"/>
      <c r="B18" s="9" t="s">
        <v>476</v>
      </c>
      <c r="C18" s="10">
        <v>1</v>
      </c>
      <c r="D18" s="166">
        <f t="shared" si="0"/>
        <v>3000000</v>
      </c>
      <c r="E18" s="167">
        <f t="shared" si="1"/>
        <v>2.1352000000000002</v>
      </c>
      <c r="F18" s="165">
        <f t="shared" si="36"/>
        <v>6405600.0000000009</v>
      </c>
      <c r="G18" s="165">
        <f t="shared" si="37"/>
        <v>6405600.0000000009</v>
      </c>
      <c r="H18" s="11"/>
      <c r="K18" s="9"/>
      <c r="L18" s="9" t="s">
        <v>476</v>
      </c>
      <c r="M18" s="10">
        <v>1</v>
      </c>
      <c r="N18" s="166">
        <f t="shared" si="2"/>
        <v>3000000</v>
      </c>
      <c r="O18" s="167">
        <f t="shared" si="3"/>
        <v>2.1352000000000002</v>
      </c>
      <c r="P18" s="165">
        <f t="shared" si="38"/>
        <v>6405600.0000000009</v>
      </c>
      <c r="Q18" s="136">
        <f t="shared" si="39"/>
        <v>6405600.0000000009</v>
      </c>
      <c r="R18" s="11"/>
      <c r="U18" s="9"/>
      <c r="V18" s="9" t="s">
        <v>476</v>
      </c>
      <c r="W18" s="10">
        <v>1</v>
      </c>
      <c r="X18" s="166">
        <f t="shared" si="4"/>
        <v>3000000</v>
      </c>
      <c r="Y18" s="167">
        <f t="shared" si="5"/>
        <v>2.1352000000000002</v>
      </c>
      <c r="Z18" s="165">
        <f t="shared" si="40"/>
        <v>6405600.0000000009</v>
      </c>
      <c r="AA18" s="165">
        <f t="shared" si="41"/>
        <v>6405600.0000000009</v>
      </c>
      <c r="AB18" s="11"/>
      <c r="AD18" s="9"/>
      <c r="AE18" s="9" t="s">
        <v>476</v>
      </c>
      <c r="AF18" s="10">
        <v>1</v>
      </c>
      <c r="AG18" s="166">
        <f t="shared" si="6"/>
        <v>3000000</v>
      </c>
      <c r="AH18" s="167">
        <f t="shared" si="7"/>
        <v>2.1352000000000002</v>
      </c>
      <c r="AI18" s="165">
        <f t="shared" si="42"/>
        <v>6405600.0000000009</v>
      </c>
      <c r="AJ18" s="165">
        <f t="shared" si="43"/>
        <v>6405600.0000000009</v>
      </c>
      <c r="AK18" s="11"/>
      <c r="AN18" s="9"/>
      <c r="AO18" s="9"/>
      <c r="AP18" s="10"/>
      <c r="AQ18" s="166" t="str">
        <f t="shared" si="8"/>
        <v/>
      </c>
      <c r="AR18" s="167" t="str">
        <f t="shared" si="9"/>
        <v/>
      </c>
      <c r="AS18" s="165" t="str">
        <f t="shared" si="44"/>
        <v/>
      </c>
      <c r="AT18" s="165" t="str">
        <f t="shared" si="45"/>
        <v/>
      </c>
      <c r="AU18" s="11"/>
      <c r="AX18" s="9"/>
      <c r="AY18" s="9"/>
      <c r="AZ18" s="10"/>
      <c r="BA18" s="166" t="str">
        <f t="shared" si="10"/>
        <v/>
      </c>
      <c r="BB18" s="167" t="str">
        <f t="shared" si="11"/>
        <v/>
      </c>
      <c r="BC18" s="165" t="str">
        <f t="shared" si="46"/>
        <v/>
      </c>
      <c r="BD18" s="165" t="str">
        <f t="shared" si="47"/>
        <v/>
      </c>
      <c r="BE18" s="11"/>
      <c r="BH18" s="9"/>
      <c r="BI18" s="9"/>
      <c r="BJ18" s="10"/>
      <c r="BK18" s="166" t="str">
        <f t="shared" si="12"/>
        <v/>
      </c>
      <c r="BL18" s="167" t="str">
        <f t="shared" si="13"/>
        <v/>
      </c>
      <c r="BM18" s="165" t="str">
        <f t="shared" si="48"/>
        <v/>
      </c>
      <c r="BN18" s="165" t="str">
        <f t="shared" si="49"/>
        <v/>
      </c>
      <c r="BO18" s="11"/>
      <c r="BR18" s="9"/>
      <c r="BS18" s="9"/>
      <c r="BT18" s="10"/>
      <c r="BU18" s="166" t="str">
        <f t="shared" si="14"/>
        <v/>
      </c>
      <c r="BV18" s="167" t="str">
        <f t="shared" si="15"/>
        <v/>
      </c>
      <c r="BW18" s="165" t="str">
        <f t="shared" si="50"/>
        <v/>
      </c>
      <c r="BX18" s="165" t="str">
        <f t="shared" si="51"/>
        <v/>
      </c>
      <c r="BY18" s="11"/>
      <c r="CB18" s="9"/>
      <c r="CC18" s="9"/>
      <c r="CD18" s="10"/>
      <c r="CE18" s="166" t="str">
        <f t="shared" si="16"/>
        <v/>
      </c>
      <c r="CF18" s="167" t="str">
        <f t="shared" si="17"/>
        <v/>
      </c>
      <c r="CG18" s="165" t="str">
        <f t="shared" si="52"/>
        <v/>
      </c>
      <c r="CH18" s="165" t="str">
        <f t="shared" si="53"/>
        <v/>
      </c>
      <c r="CI18" s="11"/>
      <c r="CL18" s="9"/>
      <c r="CM18" s="9"/>
      <c r="CN18" s="10"/>
      <c r="CO18" s="166" t="str">
        <f t="shared" si="18"/>
        <v/>
      </c>
      <c r="CP18" s="167" t="str">
        <f t="shared" si="19"/>
        <v/>
      </c>
      <c r="CQ18" s="165" t="str">
        <f t="shared" si="54"/>
        <v/>
      </c>
      <c r="CR18" s="165" t="str">
        <f t="shared" si="55"/>
        <v/>
      </c>
      <c r="CS18" s="11"/>
      <c r="CV18" s="9"/>
      <c r="CW18" s="9"/>
      <c r="CX18" s="10"/>
      <c r="CY18" s="166" t="str">
        <f t="shared" si="20"/>
        <v/>
      </c>
      <c r="CZ18" s="167" t="str">
        <f t="shared" si="21"/>
        <v/>
      </c>
      <c r="DA18" s="165" t="str">
        <f t="shared" si="56"/>
        <v/>
      </c>
      <c r="DB18" s="165" t="str">
        <f t="shared" si="57"/>
        <v/>
      </c>
      <c r="DC18" s="11"/>
      <c r="DF18" s="9"/>
      <c r="DG18" s="9"/>
      <c r="DH18" s="10"/>
      <c r="DI18" s="166" t="str">
        <f t="shared" si="22"/>
        <v/>
      </c>
      <c r="DJ18" s="167" t="str">
        <f t="shared" si="23"/>
        <v/>
      </c>
      <c r="DK18" s="165" t="str">
        <f t="shared" si="58"/>
        <v/>
      </c>
      <c r="DL18" s="165" t="str">
        <f t="shared" si="59"/>
        <v/>
      </c>
      <c r="DM18" s="11"/>
      <c r="DP18" s="9"/>
      <c r="DQ18" s="9"/>
      <c r="DR18" s="10"/>
      <c r="DS18" s="166" t="str">
        <f t="shared" si="24"/>
        <v/>
      </c>
      <c r="DT18" s="167" t="str">
        <f t="shared" si="25"/>
        <v/>
      </c>
      <c r="DU18" s="165" t="str">
        <f t="shared" si="60"/>
        <v/>
      </c>
      <c r="DV18" s="165" t="str">
        <f t="shared" si="61"/>
        <v/>
      </c>
      <c r="DW18" s="11"/>
      <c r="DZ18" s="9"/>
      <c r="EA18" s="9"/>
      <c r="EB18" s="10"/>
      <c r="EC18" s="166" t="str">
        <f t="shared" si="26"/>
        <v/>
      </c>
      <c r="ED18" s="167" t="str">
        <f t="shared" si="27"/>
        <v/>
      </c>
      <c r="EE18" s="165" t="str">
        <f t="shared" si="62"/>
        <v/>
      </c>
      <c r="EF18" s="165" t="str">
        <f t="shared" si="63"/>
        <v/>
      </c>
      <c r="EG18" s="11"/>
      <c r="EJ18" s="9"/>
      <c r="EK18" s="9"/>
      <c r="EL18" s="10"/>
      <c r="EM18" s="166" t="str">
        <f t="shared" si="28"/>
        <v/>
      </c>
      <c r="EN18" s="167" t="str">
        <f t="shared" si="29"/>
        <v/>
      </c>
      <c r="EO18" s="165" t="str">
        <f t="shared" si="64"/>
        <v/>
      </c>
      <c r="EP18" s="165" t="str">
        <f t="shared" si="65"/>
        <v/>
      </c>
      <c r="EQ18" s="11"/>
      <c r="ET18" s="9"/>
      <c r="EU18" s="9"/>
      <c r="EV18" s="10"/>
      <c r="EW18" s="166" t="str">
        <f t="shared" si="30"/>
        <v/>
      </c>
      <c r="EX18" s="167" t="str">
        <f t="shared" si="31"/>
        <v/>
      </c>
      <c r="EY18" s="165" t="str">
        <f t="shared" si="66"/>
        <v/>
      </c>
      <c r="EZ18" s="165" t="str">
        <f t="shared" si="67"/>
        <v/>
      </c>
      <c r="FA18" s="11"/>
      <c r="FD18" s="9"/>
      <c r="FE18" s="9"/>
      <c r="FF18" s="10"/>
      <c r="FG18" s="166" t="str">
        <f t="shared" si="32"/>
        <v/>
      </c>
      <c r="FH18" s="167" t="str">
        <f t="shared" si="33"/>
        <v/>
      </c>
      <c r="FI18" s="165" t="str">
        <f t="shared" si="68"/>
        <v/>
      </c>
      <c r="FJ18" s="165" t="str">
        <f t="shared" si="69"/>
        <v/>
      </c>
      <c r="FK18" s="11"/>
      <c r="FN18" s="9"/>
      <c r="FO18" s="9"/>
      <c r="FP18" s="10"/>
      <c r="FQ18" s="166" t="str">
        <f t="shared" si="34"/>
        <v/>
      </c>
      <c r="FR18" s="167" t="str">
        <f t="shared" si="35"/>
        <v/>
      </c>
      <c r="FS18" s="165" t="str">
        <f t="shared" si="70"/>
        <v/>
      </c>
      <c r="FT18" s="165" t="str">
        <f t="shared" si="71"/>
        <v/>
      </c>
      <c r="FU18" s="11"/>
    </row>
    <row r="19" spans="1:177" x14ac:dyDescent="0.3">
      <c r="A19" s="9"/>
      <c r="B19" s="9" t="s">
        <v>312</v>
      </c>
      <c r="C19" s="10">
        <v>1</v>
      </c>
      <c r="D19" s="166">
        <f t="shared" si="0"/>
        <v>3800000</v>
      </c>
      <c r="E19" s="167">
        <f t="shared" si="1"/>
        <v>2.029936842105263</v>
      </c>
      <c r="F19" s="165">
        <f t="shared" si="36"/>
        <v>7713760</v>
      </c>
      <c r="G19" s="165">
        <f t="shared" si="37"/>
        <v>7713760</v>
      </c>
      <c r="H19" s="11"/>
      <c r="K19" s="9"/>
      <c r="L19" s="9" t="s">
        <v>312</v>
      </c>
      <c r="M19" s="10">
        <v>1</v>
      </c>
      <c r="N19" s="166">
        <f t="shared" si="2"/>
        <v>3800000</v>
      </c>
      <c r="O19" s="167">
        <f t="shared" si="3"/>
        <v>2.029936842105263</v>
      </c>
      <c r="P19" s="165">
        <f t="shared" si="38"/>
        <v>7713760</v>
      </c>
      <c r="Q19" s="136">
        <f t="shared" si="39"/>
        <v>7713760</v>
      </c>
      <c r="R19" s="11"/>
      <c r="U19" s="9"/>
      <c r="V19" s="9" t="s">
        <v>312</v>
      </c>
      <c r="W19" s="10">
        <v>1</v>
      </c>
      <c r="X19" s="166">
        <f t="shared" si="4"/>
        <v>3800000</v>
      </c>
      <c r="Y19" s="167">
        <f t="shared" si="5"/>
        <v>2.029936842105263</v>
      </c>
      <c r="Z19" s="165">
        <f t="shared" si="40"/>
        <v>7713760</v>
      </c>
      <c r="AA19" s="165">
        <f t="shared" si="41"/>
        <v>7713760</v>
      </c>
      <c r="AB19" s="11"/>
      <c r="AD19" s="9"/>
      <c r="AE19" s="9" t="s">
        <v>312</v>
      </c>
      <c r="AF19" s="10">
        <v>1</v>
      </c>
      <c r="AG19" s="166">
        <f t="shared" si="6"/>
        <v>3800000</v>
      </c>
      <c r="AH19" s="167">
        <f t="shared" si="7"/>
        <v>2.029936842105263</v>
      </c>
      <c r="AI19" s="165">
        <f t="shared" si="42"/>
        <v>7713760</v>
      </c>
      <c r="AJ19" s="165">
        <f t="shared" si="43"/>
        <v>7713760</v>
      </c>
      <c r="AK19" s="11"/>
      <c r="AN19" s="9"/>
      <c r="AO19" s="9"/>
      <c r="AP19" s="10"/>
      <c r="AQ19" s="166" t="str">
        <f t="shared" si="8"/>
        <v/>
      </c>
      <c r="AR19" s="167" t="str">
        <f t="shared" si="9"/>
        <v/>
      </c>
      <c r="AS19" s="165" t="str">
        <f t="shared" si="44"/>
        <v/>
      </c>
      <c r="AT19" s="165" t="str">
        <f t="shared" si="45"/>
        <v/>
      </c>
      <c r="AU19" s="11"/>
      <c r="AX19" s="9"/>
      <c r="AY19" s="9"/>
      <c r="AZ19" s="10"/>
      <c r="BA19" s="166" t="str">
        <f t="shared" si="10"/>
        <v/>
      </c>
      <c r="BB19" s="167" t="str">
        <f t="shared" si="11"/>
        <v/>
      </c>
      <c r="BC19" s="165" t="str">
        <f t="shared" si="46"/>
        <v/>
      </c>
      <c r="BD19" s="165" t="str">
        <f t="shared" si="47"/>
        <v/>
      </c>
      <c r="BE19" s="11"/>
      <c r="BH19" s="9"/>
      <c r="BI19" s="9"/>
      <c r="BJ19" s="10"/>
      <c r="BK19" s="166" t="str">
        <f t="shared" si="12"/>
        <v/>
      </c>
      <c r="BL19" s="167" t="str">
        <f t="shared" si="13"/>
        <v/>
      </c>
      <c r="BM19" s="165" t="str">
        <f t="shared" si="48"/>
        <v/>
      </c>
      <c r="BN19" s="165" t="str">
        <f t="shared" si="49"/>
        <v/>
      </c>
      <c r="BO19" s="11"/>
      <c r="BR19" s="9"/>
      <c r="BS19" s="9"/>
      <c r="BT19" s="10"/>
      <c r="BU19" s="166" t="str">
        <f t="shared" si="14"/>
        <v/>
      </c>
      <c r="BV19" s="167" t="str">
        <f t="shared" si="15"/>
        <v/>
      </c>
      <c r="BW19" s="165" t="str">
        <f t="shared" si="50"/>
        <v/>
      </c>
      <c r="BX19" s="165" t="str">
        <f t="shared" si="51"/>
        <v/>
      </c>
      <c r="BY19" s="11"/>
      <c r="CB19" s="9"/>
      <c r="CC19" s="9"/>
      <c r="CD19" s="10"/>
      <c r="CE19" s="166" t="str">
        <f t="shared" si="16"/>
        <v/>
      </c>
      <c r="CF19" s="167" t="str">
        <f t="shared" si="17"/>
        <v/>
      </c>
      <c r="CG19" s="165" t="str">
        <f t="shared" si="52"/>
        <v/>
      </c>
      <c r="CH19" s="165" t="str">
        <f t="shared" si="53"/>
        <v/>
      </c>
      <c r="CI19" s="11"/>
      <c r="CL19" s="9"/>
      <c r="CM19" s="9"/>
      <c r="CN19" s="10"/>
      <c r="CO19" s="166" t="str">
        <f t="shared" si="18"/>
        <v/>
      </c>
      <c r="CP19" s="167" t="str">
        <f t="shared" si="19"/>
        <v/>
      </c>
      <c r="CQ19" s="165" t="str">
        <f t="shared" si="54"/>
        <v/>
      </c>
      <c r="CR19" s="165" t="str">
        <f t="shared" si="55"/>
        <v/>
      </c>
      <c r="CS19" s="11"/>
      <c r="CV19" s="9"/>
      <c r="CW19" s="9"/>
      <c r="CX19" s="10"/>
      <c r="CY19" s="166" t="str">
        <f t="shared" si="20"/>
        <v/>
      </c>
      <c r="CZ19" s="167" t="str">
        <f t="shared" si="21"/>
        <v/>
      </c>
      <c r="DA19" s="165" t="str">
        <f t="shared" si="56"/>
        <v/>
      </c>
      <c r="DB19" s="165" t="str">
        <f t="shared" si="57"/>
        <v/>
      </c>
      <c r="DC19" s="11"/>
      <c r="DF19" s="9"/>
      <c r="DG19" s="9"/>
      <c r="DH19" s="10"/>
      <c r="DI19" s="166" t="str">
        <f t="shared" si="22"/>
        <v/>
      </c>
      <c r="DJ19" s="167" t="str">
        <f t="shared" si="23"/>
        <v/>
      </c>
      <c r="DK19" s="165" t="str">
        <f t="shared" si="58"/>
        <v/>
      </c>
      <c r="DL19" s="165" t="str">
        <f t="shared" si="59"/>
        <v/>
      </c>
      <c r="DM19" s="11"/>
      <c r="DP19" s="9"/>
      <c r="DQ19" s="9"/>
      <c r="DR19" s="10"/>
      <c r="DS19" s="166" t="str">
        <f t="shared" si="24"/>
        <v/>
      </c>
      <c r="DT19" s="167" t="str">
        <f t="shared" si="25"/>
        <v/>
      </c>
      <c r="DU19" s="165" t="str">
        <f t="shared" si="60"/>
        <v/>
      </c>
      <c r="DV19" s="165" t="str">
        <f t="shared" si="61"/>
        <v/>
      </c>
      <c r="DW19" s="11"/>
      <c r="DZ19" s="9"/>
      <c r="EA19" s="9"/>
      <c r="EB19" s="10"/>
      <c r="EC19" s="166" t="str">
        <f t="shared" si="26"/>
        <v/>
      </c>
      <c r="ED19" s="167" t="str">
        <f t="shared" si="27"/>
        <v/>
      </c>
      <c r="EE19" s="165" t="str">
        <f t="shared" si="62"/>
        <v/>
      </c>
      <c r="EF19" s="165" t="str">
        <f t="shared" si="63"/>
        <v/>
      </c>
      <c r="EG19" s="11"/>
      <c r="EJ19" s="9"/>
      <c r="EK19" s="9"/>
      <c r="EL19" s="10"/>
      <c r="EM19" s="166" t="str">
        <f t="shared" si="28"/>
        <v/>
      </c>
      <c r="EN19" s="167" t="str">
        <f t="shared" si="29"/>
        <v/>
      </c>
      <c r="EO19" s="165" t="str">
        <f t="shared" si="64"/>
        <v/>
      </c>
      <c r="EP19" s="165" t="str">
        <f t="shared" si="65"/>
        <v/>
      </c>
      <c r="EQ19" s="11"/>
      <c r="ET19" s="9"/>
      <c r="EU19" s="9"/>
      <c r="EV19" s="10"/>
      <c r="EW19" s="166" t="str">
        <f t="shared" si="30"/>
        <v/>
      </c>
      <c r="EX19" s="167" t="str">
        <f t="shared" si="31"/>
        <v/>
      </c>
      <c r="EY19" s="165" t="str">
        <f t="shared" si="66"/>
        <v/>
      </c>
      <c r="EZ19" s="165" t="str">
        <f t="shared" si="67"/>
        <v/>
      </c>
      <c r="FA19" s="11"/>
      <c r="FD19" s="9"/>
      <c r="FE19" s="9"/>
      <c r="FF19" s="10"/>
      <c r="FG19" s="166" t="str">
        <f t="shared" si="32"/>
        <v/>
      </c>
      <c r="FH19" s="167" t="str">
        <f t="shared" si="33"/>
        <v/>
      </c>
      <c r="FI19" s="165" t="str">
        <f t="shared" si="68"/>
        <v/>
      </c>
      <c r="FJ19" s="165" t="str">
        <f t="shared" si="69"/>
        <v/>
      </c>
      <c r="FK19" s="11"/>
      <c r="FN19" s="9"/>
      <c r="FO19" s="9"/>
      <c r="FP19" s="10"/>
      <c r="FQ19" s="166" t="str">
        <f t="shared" si="34"/>
        <v/>
      </c>
      <c r="FR19" s="167" t="str">
        <f t="shared" si="35"/>
        <v/>
      </c>
      <c r="FS19" s="165" t="str">
        <f t="shared" si="70"/>
        <v/>
      </c>
      <c r="FT19" s="165" t="str">
        <f t="shared" si="71"/>
        <v/>
      </c>
      <c r="FU19" s="11"/>
    </row>
    <row r="20" spans="1:177" x14ac:dyDescent="0.3">
      <c r="A20" s="9"/>
      <c r="B20" s="9" t="s">
        <v>477</v>
      </c>
      <c r="C20" s="10">
        <v>2</v>
      </c>
      <c r="D20" s="166">
        <f t="shared" si="0"/>
        <v>1400000</v>
      </c>
      <c r="E20" s="167">
        <f t="shared" si="1"/>
        <v>1.6352</v>
      </c>
      <c r="F20" s="165">
        <f t="shared" si="36"/>
        <v>2289280</v>
      </c>
      <c r="G20" s="165">
        <f t="shared" si="37"/>
        <v>4578560</v>
      </c>
      <c r="H20" s="11"/>
      <c r="K20" s="9"/>
      <c r="L20" s="9" t="s">
        <v>477</v>
      </c>
      <c r="M20" s="10">
        <v>2</v>
      </c>
      <c r="N20" s="166">
        <f t="shared" si="2"/>
        <v>1400000</v>
      </c>
      <c r="O20" s="167">
        <f t="shared" si="3"/>
        <v>1.6352</v>
      </c>
      <c r="P20" s="165">
        <f t="shared" si="38"/>
        <v>2289280</v>
      </c>
      <c r="Q20" s="136">
        <f t="shared" si="39"/>
        <v>4578560</v>
      </c>
      <c r="R20" s="11"/>
      <c r="U20" s="9"/>
      <c r="V20" s="9" t="s">
        <v>477</v>
      </c>
      <c r="W20" s="10">
        <v>2</v>
      </c>
      <c r="X20" s="166">
        <f t="shared" si="4"/>
        <v>1400000</v>
      </c>
      <c r="Y20" s="167">
        <f t="shared" si="5"/>
        <v>1.6352</v>
      </c>
      <c r="Z20" s="165">
        <f t="shared" si="40"/>
        <v>2289280</v>
      </c>
      <c r="AA20" s="165">
        <f t="shared" si="41"/>
        <v>4578560</v>
      </c>
      <c r="AB20" s="11"/>
      <c r="AD20" s="9"/>
      <c r="AE20" s="9" t="s">
        <v>477</v>
      </c>
      <c r="AF20" s="10">
        <v>2</v>
      </c>
      <c r="AG20" s="166">
        <f t="shared" si="6"/>
        <v>1400000</v>
      </c>
      <c r="AH20" s="167">
        <f t="shared" si="7"/>
        <v>1.6352</v>
      </c>
      <c r="AI20" s="165">
        <f t="shared" si="42"/>
        <v>2289280</v>
      </c>
      <c r="AJ20" s="165">
        <f t="shared" si="43"/>
        <v>4578560</v>
      </c>
      <c r="AK20" s="11"/>
      <c r="AN20" s="9"/>
      <c r="AO20" s="9"/>
      <c r="AP20" s="10"/>
      <c r="AQ20" s="166" t="str">
        <f t="shared" si="8"/>
        <v/>
      </c>
      <c r="AR20" s="167" t="str">
        <f t="shared" si="9"/>
        <v/>
      </c>
      <c r="AS20" s="165" t="str">
        <f t="shared" si="44"/>
        <v/>
      </c>
      <c r="AT20" s="165" t="str">
        <f t="shared" si="45"/>
        <v/>
      </c>
      <c r="AU20" s="11"/>
      <c r="AX20" s="9"/>
      <c r="AY20" s="9"/>
      <c r="AZ20" s="10"/>
      <c r="BA20" s="166" t="str">
        <f t="shared" si="10"/>
        <v/>
      </c>
      <c r="BB20" s="167" t="str">
        <f t="shared" si="11"/>
        <v/>
      </c>
      <c r="BC20" s="165" t="str">
        <f t="shared" si="46"/>
        <v/>
      </c>
      <c r="BD20" s="165" t="str">
        <f t="shared" si="47"/>
        <v/>
      </c>
      <c r="BE20" s="11"/>
      <c r="BH20" s="9"/>
      <c r="BI20" s="9"/>
      <c r="BJ20" s="10"/>
      <c r="BK20" s="166" t="str">
        <f t="shared" si="12"/>
        <v/>
      </c>
      <c r="BL20" s="167" t="str">
        <f t="shared" si="13"/>
        <v/>
      </c>
      <c r="BM20" s="165" t="str">
        <f t="shared" si="48"/>
        <v/>
      </c>
      <c r="BN20" s="165" t="str">
        <f t="shared" si="49"/>
        <v/>
      </c>
      <c r="BO20" s="11"/>
      <c r="BR20" s="9"/>
      <c r="BS20" s="9"/>
      <c r="BT20" s="10"/>
      <c r="BU20" s="166" t="str">
        <f t="shared" si="14"/>
        <v/>
      </c>
      <c r="BV20" s="167" t="str">
        <f t="shared" si="15"/>
        <v/>
      </c>
      <c r="BW20" s="165" t="str">
        <f t="shared" si="50"/>
        <v/>
      </c>
      <c r="BX20" s="165" t="str">
        <f t="shared" si="51"/>
        <v/>
      </c>
      <c r="BY20" s="11"/>
      <c r="CB20" s="9"/>
      <c r="CC20" s="9"/>
      <c r="CD20" s="10"/>
      <c r="CE20" s="166" t="str">
        <f t="shared" si="16"/>
        <v/>
      </c>
      <c r="CF20" s="167" t="str">
        <f t="shared" si="17"/>
        <v/>
      </c>
      <c r="CG20" s="165" t="str">
        <f t="shared" si="52"/>
        <v/>
      </c>
      <c r="CH20" s="165" t="str">
        <f t="shared" si="53"/>
        <v/>
      </c>
      <c r="CI20" s="11"/>
      <c r="CL20" s="9"/>
      <c r="CM20" s="9"/>
      <c r="CN20" s="10"/>
      <c r="CO20" s="166" t="str">
        <f t="shared" si="18"/>
        <v/>
      </c>
      <c r="CP20" s="167" t="str">
        <f t="shared" si="19"/>
        <v/>
      </c>
      <c r="CQ20" s="165" t="str">
        <f t="shared" si="54"/>
        <v/>
      </c>
      <c r="CR20" s="165" t="str">
        <f t="shared" si="55"/>
        <v/>
      </c>
      <c r="CS20" s="11"/>
      <c r="CV20" s="9"/>
      <c r="CW20" s="9"/>
      <c r="CX20" s="10"/>
      <c r="CY20" s="166" t="str">
        <f t="shared" si="20"/>
        <v/>
      </c>
      <c r="CZ20" s="167" t="str">
        <f t="shared" si="21"/>
        <v/>
      </c>
      <c r="DA20" s="165" t="str">
        <f t="shared" si="56"/>
        <v/>
      </c>
      <c r="DB20" s="165" t="str">
        <f t="shared" si="57"/>
        <v/>
      </c>
      <c r="DC20" s="11"/>
      <c r="DF20" s="9"/>
      <c r="DG20" s="9"/>
      <c r="DH20" s="10"/>
      <c r="DI20" s="166" t="str">
        <f t="shared" si="22"/>
        <v/>
      </c>
      <c r="DJ20" s="167" t="str">
        <f t="shared" si="23"/>
        <v/>
      </c>
      <c r="DK20" s="165" t="str">
        <f t="shared" si="58"/>
        <v/>
      </c>
      <c r="DL20" s="165" t="str">
        <f t="shared" si="59"/>
        <v/>
      </c>
      <c r="DM20" s="11"/>
      <c r="DP20" s="9"/>
      <c r="DQ20" s="9"/>
      <c r="DR20" s="10"/>
      <c r="DS20" s="166" t="str">
        <f t="shared" si="24"/>
        <v/>
      </c>
      <c r="DT20" s="167" t="str">
        <f t="shared" si="25"/>
        <v/>
      </c>
      <c r="DU20" s="165" t="str">
        <f t="shared" si="60"/>
        <v/>
      </c>
      <c r="DV20" s="165" t="str">
        <f t="shared" si="61"/>
        <v/>
      </c>
      <c r="DW20" s="11"/>
      <c r="DZ20" s="9"/>
      <c r="EA20" s="9"/>
      <c r="EB20" s="10"/>
      <c r="EC20" s="166" t="str">
        <f t="shared" si="26"/>
        <v/>
      </c>
      <c r="ED20" s="167" t="str">
        <f t="shared" si="27"/>
        <v/>
      </c>
      <c r="EE20" s="165" t="str">
        <f t="shared" si="62"/>
        <v/>
      </c>
      <c r="EF20" s="165" t="str">
        <f t="shared" si="63"/>
        <v/>
      </c>
      <c r="EG20" s="11"/>
      <c r="EJ20" s="9"/>
      <c r="EK20" s="9"/>
      <c r="EL20" s="10"/>
      <c r="EM20" s="166" t="str">
        <f t="shared" si="28"/>
        <v/>
      </c>
      <c r="EN20" s="167" t="str">
        <f t="shared" si="29"/>
        <v/>
      </c>
      <c r="EO20" s="165" t="str">
        <f t="shared" si="64"/>
        <v/>
      </c>
      <c r="EP20" s="165" t="str">
        <f t="shared" si="65"/>
        <v/>
      </c>
      <c r="EQ20" s="11"/>
      <c r="ET20" s="9"/>
      <c r="EU20" s="9"/>
      <c r="EV20" s="10"/>
      <c r="EW20" s="166" t="str">
        <f t="shared" si="30"/>
        <v/>
      </c>
      <c r="EX20" s="167" t="str">
        <f t="shared" si="31"/>
        <v/>
      </c>
      <c r="EY20" s="165" t="str">
        <f t="shared" si="66"/>
        <v/>
      </c>
      <c r="EZ20" s="165" t="str">
        <f t="shared" si="67"/>
        <v/>
      </c>
      <c r="FA20" s="11"/>
      <c r="FD20" s="9"/>
      <c r="FE20" s="9"/>
      <c r="FF20" s="10"/>
      <c r="FG20" s="166" t="str">
        <f t="shared" si="32"/>
        <v/>
      </c>
      <c r="FH20" s="167" t="str">
        <f t="shared" si="33"/>
        <v/>
      </c>
      <c r="FI20" s="165" t="str">
        <f t="shared" si="68"/>
        <v/>
      </c>
      <c r="FJ20" s="165" t="str">
        <f t="shared" si="69"/>
        <v/>
      </c>
      <c r="FK20" s="11"/>
      <c r="FN20" s="9"/>
      <c r="FO20" s="9"/>
      <c r="FP20" s="10"/>
      <c r="FQ20" s="166" t="str">
        <f t="shared" si="34"/>
        <v/>
      </c>
      <c r="FR20" s="167" t="str">
        <f t="shared" si="35"/>
        <v/>
      </c>
      <c r="FS20" s="165" t="str">
        <f t="shared" si="70"/>
        <v/>
      </c>
      <c r="FT20" s="165" t="str">
        <f t="shared" si="71"/>
        <v/>
      </c>
      <c r="FU20" s="11"/>
    </row>
    <row r="21" spans="1:177" x14ac:dyDescent="0.3">
      <c r="A21" s="9"/>
      <c r="B21" s="9" t="s">
        <v>310</v>
      </c>
      <c r="C21" s="10">
        <v>1</v>
      </c>
      <c r="D21" s="166">
        <f t="shared" si="0"/>
        <v>3000000</v>
      </c>
      <c r="E21" s="167">
        <f t="shared" si="1"/>
        <v>2.1352000000000002</v>
      </c>
      <c r="F21" s="165">
        <f t="shared" si="36"/>
        <v>6405600.0000000009</v>
      </c>
      <c r="G21" s="165">
        <f t="shared" si="37"/>
        <v>6405600.0000000009</v>
      </c>
      <c r="H21" s="11"/>
      <c r="K21" s="9"/>
      <c r="L21" s="9" t="s">
        <v>310</v>
      </c>
      <c r="M21" s="10">
        <v>1</v>
      </c>
      <c r="N21" s="166">
        <f t="shared" si="2"/>
        <v>3000000</v>
      </c>
      <c r="O21" s="167">
        <f t="shared" si="3"/>
        <v>2.1352000000000002</v>
      </c>
      <c r="P21" s="165">
        <f t="shared" si="38"/>
        <v>6405600.0000000009</v>
      </c>
      <c r="Q21" s="136">
        <f t="shared" si="39"/>
        <v>6405600.0000000009</v>
      </c>
      <c r="R21" s="11"/>
      <c r="U21" s="9"/>
      <c r="V21" s="9" t="s">
        <v>310</v>
      </c>
      <c r="W21" s="10">
        <v>1</v>
      </c>
      <c r="X21" s="166">
        <f t="shared" si="4"/>
        <v>3000000</v>
      </c>
      <c r="Y21" s="167">
        <f t="shared" si="5"/>
        <v>2.1352000000000002</v>
      </c>
      <c r="Z21" s="165">
        <f t="shared" si="40"/>
        <v>6405600.0000000009</v>
      </c>
      <c r="AA21" s="165">
        <f t="shared" si="41"/>
        <v>6405600.0000000009</v>
      </c>
      <c r="AB21" s="11"/>
      <c r="AD21" s="9"/>
      <c r="AE21" s="9" t="s">
        <v>310</v>
      </c>
      <c r="AF21" s="10">
        <v>1</v>
      </c>
      <c r="AG21" s="166">
        <f t="shared" si="6"/>
        <v>3000000</v>
      </c>
      <c r="AH21" s="167">
        <f t="shared" si="7"/>
        <v>2.1352000000000002</v>
      </c>
      <c r="AI21" s="165">
        <f t="shared" si="42"/>
        <v>6405600.0000000009</v>
      </c>
      <c r="AJ21" s="165">
        <f t="shared" si="43"/>
        <v>6405600.0000000009</v>
      </c>
      <c r="AK21" s="11"/>
      <c r="AN21" s="9"/>
      <c r="AO21" s="9"/>
      <c r="AP21" s="10"/>
      <c r="AQ21" s="166" t="str">
        <f t="shared" si="8"/>
        <v/>
      </c>
      <c r="AR21" s="167" t="str">
        <f t="shared" si="9"/>
        <v/>
      </c>
      <c r="AS21" s="165" t="str">
        <f t="shared" si="44"/>
        <v/>
      </c>
      <c r="AT21" s="165" t="str">
        <f t="shared" si="45"/>
        <v/>
      </c>
      <c r="AU21" s="11"/>
      <c r="AX21" s="9"/>
      <c r="AY21" s="9"/>
      <c r="AZ21" s="10"/>
      <c r="BA21" s="166" t="str">
        <f t="shared" si="10"/>
        <v/>
      </c>
      <c r="BB21" s="167" t="str">
        <f t="shared" si="11"/>
        <v/>
      </c>
      <c r="BC21" s="165" t="str">
        <f t="shared" si="46"/>
        <v/>
      </c>
      <c r="BD21" s="165" t="str">
        <f t="shared" si="47"/>
        <v/>
      </c>
      <c r="BE21" s="11"/>
      <c r="BH21" s="9"/>
      <c r="BI21" s="9"/>
      <c r="BJ21" s="10"/>
      <c r="BK21" s="166" t="str">
        <f t="shared" si="12"/>
        <v/>
      </c>
      <c r="BL21" s="167" t="str">
        <f t="shared" si="13"/>
        <v/>
      </c>
      <c r="BM21" s="165" t="str">
        <f t="shared" si="48"/>
        <v/>
      </c>
      <c r="BN21" s="165" t="str">
        <f t="shared" si="49"/>
        <v/>
      </c>
      <c r="BO21" s="11"/>
      <c r="BR21" s="9"/>
      <c r="BS21" s="9"/>
      <c r="BT21" s="10"/>
      <c r="BU21" s="166" t="str">
        <f t="shared" si="14"/>
        <v/>
      </c>
      <c r="BV21" s="167" t="str">
        <f t="shared" si="15"/>
        <v/>
      </c>
      <c r="BW21" s="165" t="str">
        <f t="shared" si="50"/>
        <v/>
      </c>
      <c r="BX21" s="165" t="str">
        <f t="shared" si="51"/>
        <v/>
      </c>
      <c r="BY21" s="11"/>
      <c r="CB21" s="9"/>
      <c r="CC21" s="9"/>
      <c r="CD21" s="10"/>
      <c r="CE21" s="166" t="str">
        <f t="shared" si="16"/>
        <v/>
      </c>
      <c r="CF21" s="167" t="str">
        <f t="shared" si="17"/>
        <v/>
      </c>
      <c r="CG21" s="165" t="str">
        <f t="shared" si="52"/>
        <v/>
      </c>
      <c r="CH21" s="165" t="str">
        <f t="shared" si="53"/>
        <v/>
      </c>
      <c r="CI21" s="11"/>
      <c r="CL21" s="9"/>
      <c r="CM21" s="9"/>
      <c r="CN21" s="10"/>
      <c r="CO21" s="166" t="str">
        <f t="shared" si="18"/>
        <v/>
      </c>
      <c r="CP21" s="167" t="str">
        <f t="shared" si="19"/>
        <v/>
      </c>
      <c r="CQ21" s="165" t="str">
        <f t="shared" si="54"/>
        <v/>
      </c>
      <c r="CR21" s="165" t="str">
        <f t="shared" si="55"/>
        <v/>
      </c>
      <c r="CS21" s="11"/>
      <c r="CV21" s="9"/>
      <c r="CW21" s="9"/>
      <c r="CX21" s="10"/>
      <c r="CY21" s="166" t="str">
        <f t="shared" si="20"/>
        <v/>
      </c>
      <c r="CZ21" s="167" t="str">
        <f t="shared" si="21"/>
        <v/>
      </c>
      <c r="DA21" s="165" t="str">
        <f t="shared" si="56"/>
        <v/>
      </c>
      <c r="DB21" s="165" t="str">
        <f t="shared" si="57"/>
        <v/>
      </c>
      <c r="DC21" s="11"/>
      <c r="DF21" s="9"/>
      <c r="DG21" s="9"/>
      <c r="DH21" s="10"/>
      <c r="DI21" s="166" t="str">
        <f t="shared" si="22"/>
        <v/>
      </c>
      <c r="DJ21" s="167" t="str">
        <f t="shared" si="23"/>
        <v/>
      </c>
      <c r="DK21" s="165" t="str">
        <f t="shared" si="58"/>
        <v/>
      </c>
      <c r="DL21" s="165" t="str">
        <f t="shared" si="59"/>
        <v/>
      </c>
      <c r="DM21" s="11"/>
      <c r="DP21" s="9"/>
      <c r="DQ21" s="9"/>
      <c r="DR21" s="10"/>
      <c r="DS21" s="166" t="str">
        <f t="shared" si="24"/>
        <v/>
      </c>
      <c r="DT21" s="167" t="str">
        <f t="shared" si="25"/>
        <v/>
      </c>
      <c r="DU21" s="165" t="str">
        <f t="shared" si="60"/>
        <v/>
      </c>
      <c r="DV21" s="165" t="str">
        <f t="shared" si="61"/>
        <v/>
      </c>
      <c r="DW21" s="11"/>
      <c r="DZ21" s="9"/>
      <c r="EA21" s="9"/>
      <c r="EB21" s="10"/>
      <c r="EC21" s="166" t="str">
        <f t="shared" si="26"/>
        <v/>
      </c>
      <c r="ED21" s="167" t="str">
        <f t="shared" si="27"/>
        <v/>
      </c>
      <c r="EE21" s="165" t="str">
        <f t="shared" si="62"/>
        <v/>
      </c>
      <c r="EF21" s="165" t="str">
        <f t="shared" si="63"/>
        <v/>
      </c>
      <c r="EG21" s="11"/>
      <c r="EJ21" s="9"/>
      <c r="EK21" s="9"/>
      <c r="EL21" s="10"/>
      <c r="EM21" s="166" t="str">
        <f t="shared" si="28"/>
        <v/>
      </c>
      <c r="EN21" s="167" t="str">
        <f t="shared" si="29"/>
        <v/>
      </c>
      <c r="EO21" s="165" t="str">
        <f t="shared" si="64"/>
        <v/>
      </c>
      <c r="EP21" s="165" t="str">
        <f t="shared" si="65"/>
        <v/>
      </c>
      <c r="EQ21" s="11"/>
      <c r="ET21" s="9"/>
      <c r="EU21" s="9"/>
      <c r="EV21" s="10"/>
      <c r="EW21" s="166" t="str">
        <f t="shared" si="30"/>
        <v/>
      </c>
      <c r="EX21" s="167" t="str">
        <f t="shared" si="31"/>
        <v/>
      </c>
      <c r="EY21" s="165" t="str">
        <f t="shared" si="66"/>
        <v/>
      </c>
      <c r="EZ21" s="165" t="str">
        <f t="shared" si="67"/>
        <v/>
      </c>
      <c r="FA21" s="11"/>
      <c r="FD21" s="9"/>
      <c r="FE21" s="9"/>
      <c r="FF21" s="10"/>
      <c r="FG21" s="166" t="str">
        <f t="shared" si="32"/>
        <v/>
      </c>
      <c r="FH21" s="167" t="str">
        <f t="shared" si="33"/>
        <v/>
      </c>
      <c r="FI21" s="165" t="str">
        <f t="shared" si="68"/>
        <v/>
      </c>
      <c r="FJ21" s="165" t="str">
        <f t="shared" si="69"/>
        <v/>
      </c>
      <c r="FK21" s="11"/>
      <c r="FN21" s="9"/>
      <c r="FO21" s="9"/>
      <c r="FP21" s="10"/>
      <c r="FQ21" s="166" t="str">
        <f t="shared" si="34"/>
        <v/>
      </c>
      <c r="FR21" s="167" t="str">
        <f t="shared" si="35"/>
        <v/>
      </c>
      <c r="FS21" s="165" t="str">
        <f t="shared" si="70"/>
        <v/>
      </c>
      <c r="FT21" s="165" t="str">
        <f t="shared" si="71"/>
        <v/>
      </c>
      <c r="FU21" s="11"/>
    </row>
    <row r="22" spans="1:177" x14ac:dyDescent="0.3">
      <c r="A22" s="9"/>
      <c r="B22" s="9" t="s">
        <v>307</v>
      </c>
      <c r="C22" s="10">
        <v>1</v>
      </c>
      <c r="D22" s="166">
        <f t="shared" si="0"/>
        <v>2500000</v>
      </c>
      <c r="E22" s="167">
        <f t="shared" si="1"/>
        <v>2.2351999999999999</v>
      </c>
      <c r="F22" s="165">
        <f>+IF(D22="","",E22*D22)</f>
        <v>5588000</v>
      </c>
      <c r="G22" s="165">
        <f>+IF(F22="","",F22*C22)</f>
        <v>5588000</v>
      </c>
      <c r="H22" s="11"/>
      <c r="K22" s="9"/>
      <c r="L22" s="9" t="s">
        <v>307</v>
      </c>
      <c r="M22" s="10">
        <v>1</v>
      </c>
      <c r="N22" s="166">
        <f t="shared" si="2"/>
        <v>2500000</v>
      </c>
      <c r="O22" s="167">
        <f t="shared" si="3"/>
        <v>2.2351999999999999</v>
      </c>
      <c r="P22" s="165">
        <f>+IF(N22="","",O22*N22)</f>
        <v>5588000</v>
      </c>
      <c r="Q22" s="136">
        <f>+IF(P22="","",P22*M22)</f>
        <v>5588000</v>
      </c>
      <c r="R22" s="11"/>
      <c r="U22" s="9"/>
      <c r="V22" s="9" t="s">
        <v>307</v>
      </c>
      <c r="W22" s="10">
        <v>1</v>
      </c>
      <c r="X22" s="166">
        <f t="shared" si="4"/>
        <v>2500000</v>
      </c>
      <c r="Y22" s="167">
        <f t="shared" si="5"/>
        <v>2.2351999999999999</v>
      </c>
      <c r="Z22" s="165">
        <f>+IF(X22="","",Y22*X22)</f>
        <v>5588000</v>
      </c>
      <c r="AA22" s="165">
        <f>+IF(Z22="","",Z22*W22)</f>
        <v>5588000</v>
      </c>
      <c r="AB22" s="11"/>
      <c r="AD22" s="9"/>
      <c r="AE22" s="9" t="s">
        <v>307</v>
      </c>
      <c r="AF22" s="10">
        <v>1</v>
      </c>
      <c r="AG22" s="166">
        <f t="shared" si="6"/>
        <v>2500000</v>
      </c>
      <c r="AH22" s="167">
        <f t="shared" si="7"/>
        <v>2.2351999999999999</v>
      </c>
      <c r="AI22" s="165">
        <f>+IF(AG22="","",AH22*AG22)</f>
        <v>5588000</v>
      </c>
      <c r="AJ22" s="165">
        <f>+IF(AI22="","",AI22*AF22)</f>
        <v>5588000</v>
      </c>
      <c r="AK22" s="11"/>
      <c r="AN22" s="9"/>
      <c r="AO22" s="9"/>
      <c r="AP22" s="10"/>
      <c r="AQ22" s="166" t="str">
        <f t="shared" si="8"/>
        <v/>
      </c>
      <c r="AR22" s="167" t="str">
        <f t="shared" si="9"/>
        <v/>
      </c>
      <c r="AS22" s="165" t="str">
        <f>+IF(AQ22="","",AR22*AQ22)</f>
        <v/>
      </c>
      <c r="AT22" s="165" t="str">
        <f>+IF(AS22="","",AS22*AP22)</f>
        <v/>
      </c>
      <c r="AU22" s="11"/>
      <c r="AX22" s="9"/>
      <c r="AY22" s="9"/>
      <c r="AZ22" s="10"/>
      <c r="BA22" s="166" t="str">
        <f t="shared" si="10"/>
        <v/>
      </c>
      <c r="BB22" s="167" t="str">
        <f t="shared" si="11"/>
        <v/>
      </c>
      <c r="BC22" s="165" t="str">
        <f>+IF(BA22="","",BB22*BA22)</f>
        <v/>
      </c>
      <c r="BD22" s="165" t="str">
        <f>+IF(BC22="","",BC22*AZ22)</f>
        <v/>
      </c>
      <c r="BE22" s="11"/>
      <c r="BH22" s="9"/>
      <c r="BI22" s="9"/>
      <c r="BJ22" s="10"/>
      <c r="BK22" s="166" t="str">
        <f t="shared" si="12"/>
        <v/>
      </c>
      <c r="BL22" s="167" t="str">
        <f t="shared" si="13"/>
        <v/>
      </c>
      <c r="BM22" s="165" t="str">
        <f>+IF(BK22="","",BL22*BK22)</f>
        <v/>
      </c>
      <c r="BN22" s="165" t="str">
        <f>+IF(BM22="","",BM22*BJ22)</f>
        <v/>
      </c>
      <c r="BO22" s="11"/>
      <c r="BR22" s="9"/>
      <c r="BS22" s="9"/>
      <c r="BT22" s="10"/>
      <c r="BU22" s="166" t="str">
        <f t="shared" si="14"/>
        <v/>
      </c>
      <c r="BV22" s="167" t="str">
        <f t="shared" si="15"/>
        <v/>
      </c>
      <c r="BW22" s="165" t="str">
        <f>+IF(BU22="","",BV22*BU22)</f>
        <v/>
      </c>
      <c r="BX22" s="165" t="str">
        <f>+IF(BW22="","",BW22*BT22)</f>
        <v/>
      </c>
      <c r="BY22" s="11"/>
      <c r="CB22" s="9"/>
      <c r="CC22" s="9"/>
      <c r="CD22" s="10"/>
      <c r="CE22" s="166" t="str">
        <f t="shared" si="16"/>
        <v/>
      </c>
      <c r="CF22" s="167" t="str">
        <f t="shared" si="17"/>
        <v/>
      </c>
      <c r="CG22" s="165" t="str">
        <f>+IF(CE22="","",CF22*CE22)</f>
        <v/>
      </c>
      <c r="CH22" s="165" t="str">
        <f>+IF(CG22="","",CG22*CD22)</f>
        <v/>
      </c>
      <c r="CI22" s="11"/>
      <c r="CL22" s="9"/>
      <c r="CM22" s="9"/>
      <c r="CN22" s="10"/>
      <c r="CO22" s="166" t="str">
        <f t="shared" si="18"/>
        <v/>
      </c>
      <c r="CP22" s="167" t="str">
        <f t="shared" si="19"/>
        <v/>
      </c>
      <c r="CQ22" s="165" t="str">
        <f>+IF(CO22="","",CP22*CO22)</f>
        <v/>
      </c>
      <c r="CR22" s="165" t="str">
        <f>+IF(CQ22="","",CQ22*CN22)</f>
        <v/>
      </c>
      <c r="CS22" s="11"/>
      <c r="CV22" s="9"/>
      <c r="CW22" s="9"/>
      <c r="CX22" s="10"/>
      <c r="CY22" s="166" t="str">
        <f t="shared" si="20"/>
        <v/>
      </c>
      <c r="CZ22" s="167" t="str">
        <f t="shared" si="21"/>
        <v/>
      </c>
      <c r="DA22" s="165" t="str">
        <f>+IF(CY22="","",CZ22*CY22)</f>
        <v/>
      </c>
      <c r="DB22" s="165" t="str">
        <f>+IF(DA22="","",DA22*CX22)</f>
        <v/>
      </c>
      <c r="DC22" s="11"/>
      <c r="DF22" s="9"/>
      <c r="DG22" s="9"/>
      <c r="DH22" s="10"/>
      <c r="DI22" s="166" t="str">
        <f t="shared" si="22"/>
        <v/>
      </c>
      <c r="DJ22" s="167" t="str">
        <f t="shared" si="23"/>
        <v/>
      </c>
      <c r="DK22" s="165" t="str">
        <f>+IF(DI22="","",DJ22*DI22)</f>
        <v/>
      </c>
      <c r="DL22" s="165" t="str">
        <f>+IF(DK22="","",DK22*DH22)</f>
        <v/>
      </c>
      <c r="DM22" s="11"/>
      <c r="DP22" s="9"/>
      <c r="DQ22" s="9"/>
      <c r="DR22" s="10"/>
      <c r="DS22" s="166" t="str">
        <f t="shared" si="24"/>
        <v/>
      </c>
      <c r="DT22" s="167" t="str">
        <f t="shared" si="25"/>
        <v/>
      </c>
      <c r="DU22" s="165" t="str">
        <f>+IF(DS22="","",DT22*DS22)</f>
        <v/>
      </c>
      <c r="DV22" s="165" t="str">
        <f>+IF(DU22="","",DU22*DR22)</f>
        <v/>
      </c>
      <c r="DW22" s="11"/>
      <c r="DZ22" s="9"/>
      <c r="EA22" s="9"/>
      <c r="EB22" s="10"/>
      <c r="EC22" s="166" t="str">
        <f t="shared" si="26"/>
        <v/>
      </c>
      <c r="ED22" s="167" t="str">
        <f t="shared" si="27"/>
        <v/>
      </c>
      <c r="EE22" s="165" t="str">
        <f>+IF(EC22="","",ED22*EC22)</f>
        <v/>
      </c>
      <c r="EF22" s="165" t="str">
        <f>+IF(EE22="","",EE22*EB22)</f>
        <v/>
      </c>
      <c r="EG22" s="11"/>
      <c r="EJ22" s="9"/>
      <c r="EK22" s="9"/>
      <c r="EL22" s="10"/>
      <c r="EM22" s="166" t="str">
        <f t="shared" si="28"/>
        <v/>
      </c>
      <c r="EN22" s="167" t="str">
        <f t="shared" si="29"/>
        <v/>
      </c>
      <c r="EO22" s="165" t="str">
        <f>+IF(EM22="","",EN22*EM22)</f>
        <v/>
      </c>
      <c r="EP22" s="165" t="str">
        <f>+IF(EO22="","",EO22*EL22)</f>
        <v/>
      </c>
      <c r="EQ22" s="11"/>
      <c r="ET22" s="9"/>
      <c r="EU22" s="9"/>
      <c r="EV22" s="10"/>
      <c r="EW22" s="166" t="str">
        <f t="shared" si="30"/>
        <v/>
      </c>
      <c r="EX22" s="167" t="str">
        <f t="shared" si="31"/>
        <v/>
      </c>
      <c r="EY22" s="165" t="str">
        <f>+IF(EW22="","",EX22*EW22)</f>
        <v/>
      </c>
      <c r="EZ22" s="165" t="str">
        <f>+IF(EY22="","",EY22*EV22)</f>
        <v/>
      </c>
      <c r="FA22" s="11"/>
      <c r="FD22" s="9"/>
      <c r="FE22" s="9"/>
      <c r="FF22" s="10"/>
      <c r="FG22" s="166" t="str">
        <f t="shared" si="32"/>
        <v/>
      </c>
      <c r="FH22" s="167" t="str">
        <f t="shared" si="33"/>
        <v/>
      </c>
      <c r="FI22" s="165" t="str">
        <f>+IF(FG22="","",FH22*FG22)</f>
        <v/>
      </c>
      <c r="FJ22" s="165" t="str">
        <f>+IF(FI22="","",FI22*FF22)</f>
        <v/>
      </c>
      <c r="FK22" s="11"/>
      <c r="FN22" s="9"/>
      <c r="FO22" s="9"/>
      <c r="FP22" s="10"/>
      <c r="FQ22" s="166" t="str">
        <f t="shared" si="34"/>
        <v/>
      </c>
      <c r="FR22" s="167" t="str">
        <f t="shared" si="35"/>
        <v/>
      </c>
      <c r="FS22" s="165" t="str">
        <f>+IF(FQ22="","",FR22*FQ22)</f>
        <v/>
      </c>
      <c r="FT22" s="165" t="str">
        <f>+IF(FS22="","",FS22*FP22)</f>
        <v/>
      </c>
      <c r="FU22" s="11"/>
    </row>
    <row r="23" spans="1:177" x14ac:dyDescent="0.3">
      <c r="A23" s="9"/>
      <c r="B23" s="9" t="s">
        <v>311</v>
      </c>
      <c r="C23" s="10">
        <v>1</v>
      </c>
      <c r="D23" s="166">
        <f t="shared" si="0"/>
        <v>4000000</v>
      </c>
      <c r="E23" s="167">
        <f t="shared" si="1"/>
        <v>2.0102000000000002</v>
      </c>
      <c r="F23" s="165">
        <f>+IF(D23="","",E23*D23)</f>
        <v>8040800.0000000009</v>
      </c>
      <c r="G23" s="165">
        <f>+IF(F23="","",F23*C23)</f>
        <v>8040800.0000000009</v>
      </c>
      <c r="H23" s="11"/>
      <c r="K23" s="9"/>
      <c r="L23" s="9" t="s">
        <v>311</v>
      </c>
      <c r="M23" s="10">
        <v>1</v>
      </c>
      <c r="N23" s="166">
        <f t="shared" si="2"/>
        <v>4000000</v>
      </c>
      <c r="O23" s="167">
        <f t="shared" si="3"/>
        <v>2.0102000000000002</v>
      </c>
      <c r="P23" s="165">
        <f>+IF(N23="","",O23*N23)</f>
        <v>8040800.0000000009</v>
      </c>
      <c r="Q23" s="136">
        <f>+IF(P23="","",P23*M23)</f>
        <v>8040800.0000000009</v>
      </c>
      <c r="R23" s="11"/>
      <c r="U23" s="9"/>
      <c r="V23" s="9" t="s">
        <v>311</v>
      </c>
      <c r="W23" s="10">
        <v>1</v>
      </c>
      <c r="X23" s="166">
        <f t="shared" si="4"/>
        <v>4000000</v>
      </c>
      <c r="Y23" s="167">
        <f t="shared" si="5"/>
        <v>2.0102000000000002</v>
      </c>
      <c r="Z23" s="165">
        <f>+IF(X23="","",Y23*X23)</f>
        <v>8040800.0000000009</v>
      </c>
      <c r="AA23" s="165">
        <f>+IF(Z23="","",Z23*W23)</f>
        <v>8040800.0000000009</v>
      </c>
      <c r="AB23" s="11"/>
      <c r="AD23" s="9"/>
      <c r="AE23" s="9" t="s">
        <v>311</v>
      </c>
      <c r="AF23" s="10">
        <v>1</v>
      </c>
      <c r="AG23" s="166">
        <f t="shared" si="6"/>
        <v>4000000</v>
      </c>
      <c r="AH23" s="167">
        <f t="shared" si="7"/>
        <v>2.0102000000000002</v>
      </c>
      <c r="AI23" s="165">
        <f>+IF(AG23="","",AH23*AG23)</f>
        <v>8040800.0000000009</v>
      </c>
      <c r="AJ23" s="165">
        <f>+IF(AI23="","",AI23*AF23)</f>
        <v>8040800.0000000009</v>
      </c>
      <c r="AK23" s="11"/>
      <c r="AN23" s="9"/>
      <c r="AO23" s="9"/>
      <c r="AP23" s="10"/>
      <c r="AQ23" s="166" t="str">
        <f t="shared" si="8"/>
        <v/>
      </c>
      <c r="AR23" s="167" t="str">
        <f t="shared" si="9"/>
        <v/>
      </c>
      <c r="AS23" s="165" t="str">
        <f>+IF(AQ23="","",AR23*AQ23)</f>
        <v/>
      </c>
      <c r="AT23" s="165" t="str">
        <f>+IF(AS23="","",AS23*AP23)</f>
        <v/>
      </c>
      <c r="AU23" s="11"/>
      <c r="AX23" s="9"/>
      <c r="AY23" s="9"/>
      <c r="AZ23" s="10"/>
      <c r="BA23" s="166" t="str">
        <f t="shared" si="10"/>
        <v/>
      </c>
      <c r="BB23" s="167" t="str">
        <f t="shared" si="11"/>
        <v/>
      </c>
      <c r="BC23" s="165" t="str">
        <f>+IF(BA23="","",BB23*BA23)</f>
        <v/>
      </c>
      <c r="BD23" s="165" t="str">
        <f>+IF(BC23="","",BC23*AZ23)</f>
        <v/>
      </c>
      <c r="BE23" s="11"/>
      <c r="BH23" s="9"/>
      <c r="BI23" s="9"/>
      <c r="BJ23" s="10"/>
      <c r="BK23" s="166" t="str">
        <f t="shared" si="12"/>
        <v/>
      </c>
      <c r="BL23" s="167" t="str">
        <f t="shared" si="13"/>
        <v/>
      </c>
      <c r="BM23" s="165" t="str">
        <f>+IF(BK23="","",BL23*BK23)</f>
        <v/>
      </c>
      <c r="BN23" s="165" t="str">
        <f>+IF(BM23="","",BM23*BJ23)</f>
        <v/>
      </c>
      <c r="BO23" s="11"/>
      <c r="BR23" s="9"/>
      <c r="BS23" s="9"/>
      <c r="BT23" s="10"/>
      <c r="BU23" s="166" t="str">
        <f t="shared" si="14"/>
        <v/>
      </c>
      <c r="BV23" s="167" t="str">
        <f t="shared" si="15"/>
        <v/>
      </c>
      <c r="BW23" s="165" t="str">
        <f>+IF(BU23="","",BV23*BU23)</f>
        <v/>
      </c>
      <c r="BX23" s="165" t="str">
        <f>+IF(BW23="","",BW23*BT23)</f>
        <v/>
      </c>
      <c r="BY23" s="11"/>
      <c r="CB23" s="9"/>
      <c r="CC23" s="9"/>
      <c r="CD23" s="10"/>
      <c r="CE23" s="166" t="str">
        <f t="shared" si="16"/>
        <v/>
      </c>
      <c r="CF23" s="167" t="str">
        <f t="shared" si="17"/>
        <v/>
      </c>
      <c r="CG23" s="165" t="str">
        <f>+IF(CE23="","",CF23*CE23)</f>
        <v/>
      </c>
      <c r="CH23" s="165" t="str">
        <f>+IF(CG23="","",CG23*CD23)</f>
        <v/>
      </c>
      <c r="CI23" s="11"/>
      <c r="CL23" s="9"/>
      <c r="CM23" s="9"/>
      <c r="CN23" s="10"/>
      <c r="CO23" s="166" t="str">
        <f t="shared" si="18"/>
        <v/>
      </c>
      <c r="CP23" s="167" t="str">
        <f t="shared" si="19"/>
        <v/>
      </c>
      <c r="CQ23" s="165" t="str">
        <f>+IF(CO23="","",CP23*CO23)</f>
        <v/>
      </c>
      <c r="CR23" s="165" t="str">
        <f>+IF(CQ23="","",CQ23*CN23)</f>
        <v/>
      </c>
      <c r="CS23" s="11"/>
      <c r="CV23" s="9"/>
      <c r="CW23" s="9"/>
      <c r="CX23" s="10"/>
      <c r="CY23" s="166" t="str">
        <f t="shared" si="20"/>
        <v/>
      </c>
      <c r="CZ23" s="167" t="str">
        <f t="shared" si="21"/>
        <v/>
      </c>
      <c r="DA23" s="165" t="str">
        <f>+IF(CY23="","",CZ23*CY23)</f>
        <v/>
      </c>
      <c r="DB23" s="165" t="str">
        <f>+IF(DA23="","",DA23*CX23)</f>
        <v/>
      </c>
      <c r="DC23" s="11"/>
      <c r="DF23" s="9"/>
      <c r="DG23" s="9"/>
      <c r="DH23" s="10"/>
      <c r="DI23" s="166" t="str">
        <f t="shared" si="22"/>
        <v/>
      </c>
      <c r="DJ23" s="167" t="str">
        <f t="shared" si="23"/>
        <v/>
      </c>
      <c r="DK23" s="165" t="str">
        <f>+IF(DI23="","",DJ23*DI23)</f>
        <v/>
      </c>
      <c r="DL23" s="165" t="str">
        <f>+IF(DK23="","",DK23*DH23)</f>
        <v/>
      </c>
      <c r="DM23" s="11"/>
      <c r="DP23" s="9"/>
      <c r="DQ23" s="9"/>
      <c r="DR23" s="10"/>
      <c r="DS23" s="166" t="str">
        <f t="shared" si="24"/>
        <v/>
      </c>
      <c r="DT23" s="167" t="str">
        <f t="shared" si="25"/>
        <v/>
      </c>
      <c r="DU23" s="165" t="str">
        <f>+IF(DS23="","",DT23*DS23)</f>
        <v/>
      </c>
      <c r="DV23" s="165" t="str">
        <f>+IF(DU23="","",DU23*DR23)</f>
        <v/>
      </c>
      <c r="DW23" s="11"/>
      <c r="DZ23" s="9"/>
      <c r="EA23" s="9"/>
      <c r="EB23" s="10"/>
      <c r="EC23" s="166" t="str">
        <f t="shared" si="26"/>
        <v/>
      </c>
      <c r="ED23" s="167" t="str">
        <f t="shared" si="27"/>
        <v/>
      </c>
      <c r="EE23" s="165" t="str">
        <f>+IF(EC23="","",ED23*EC23)</f>
        <v/>
      </c>
      <c r="EF23" s="165" t="str">
        <f>+IF(EE23="","",EE23*EB23)</f>
        <v/>
      </c>
      <c r="EG23" s="11"/>
      <c r="EJ23" s="9"/>
      <c r="EK23" s="9"/>
      <c r="EL23" s="10"/>
      <c r="EM23" s="166" t="str">
        <f t="shared" si="28"/>
        <v/>
      </c>
      <c r="EN23" s="167" t="str">
        <f t="shared" si="29"/>
        <v/>
      </c>
      <c r="EO23" s="165" t="str">
        <f>+IF(EM23="","",EN23*EM23)</f>
        <v/>
      </c>
      <c r="EP23" s="165" t="str">
        <f>+IF(EO23="","",EO23*EL23)</f>
        <v/>
      </c>
      <c r="EQ23" s="11"/>
      <c r="ET23" s="9"/>
      <c r="EU23" s="9"/>
      <c r="EV23" s="10"/>
      <c r="EW23" s="166" t="str">
        <f t="shared" si="30"/>
        <v/>
      </c>
      <c r="EX23" s="167" t="str">
        <f t="shared" si="31"/>
        <v/>
      </c>
      <c r="EY23" s="165" t="str">
        <f>+IF(EW23="","",EX23*EW23)</f>
        <v/>
      </c>
      <c r="EZ23" s="165" t="str">
        <f>+IF(EY23="","",EY23*EV23)</f>
        <v/>
      </c>
      <c r="FA23" s="11"/>
      <c r="FD23" s="9"/>
      <c r="FE23" s="9"/>
      <c r="FF23" s="10"/>
      <c r="FG23" s="166" t="str">
        <f t="shared" si="32"/>
        <v/>
      </c>
      <c r="FH23" s="167" t="str">
        <f t="shared" si="33"/>
        <v/>
      </c>
      <c r="FI23" s="165" t="str">
        <f>+IF(FG23="","",FH23*FG23)</f>
        <v/>
      </c>
      <c r="FJ23" s="165" t="str">
        <f>+IF(FI23="","",FI23*FF23)</f>
        <v/>
      </c>
      <c r="FK23" s="11"/>
      <c r="FN23" s="9"/>
      <c r="FO23" s="9"/>
      <c r="FP23" s="10"/>
      <c r="FQ23" s="166" t="str">
        <f t="shared" si="34"/>
        <v/>
      </c>
      <c r="FR23" s="167" t="str">
        <f t="shared" si="35"/>
        <v/>
      </c>
      <c r="FS23" s="165" t="str">
        <f>+IF(FQ23="","",FR23*FQ23)</f>
        <v/>
      </c>
      <c r="FT23" s="165" t="str">
        <f>+IF(FS23="","",FS23*FP23)</f>
        <v/>
      </c>
      <c r="FU23" s="11"/>
    </row>
    <row r="24" spans="1:177" x14ac:dyDescent="0.3">
      <c r="A24" s="9"/>
      <c r="B24" s="9" t="s">
        <v>313</v>
      </c>
      <c r="C24" s="10">
        <v>1</v>
      </c>
      <c r="D24" s="166">
        <f t="shared" si="0"/>
        <v>1400000</v>
      </c>
      <c r="E24" s="167">
        <f t="shared" si="1"/>
        <v>1.6352</v>
      </c>
      <c r="F24" s="165">
        <f>+IF(D24="","",E24*D24)</f>
        <v>2289280</v>
      </c>
      <c r="G24" s="165">
        <f>+IF(F24="","",F24*C24)</f>
        <v>2289280</v>
      </c>
      <c r="H24" s="11"/>
      <c r="K24" s="9"/>
      <c r="L24" s="9" t="s">
        <v>313</v>
      </c>
      <c r="M24" s="10">
        <v>1</v>
      </c>
      <c r="N24" s="166">
        <f t="shared" si="2"/>
        <v>1400000</v>
      </c>
      <c r="O24" s="167">
        <f t="shared" si="3"/>
        <v>1.6352</v>
      </c>
      <c r="P24" s="165">
        <f>+IF(N24="","",O24*N24)</f>
        <v>2289280</v>
      </c>
      <c r="Q24" s="136">
        <f>+IF(P24="","",P24*M24)</f>
        <v>2289280</v>
      </c>
      <c r="R24" s="11"/>
      <c r="U24" s="9"/>
      <c r="V24" s="9" t="s">
        <v>313</v>
      </c>
      <c r="W24" s="10">
        <v>1</v>
      </c>
      <c r="X24" s="166">
        <f t="shared" si="4"/>
        <v>1400000</v>
      </c>
      <c r="Y24" s="167">
        <f t="shared" si="5"/>
        <v>1.6352</v>
      </c>
      <c r="Z24" s="165">
        <f>+IF(X24="","",Y24*X24)</f>
        <v>2289280</v>
      </c>
      <c r="AA24" s="165">
        <f>+IF(Z24="","",Z24*W24)</f>
        <v>2289280</v>
      </c>
      <c r="AB24" s="11"/>
      <c r="AD24" s="9"/>
      <c r="AE24" s="9" t="s">
        <v>313</v>
      </c>
      <c r="AF24" s="10">
        <v>1</v>
      </c>
      <c r="AG24" s="166">
        <f t="shared" si="6"/>
        <v>1400000</v>
      </c>
      <c r="AH24" s="167">
        <f t="shared" si="7"/>
        <v>1.6352</v>
      </c>
      <c r="AI24" s="165">
        <f>+IF(AG24="","",AH24*AG24)</f>
        <v>2289280</v>
      </c>
      <c r="AJ24" s="165">
        <f>+IF(AI24="","",AI24*AF24)</f>
        <v>2289280</v>
      </c>
      <c r="AK24" s="11"/>
      <c r="AN24" s="9"/>
      <c r="AO24" s="9"/>
      <c r="AP24" s="10"/>
      <c r="AQ24" s="166" t="str">
        <f t="shared" si="8"/>
        <v/>
      </c>
      <c r="AR24" s="167" t="str">
        <f t="shared" si="9"/>
        <v/>
      </c>
      <c r="AS24" s="165" t="str">
        <f>+IF(AQ24="","",AR24*AQ24)</f>
        <v/>
      </c>
      <c r="AT24" s="165" t="str">
        <f>+IF(AS24="","",AS24*AP24)</f>
        <v/>
      </c>
      <c r="AU24" s="11"/>
      <c r="AX24" s="9"/>
      <c r="AY24" s="9"/>
      <c r="AZ24" s="10"/>
      <c r="BA24" s="166" t="str">
        <f t="shared" si="10"/>
        <v/>
      </c>
      <c r="BB24" s="167" t="str">
        <f t="shared" si="11"/>
        <v/>
      </c>
      <c r="BC24" s="165" t="str">
        <f>+IF(BA24="","",BB24*BA24)</f>
        <v/>
      </c>
      <c r="BD24" s="165" t="str">
        <f>+IF(BC24="","",BC24*AZ24)</f>
        <v/>
      </c>
      <c r="BE24" s="11"/>
      <c r="BH24" s="9"/>
      <c r="BI24" s="9"/>
      <c r="BJ24" s="10"/>
      <c r="BK24" s="166" t="str">
        <f t="shared" si="12"/>
        <v/>
      </c>
      <c r="BL24" s="167" t="str">
        <f t="shared" si="13"/>
        <v/>
      </c>
      <c r="BM24" s="165" t="str">
        <f>+IF(BK24="","",BL24*BK24)</f>
        <v/>
      </c>
      <c r="BN24" s="165" t="str">
        <f>+IF(BM24="","",BM24*BJ24)</f>
        <v/>
      </c>
      <c r="BO24" s="11"/>
      <c r="BR24" s="9"/>
      <c r="BS24" s="9"/>
      <c r="BT24" s="10"/>
      <c r="BU24" s="166" t="str">
        <f t="shared" si="14"/>
        <v/>
      </c>
      <c r="BV24" s="167" t="str">
        <f t="shared" si="15"/>
        <v/>
      </c>
      <c r="BW24" s="165" t="str">
        <f>+IF(BU24="","",BV24*BU24)</f>
        <v/>
      </c>
      <c r="BX24" s="165" t="str">
        <f>+IF(BW24="","",BW24*BT24)</f>
        <v/>
      </c>
      <c r="BY24" s="11"/>
      <c r="CB24" s="9"/>
      <c r="CC24" s="9"/>
      <c r="CD24" s="10"/>
      <c r="CE24" s="166" t="str">
        <f t="shared" si="16"/>
        <v/>
      </c>
      <c r="CF24" s="167" t="str">
        <f t="shared" si="17"/>
        <v/>
      </c>
      <c r="CG24" s="165" t="str">
        <f>+IF(CE24="","",CF24*CE24)</f>
        <v/>
      </c>
      <c r="CH24" s="165" t="str">
        <f>+IF(CG24="","",CG24*CD24)</f>
        <v/>
      </c>
      <c r="CI24" s="11"/>
      <c r="CL24" s="9"/>
      <c r="CM24" s="9"/>
      <c r="CN24" s="10"/>
      <c r="CO24" s="166" t="str">
        <f t="shared" si="18"/>
        <v/>
      </c>
      <c r="CP24" s="167" t="str">
        <f t="shared" si="19"/>
        <v/>
      </c>
      <c r="CQ24" s="165" t="str">
        <f>+IF(CO24="","",CP24*CO24)</f>
        <v/>
      </c>
      <c r="CR24" s="165" t="str">
        <f>+IF(CQ24="","",CQ24*CN24)</f>
        <v/>
      </c>
      <c r="CS24" s="11"/>
      <c r="CV24" s="9"/>
      <c r="CW24" s="9"/>
      <c r="CX24" s="10"/>
      <c r="CY24" s="166" t="str">
        <f t="shared" si="20"/>
        <v/>
      </c>
      <c r="CZ24" s="167" t="str">
        <f t="shared" si="21"/>
        <v/>
      </c>
      <c r="DA24" s="165" t="str">
        <f>+IF(CY24="","",CZ24*CY24)</f>
        <v/>
      </c>
      <c r="DB24" s="165" t="str">
        <f>+IF(DA24="","",DA24*CX24)</f>
        <v/>
      </c>
      <c r="DC24" s="11"/>
      <c r="DF24" s="9"/>
      <c r="DG24" s="9"/>
      <c r="DH24" s="10"/>
      <c r="DI24" s="166" t="str">
        <f t="shared" si="22"/>
        <v/>
      </c>
      <c r="DJ24" s="167" t="str">
        <f t="shared" si="23"/>
        <v/>
      </c>
      <c r="DK24" s="165" t="str">
        <f>+IF(DI24="","",DJ24*DI24)</f>
        <v/>
      </c>
      <c r="DL24" s="165" t="str">
        <f>+IF(DK24="","",DK24*DH24)</f>
        <v/>
      </c>
      <c r="DM24" s="11"/>
      <c r="DP24" s="9"/>
      <c r="DQ24" s="9"/>
      <c r="DR24" s="10"/>
      <c r="DS24" s="166" t="str">
        <f t="shared" si="24"/>
        <v/>
      </c>
      <c r="DT24" s="167" t="str">
        <f t="shared" si="25"/>
        <v/>
      </c>
      <c r="DU24" s="165" t="str">
        <f>+IF(DS24="","",DT24*DS24)</f>
        <v/>
      </c>
      <c r="DV24" s="165" t="str">
        <f>+IF(DU24="","",DU24*DR24)</f>
        <v/>
      </c>
      <c r="DW24" s="11"/>
      <c r="DZ24" s="9"/>
      <c r="EA24" s="9"/>
      <c r="EB24" s="10"/>
      <c r="EC24" s="166" t="str">
        <f t="shared" si="26"/>
        <v/>
      </c>
      <c r="ED24" s="167" t="str">
        <f t="shared" si="27"/>
        <v/>
      </c>
      <c r="EE24" s="165" t="str">
        <f>+IF(EC24="","",ED24*EC24)</f>
        <v/>
      </c>
      <c r="EF24" s="165" t="str">
        <f>+IF(EE24="","",EE24*EB24)</f>
        <v/>
      </c>
      <c r="EG24" s="11"/>
      <c r="EJ24" s="9"/>
      <c r="EK24" s="9"/>
      <c r="EL24" s="10"/>
      <c r="EM24" s="166" t="str">
        <f t="shared" si="28"/>
        <v/>
      </c>
      <c r="EN24" s="167" t="str">
        <f t="shared" si="29"/>
        <v/>
      </c>
      <c r="EO24" s="165" t="str">
        <f>+IF(EM24="","",EN24*EM24)</f>
        <v/>
      </c>
      <c r="EP24" s="165" t="str">
        <f>+IF(EO24="","",EO24*EL24)</f>
        <v/>
      </c>
      <c r="EQ24" s="11"/>
      <c r="ET24" s="9"/>
      <c r="EU24" s="9"/>
      <c r="EV24" s="10"/>
      <c r="EW24" s="166" t="str">
        <f t="shared" si="30"/>
        <v/>
      </c>
      <c r="EX24" s="167" t="str">
        <f t="shared" si="31"/>
        <v/>
      </c>
      <c r="EY24" s="165" t="str">
        <f>+IF(EW24="","",EX24*EW24)</f>
        <v/>
      </c>
      <c r="EZ24" s="165" t="str">
        <f>+IF(EY24="","",EY24*EV24)</f>
        <v/>
      </c>
      <c r="FA24" s="11"/>
      <c r="FD24" s="9"/>
      <c r="FE24" s="9"/>
      <c r="FF24" s="10"/>
      <c r="FG24" s="166" t="str">
        <f t="shared" si="32"/>
        <v/>
      </c>
      <c r="FH24" s="167" t="str">
        <f t="shared" si="33"/>
        <v/>
      </c>
      <c r="FI24" s="165" t="str">
        <f>+IF(FG24="","",FH24*FG24)</f>
        <v/>
      </c>
      <c r="FJ24" s="165" t="str">
        <f>+IF(FI24="","",FI24*FF24)</f>
        <v/>
      </c>
      <c r="FK24" s="11"/>
      <c r="FN24" s="9"/>
      <c r="FO24" s="9"/>
      <c r="FP24" s="10"/>
      <c r="FQ24" s="166" t="str">
        <f t="shared" si="34"/>
        <v/>
      </c>
      <c r="FR24" s="167" t="str">
        <f t="shared" si="35"/>
        <v/>
      </c>
      <c r="FS24" s="165" t="str">
        <f>+IF(FQ24="","",FR24*FQ24)</f>
        <v/>
      </c>
      <c r="FT24" s="165" t="str">
        <f>+IF(FS24="","",FS24*FP24)</f>
        <v/>
      </c>
      <c r="FU24" s="11"/>
    </row>
    <row r="25" spans="1:177" x14ac:dyDescent="0.3">
      <c r="A25" s="9"/>
      <c r="B25" s="9" t="s">
        <v>314</v>
      </c>
      <c r="C25" s="10">
        <v>1</v>
      </c>
      <c r="D25" s="166">
        <f t="shared" si="0"/>
        <v>2500000</v>
      </c>
      <c r="E25" s="167">
        <f t="shared" si="1"/>
        <v>2.2351999999999999</v>
      </c>
      <c r="F25" s="165">
        <f t="shared" si="36"/>
        <v>5588000</v>
      </c>
      <c r="G25" s="165">
        <f t="shared" si="37"/>
        <v>5588000</v>
      </c>
      <c r="H25" s="11"/>
      <c r="K25" s="9"/>
      <c r="L25" s="9" t="s">
        <v>314</v>
      </c>
      <c r="M25" s="10">
        <v>1</v>
      </c>
      <c r="N25" s="166">
        <f t="shared" si="2"/>
        <v>2500000</v>
      </c>
      <c r="O25" s="167">
        <f t="shared" si="3"/>
        <v>2.2351999999999999</v>
      </c>
      <c r="P25" s="165">
        <f t="shared" ref="P25:P30" si="72">+IF(N25="","",O25*N25)</f>
        <v>5588000</v>
      </c>
      <c r="Q25" s="136">
        <f t="shared" ref="Q25:Q30" si="73">+IF(P25="","",P25*M25)</f>
        <v>5588000</v>
      </c>
      <c r="R25" s="11"/>
      <c r="U25" s="9"/>
      <c r="V25" s="9" t="s">
        <v>314</v>
      </c>
      <c r="W25" s="10">
        <v>1</v>
      </c>
      <c r="X25" s="166">
        <f t="shared" si="4"/>
        <v>2500000</v>
      </c>
      <c r="Y25" s="167">
        <f t="shared" si="5"/>
        <v>2.2351999999999999</v>
      </c>
      <c r="Z25" s="165">
        <f t="shared" ref="Z25:Z30" si="74">+IF(X25="","",Y25*X25)</f>
        <v>5588000</v>
      </c>
      <c r="AA25" s="165">
        <f t="shared" ref="AA25:AA30" si="75">+IF(Z25="","",Z25*W25)</f>
        <v>5588000</v>
      </c>
      <c r="AB25" s="11"/>
      <c r="AD25" s="9"/>
      <c r="AE25" s="9" t="s">
        <v>314</v>
      </c>
      <c r="AF25" s="10">
        <v>1</v>
      </c>
      <c r="AG25" s="166">
        <f t="shared" si="6"/>
        <v>2500000</v>
      </c>
      <c r="AH25" s="167">
        <f t="shared" si="7"/>
        <v>2.2351999999999999</v>
      </c>
      <c r="AI25" s="165">
        <f t="shared" ref="AI25:AI30" si="76">+IF(AG25="","",AH25*AG25)</f>
        <v>5588000</v>
      </c>
      <c r="AJ25" s="165">
        <f t="shared" ref="AJ25:AJ30" si="77">+IF(AI25="","",AI25*AF25)</f>
        <v>5588000</v>
      </c>
      <c r="AK25" s="11"/>
      <c r="AN25" s="9"/>
      <c r="AO25" s="9"/>
      <c r="AP25" s="10"/>
      <c r="AQ25" s="166" t="str">
        <f t="shared" si="8"/>
        <v/>
      </c>
      <c r="AR25" s="167" t="str">
        <f t="shared" si="9"/>
        <v/>
      </c>
      <c r="AS25" s="165" t="str">
        <f t="shared" ref="AS25:AS30" si="78">+IF(AQ25="","",AR25*AQ25)</f>
        <v/>
      </c>
      <c r="AT25" s="165" t="str">
        <f t="shared" ref="AT25:AT30" si="79">+IF(AS25="","",AS25*AP25)</f>
        <v/>
      </c>
      <c r="AU25" s="11"/>
      <c r="AX25" s="9"/>
      <c r="AY25" s="9"/>
      <c r="AZ25" s="10"/>
      <c r="BA25" s="166" t="str">
        <f t="shared" si="10"/>
        <v/>
      </c>
      <c r="BB25" s="167" t="str">
        <f t="shared" si="11"/>
        <v/>
      </c>
      <c r="BC25" s="165" t="str">
        <f t="shared" ref="BC25:BC30" si="80">+IF(BA25="","",BB25*BA25)</f>
        <v/>
      </c>
      <c r="BD25" s="165" t="str">
        <f t="shared" ref="BD25:BD30" si="81">+IF(BC25="","",BC25*AZ25)</f>
        <v/>
      </c>
      <c r="BE25" s="11"/>
      <c r="BH25" s="9"/>
      <c r="BI25" s="9"/>
      <c r="BJ25" s="10"/>
      <c r="BK25" s="166" t="str">
        <f t="shared" si="12"/>
        <v/>
      </c>
      <c r="BL25" s="167" t="str">
        <f t="shared" si="13"/>
        <v/>
      </c>
      <c r="BM25" s="165" t="str">
        <f t="shared" ref="BM25:BM30" si="82">+IF(BK25="","",BL25*BK25)</f>
        <v/>
      </c>
      <c r="BN25" s="165" t="str">
        <f t="shared" ref="BN25:BN30" si="83">+IF(BM25="","",BM25*BJ25)</f>
        <v/>
      </c>
      <c r="BO25" s="11"/>
      <c r="BR25" s="9"/>
      <c r="BS25" s="9"/>
      <c r="BT25" s="10"/>
      <c r="BU25" s="166" t="str">
        <f t="shared" si="14"/>
        <v/>
      </c>
      <c r="BV25" s="167" t="str">
        <f t="shared" si="15"/>
        <v/>
      </c>
      <c r="BW25" s="165" t="str">
        <f t="shared" ref="BW25:BW30" si="84">+IF(BU25="","",BV25*BU25)</f>
        <v/>
      </c>
      <c r="BX25" s="165" t="str">
        <f t="shared" ref="BX25:BX30" si="85">+IF(BW25="","",BW25*BT25)</f>
        <v/>
      </c>
      <c r="BY25" s="11"/>
      <c r="CB25" s="9"/>
      <c r="CC25" s="9"/>
      <c r="CD25" s="10"/>
      <c r="CE25" s="166" t="str">
        <f t="shared" si="16"/>
        <v/>
      </c>
      <c r="CF25" s="167" t="str">
        <f t="shared" si="17"/>
        <v/>
      </c>
      <c r="CG25" s="165" t="str">
        <f t="shared" ref="CG25:CG30" si="86">+IF(CE25="","",CF25*CE25)</f>
        <v/>
      </c>
      <c r="CH25" s="165" t="str">
        <f t="shared" ref="CH25:CH30" si="87">+IF(CG25="","",CG25*CD25)</f>
        <v/>
      </c>
      <c r="CI25" s="11"/>
      <c r="CL25" s="9"/>
      <c r="CM25" s="9"/>
      <c r="CN25" s="10"/>
      <c r="CO25" s="166" t="str">
        <f t="shared" si="18"/>
        <v/>
      </c>
      <c r="CP25" s="167" t="str">
        <f t="shared" si="19"/>
        <v/>
      </c>
      <c r="CQ25" s="165" t="str">
        <f t="shared" ref="CQ25:CQ30" si="88">+IF(CO25="","",CP25*CO25)</f>
        <v/>
      </c>
      <c r="CR25" s="165" t="str">
        <f t="shared" ref="CR25:CR30" si="89">+IF(CQ25="","",CQ25*CN25)</f>
        <v/>
      </c>
      <c r="CS25" s="11"/>
      <c r="CV25" s="9"/>
      <c r="CW25" s="9"/>
      <c r="CX25" s="10"/>
      <c r="CY25" s="166" t="str">
        <f t="shared" si="20"/>
        <v/>
      </c>
      <c r="CZ25" s="167" t="str">
        <f t="shared" si="21"/>
        <v/>
      </c>
      <c r="DA25" s="165" t="str">
        <f t="shared" ref="DA25:DA30" si="90">+IF(CY25="","",CZ25*CY25)</f>
        <v/>
      </c>
      <c r="DB25" s="165" t="str">
        <f t="shared" ref="DB25:DB30" si="91">+IF(DA25="","",DA25*CX25)</f>
        <v/>
      </c>
      <c r="DC25" s="11"/>
      <c r="DF25" s="9"/>
      <c r="DG25" s="9"/>
      <c r="DH25" s="10"/>
      <c r="DI25" s="166" t="str">
        <f t="shared" si="22"/>
        <v/>
      </c>
      <c r="DJ25" s="167" t="str">
        <f t="shared" si="23"/>
        <v/>
      </c>
      <c r="DK25" s="165" t="str">
        <f t="shared" ref="DK25:DK30" si="92">+IF(DI25="","",DJ25*DI25)</f>
        <v/>
      </c>
      <c r="DL25" s="165" t="str">
        <f t="shared" ref="DL25:DL30" si="93">+IF(DK25="","",DK25*DH25)</f>
        <v/>
      </c>
      <c r="DM25" s="11"/>
      <c r="DP25" s="9"/>
      <c r="DQ25" s="9"/>
      <c r="DR25" s="10"/>
      <c r="DS25" s="166" t="str">
        <f t="shared" si="24"/>
        <v/>
      </c>
      <c r="DT25" s="167" t="str">
        <f t="shared" si="25"/>
        <v/>
      </c>
      <c r="DU25" s="165" t="str">
        <f t="shared" ref="DU25:DU30" si="94">+IF(DS25="","",DT25*DS25)</f>
        <v/>
      </c>
      <c r="DV25" s="165" t="str">
        <f t="shared" ref="DV25:DV30" si="95">+IF(DU25="","",DU25*DR25)</f>
        <v/>
      </c>
      <c r="DW25" s="11"/>
      <c r="DZ25" s="9"/>
      <c r="EA25" s="9"/>
      <c r="EB25" s="10"/>
      <c r="EC25" s="166" t="str">
        <f t="shared" si="26"/>
        <v/>
      </c>
      <c r="ED25" s="167" t="str">
        <f t="shared" si="27"/>
        <v/>
      </c>
      <c r="EE25" s="165" t="str">
        <f t="shared" ref="EE25:EE30" si="96">+IF(EC25="","",ED25*EC25)</f>
        <v/>
      </c>
      <c r="EF25" s="165" t="str">
        <f t="shared" ref="EF25:EF30" si="97">+IF(EE25="","",EE25*EB25)</f>
        <v/>
      </c>
      <c r="EG25" s="11"/>
      <c r="EJ25" s="9"/>
      <c r="EK25" s="9"/>
      <c r="EL25" s="10"/>
      <c r="EM25" s="166" t="str">
        <f t="shared" si="28"/>
        <v/>
      </c>
      <c r="EN25" s="167" t="str">
        <f t="shared" si="29"/>
        <v/>
      </c>
      <c r="EO25" s="165" t="str">
        <f t="shared" ref="EO25:EO30" si="98">+IF(EM25="","",EN25*EM25)</f>
        <v/>
      </c>
      <c r="EP25" s="165" t="str">
        <f t="shared" ref="EP25:EP30" si="99">+IF(EO25="","",EO25*EL25)</f>
        <v/>
      </c>
      <c r="EQ25" s="11"/>
      <c r="ET25" s="9"/>
      <c r="EU25" s="9"/>
      <c r="EV25" s="10"/>
      <c r="EW25" s="166" t="str">
        <f t="shared" si="30"/>
        <v/>
      </c>
      <c r="EX25" s="167" t="str">
        <f t="shared" si="31"/>
        <v/>
      </c>
      <c r="EY25" s="165" t="str">
        <f t="shared" ref="EY25:EY30" si="100">+IF(EW25="","",EX25*EW25)</f>
        <v/>
      </c>
      <c r="EZ25" s="165" t="str">
        <f t="shared" ref="EZ25:EZ30" si="101">+IF(EY25="","",EY25*EV25)</f>
        <v/>
      </c>
      <c r="FA25" s="11"/>
      <c r="FD25" s="9"/>
      <c r="FE25" s="9"/>
      <c r="FF25" s="10"/>
      <c r="FG25" s="166" t="str">
        <f t="shared" si="32"/>
        <v/>
      </c>
      <c r="FH25" s="167" t="str">
        <f t="shared" si="33"/>
        <v/>
      </c>
      <c r="FI25" s="165" t="str">
        <f t="shared" ref="FI25:FI30" si="102">+IF(FG25="","",FH25*FG25)</f>
        <v/>
      </c>
      <c r="FJ25" s="165" t="str">
        <f t="shared" ref="FJ25:FJ30" si="103">+IF(FI25="","",FI25*FF25)</f>
        <v/>
      </c>
      <c r="FK25" s="11"/>
      <c r="FN25" s="9"/>
      <c r="FO25" s="9"/>
      <c r="FP25" s="10"/>
      <c r="FQ25" s="166" t="str">
        <f t="shared" si="34"/>
        <v/>
      </c>
      <c r="FR25" s="167" t="str">
        <f t="shared" si="35"/>
        <v/>
      </c>
      <c r="FS25" s="165" t="str">
        <f t="shared" ref="FS25:FS30" si="104">+IF(FQ25="","",FR25*FQ25)</f>
        <v/>
      </c>
      <c r="FT25" s="165" t="str">
        <f t="shared" ref="FT25:FT30" si="105">+IF(FS25="","",FS25*FP25)</f>
        <v/>
      </c>
      <c r="FU25" s="11"/>
    </row>
    <row r="26" spans="1:177" x14ac:dyDescent="0.3">
      <c r="A26" s="9"/>
      <c r="B26" s="9" t="s">
        <v>315</v>
      </c>
      <c r="C26" s="10">
        <v>1</v>
      </c>
      <c r="D26" s="166" t="e">
        <f t="shared" si="0"/>
        <v>#N/A</v>
      </c>
      <c r="E26" s="167" t="e">
        <f t="shared" si="1"/>
        <v>#N/A</v>
      </c>
      <c r="F26" s="165" t="e">
        <f t="shared" si="36"/>
        <v>#N/A</v>
      </c>
      <c r="G26" s="165" t="e">
        <f t="shared" si="37"/>
        <v>#N/A</v>
      </c>
      <c r="H26" s="11"/>
      <c r="K26" s="9"/>
      <c r="L26" s="9" t="s">
        <v>315</v>
      </c>
      <c r="M26" s="10">
        <v>1</v>
      </c>
      <c r="N26" s="166" t="e">
        <f t="shared" si="2"/>
        <v>#N/A</v>
      </c>
      <c r="O26" s="167" t="e">
        <f t="shared" si="3"/>
        <v>#N/A</v>
      </c>
      <c r="P26" s="165" t="e">
        <f t="shared" si="72"/>
        <v>#N/A</v>
      </c>
      <c r="Q26" s="136" t="e">
        <f t="shared" si="73"/>
        <v>#N/A</v>
      </c>
      <c r="R26" s="11"/>
      <c r="U26" s="9"/>
      <c r="V26" s="9" t="s">
        <v>315</v>
      </c>
      <c r="W26" s="10">
        <v>1</v>
      </c>
      <c r="X26" s="166" t="e">
        <f t="shared" si="4"/>
        <v>#N/A</v>
      </c>
      <c r="Y26" s="167" t="e">
        <f t="shared" si="5"/>
        <v>#N/A</v>
      </c>
      <c r="Z26" s="165" t="e">
        <f t="shared" si="74"/>
        <v>#N/A</v>
      </c>
      <c r="AA26" s="165" t="e">
        <f t="shared" si="75"/>
        <v>#N/A</v>
      </c>
      <c r="AB26" s="11"/>
      <c r="AD26" s="9"/>
      <c r="AE26" s="9" t="s">
        <v>315</v>
      </c>
      <c r="AF26" s="10">
        <v>1</v>
      </c>
      <c r="AG26" s="166" t="e">
        <f t="shared" si="6"/>
        <v>#N/A</v>
      </c>
      <c r="AH26" s="167" t="e">
        <f t="shared" si="7"/>
        <v>#N/A</v>
      </c>
      <c r="AI26" s="165" t="e">
        <f t="shared" si="76"/>
        <v>#N/A</v>
      </c>
      <c r="AJ26" s="165" t="e">
        <f t="shared" si="77"/>
        <v>#N/A</v>
      </c>
      <c r="AK26" s="11"/>
      <c r="AN26" s="9"/>
      <c r="AO26" s="9"/>
      <c r="AP26" s="10"/>
      <c r="AQ26" s="166" t="str">
        <f t="shared" si="8"/>
        <v/>
      </c>
      <c r="AR26" s="167" t="str">
        <f t="shared" si="9"/>
        <v/>
      </c>
      <c r="AS26" s="165" t="str">
        <f t="shared" si="78"/>
        <v/>
      </c>
      <c r="AT26" s="165" t="str">
        <f t="shared" si="79"/>
        <v/>
      </c>
      <c r="AU26" s="11"/>
      <c r="AX26" s="9"/>
      <c r="AY26" s="9"/>
      <c r="AZ26" s="10"/>
      <c r="BA26" s="166" t="str">
        <f t="shared" si="10"/>
        <v/>
      </c>
      <c r="BB26" s="167" t="str">
        <f t="shared" si="11"/>
        <v/>
      </c>
      <c r="BC26" s="165" t="str">
        <f t="shared" si="80"/>
        <v/>
      </c>
      <c r="BD26" s="165" t="str">
        <f t="shared" si="81"/>
        <v/>
      </c>
      <c r="BE26" s="11"/>
      <c r="BH26" s="9"/>
      <c r="BI26" s="9"/>
      <c r="BJ26" s="10"/>
      <c r="BK26" s="166" t="str">
        <f t="shared" si="12"/>
        <v/>
      </c>
      <c r="BL26" s="167" t="str">
        <f t="shared" si="13"/>
        <v/>
      </c>
      <c r="BM26" s="165" t="str">
        <f t="shared" si="82"/>
        <v/>
      </c>
      <c r="BN26" s="165" t="str">
        <f t="shared" si="83"/>
        <v/>
      </c>
      <c r="BO26" s="11"/>
      <c r="BR26" s="9"/>
      <c r="BS26" s="9"/>
      <c r="BT26" s="10"/>
      <c r="BU26" s="166" t="str">
        <f t="shared" si="14"/>
        <v/>
      </c>
      <c r="BV26" s="167" t="str">
        <f t="shared" si="15"/>
        <v/>
      </c>
      <c r="BW26" s="165" t="str">
        <f t="shared" si="84"/>
        <v/>
      </c>
      <c r="BX26" s="165" t="str">
        <f t="shared" si="85"/>
        <v/>
      </c>
      <c r="BY26" s="11"/>
      <c r="CB26" s="9"/>
      <c r="CC26" s="9"/>
      <c r="CD26" s="10"/>
      <c r="CE26" s="166" t="str">
        <f t="shared" si="16"/>
        <v/>
      </c>
      <c r="CF26" s="167" t="str">
        <f t="shared" si="17"/>
        <v/>
      </c>
      <c r="CG26" s="165" t="str">
        <f t="shared" si="86"/>
        <v/>
      </c>
      <c r="CH26" s="165" t="str">
        <f t="shared" si="87"/>
        <v/>
      </c>
      <c r="CI26" s="11"/>
      <c r="CL26" s="9"/>
      <c r="CM26" s="9"/>
      <c r="CN26" s="10"/>
      <c r="CO26" s="166" t="str">
        <f t="shared" si="18"/>
        <v/>
      </c>
      <c r="CP26" s="167" t="str">
        <f t="shared" si="19"/>
        <v/>
      </c>
      <c r="CQ26" s="165" t="str">
        <f t="shared" si="88"/>
        <v/>
      </c>
      <c r="CR26" s="165" t="str">
        <f t="shared" si="89"/>
        <v/>
      </c>
      <c r="CS26" s="11"/>
      <c r="CV26" s="9"/>
      <c r="CW26" s="9"/>
      <c r="CX26" s="10"/>
      <c r="CY26" s="166" t="str">
        <f t="shared" si="20"/>
        <v/>
      </c>
      <c r="CZ26" s="167" t="str">
        <f t="shared" si="21"/>
        <v/>
      </c>
      <c r="DA26" s="165" t="str">
        <f t="shared" si="90"/>
        <v/>
      </c>
      <c r="DB26" s="165" t="str">
        <f t="shared" si="91"/>
        <v/>
      </c>
      <c r="DC26" s="11"/>
      <c r="DF26" s="9"/>
      <c r="DG26" s="9"/>
      <c r="DH26" s="10"/>
      <c r="DI26" s="166" t="str">
        <f t="shared" si="22"/>
        <v/>
      </c>
      <c r="DJ26" s="167" t="str">
        <f t="shared" si="23"/>
        <v/>
      </c>
      <c r="DK26" s="165" t="str">
        <f t="shared" si="92"/>
        <v/>
      </c>
      <c r="DL26" s="165" t="str">
        <f t="shared" si="93"/>
        <v/>
      </c>
      <c r="DM26" s="11"/>
      <c r="DP26" s="9"/>
      <c r="DQ26" s="9"/>
      <c r="DR26" s="10"/>
      <c r="DS26" s="166" t="str">
        <f t="shared" si="24"/>
        <v/>
      </c>
      <c r="DT26" s="167" t="str">
        <f t="shared" si="25"/>
        <v/>
      </c>
      <c r="DU26" s="165" t="str">
        <f t="shared" si="94"/>
        <v/>
      </c>
      <c r="DV26" s="165" t="str">
        <f t="shared" si="95"/>
        <v/>
      </c>
      <c r="DW26" s="11"/>
      <c r="DZ26" s="9"/>
      <c r="EA26" s="9"/>
      <c r="EB26" s="10"/>
      <c r="EC26" s="166" t="str">
        <f t="shared" si="26"/>
        <v/>
      </c>
      <c r="ED26" s="167" t="str">
        <f t="shared" si="27"/>
        <v/>
      </c>
      <c r="EE26" s="165" t="str">
        <f t="shared" si="96"/>
        <v/>
      </c>
      <c r="EF26" s="165" t="str">
        <f t="shared" si="97"/>
        <v/>
      </c>
      <c r="EG26" s="11"/>
      <c r="EJ26" s="9"/>
      <c r="EK26" s="9"/>
      <c r="EL26" s="10"/>
      <c r="EM26" s="166" t="str">
        <f t="shared" si="28"/>
        <v/>
      </c>
      <c r="EN26" s="167" t="str">
        <f t="shared" si="29"/>
        <v/>
      </c>
      <c r="EO26" s="165" t="str">
        <f t="shared" si="98"/>
        <v/>
      </c>
      <c r="EP26" s="165" t="str">
        <f t="shared" si="99"/>
        <v/>
      </c>
      <c r="EQ26" s="11"/>
      <c r="ET26" s="9"/>
      <c r="EU26" s="9"/>
      <c r="EV26" s="10"/>
      <c r="EW26" s="166" t="str">
        <f t="shared" si="30"/>
        <v/>
      </c>
      <c r="EX26" s="167" t="str">
        <f t="shared" si="31"/>
        <v/>
      </c>
      <c r="EY26" s="165" t="str">
        <f t="shared" si="100"/>
        <v/>
      </c>
      <c r="EZ26" s="165" t="str">
        <f t="shared" si="101"/>
        <v/>
      </c>
      <c r="FA26" s="11"/>
      <c r="FD26" s="9"/>
      <c r="FE26" s="9"/>
      <c r="FF26" s="10"/>
      <c r="FG26" s="166" t="str">
        <f t="shared" si="32"/>
        <v/>
      </c>
      <c r="FH26" s="167" t="str">
        <f t="shared" si="33"/>
        <v/>
      </c>
      <c r="FI26" s="165" t="str">
        <f t="shared" si="102"/>
        <v/>
      </c>
      <c r="FJ26" s="165" t="str">
        <f t="shared" si="103"/>
        <v/>
      </c>
      <c r="FK26" s="11"/>
      <c r="FN26" s="9"/>
      <c r="FO26" s="9"/>
      <c r="FP26" s="10"/>
      <c r="FQ26" s="166" t="str">
        <f t="shared" si="34"/>
        <v/>
      </c>
      <c r="FR26" s="167" t="str">
        <f t="shared" si="35"/>
        <v/>
      </c>
      <c r="FS26" s="165" t="str">
        <f t="shared" si="104"/>
        <v/>
      </c>
      <c r="FT26" s="165" t="str">
        <f t="shared" si="105"/>
        <v/>
      </c>
      <c r="FU26" s="11"/>
    </row>
    <row r="27" spans="1:177" x14ac:dyDescent="0.3">
      <c r="A27" s="9"/>
      <c r="B27" s="9" t="s">
        <v>478</v>
      </c>
      <c r="C27" s="10">
        <v>1</v>
      </c>
      <c r="D27" s="166">
        <f t="shared" si="0"/>
        <v>3000000</v>
      </c>
      <c r="E27" s="167">
        <f t="shared" si="1"/>
        <v>2.1352000000000002</v>
      </c>
      <c r="F27" s="165">
        <f t="shared" si="36"/>
        <v>6405600.0000000009</v>
      </c>
      <c r="G27" s="165">
        <f t="shared" si="37"/>
        <v>6405600.0000000009</v>
      </c>
      <c r="H27" s="11"/>
      <c r="K27" s="9"/>
      <c r="L27" s="9" t="s">
        <v>478</v>
      </c>
      <c r="M27" s="10">
        <v>1</v>
      </c>
      <c r="N27" s="166">
        <f t="shared" si="2"/>
        <v>3000000</v>
      </c>
      <c r="O27" s="167">
        <f t="shared" si="3"/>
        <v>2.1352000000000002</v>
      </c>
      <c r="P27" s="165">
        <f t="shared" si="72"/>
        <v>6405600.0000000009</v>
      </c>
      <c r="Q27" s="136">
        <f t="shared" si="73"/>
        <v>6405600.0000000009</v>
      </c>
      <c r="R27" s="11"/>
      <c r="U27" s="9"/>
      <c r="V27" s="9" t="s">
        <v>478</v>
      </c>
      <c r="W27" s="10">
        <v>1</v>
      </c>
      <c r="X27" s="166">
        <f t="shared" si="4"/>
        <v>3000000</v>
      </c>
      <c r="Y27" s="167">
        <f t="shared" si="5"/>
        <v>2.1352000000000002</v>
      </c>
      <c r="Z27" s="165">
        <f t="shared" si="74"/>
        <v>6405600.0000000009</v>
      </c>
      <c r="AA27" s="165">
        <f t="shared" si="75"/>
        <v>6405600.0000000009</v>
      </c>
      <c r="AB27" s="11"/>
      <c r="AD27" s="9"/>
      <c r="AE27" s="9" t="s">
        <v>478</v>
      </c>
      <c r="AF27" s="10">
        <v>1</v>
      </c>
      <c r="AG27" s="166">
        <f t="shared" si="6"/>
        <v>3000000</v>
      </c>
      <c r="AH27" s="167">
        <f t="shared" si="7"/>
        <v>2.1352000000000002</v>
      </c>
      <c r="AI27" s="165">
        <f t="shared" si="76"/>
        <v>6405600.0000000009</v>
      </c>
      <c r="AJ27" s="165">
        <f t="shared" si="77"/>
        <v>6405600.0000000009</v>
      </c>
      <c r="AK27" s="11"/>
      <c r="AN27" s="9"/>
      <c r="AO27" s="9"/>
      <c r="AP27" s="10"/>
      <c r="AQ27" s="166" t="str">
        <f t="shared" si="8"/>
        <v/>
      </c>
      <c r="AR27" s="167" t="str">
        <f t="shared" si="9"/>
        <v/>
      </c>
      <c r="AS27" s="165" t="str">
        <f t="shared" si="78"/>
        <v/>
      </c>
      <c r="AT27" s="165" t="str">
        <f t="shared" si="79"/>
        <v/>
      </c>
      <c r="AU27" s="11"/>
      <c r="AX27" s="9"/>
      <c r="AY27" s="9"/>
      <c r="AZ27" s="10"/>
      <c r="BA27" s="166" t="str">
        <f t="shared" si="10"/>
        <v/>
      </c>
      <c r="BB27" s="167" t="str">
        <f t="shared" si="11"/>
        <v/>
      </c>
      <c r="BC27" s="165" t="str">
        <f t="shared" si="80"/>
        <v/>
      </c>
      <c r="BD27" s="165" t="str">
        <f t="shared" si="81"/>
        <v/>
      </c>
      <c r="BE27" s="11"/>
      <c r="BH27" s="9"/>
      <c r="BI27" s="9"/>
      <c r="BJ27" s="10"/>
      <c r="BK27" s="166" t="str">
        <f t="shared" si="12"/>
        <v/>
      </c>
      <c r="BL27" s="167" t="str">
        <f t="shared" si="13"/>
        <v/>
      </c>
      <c r="BM27" s="165" t="str">
        <f t="shared" si="82"/>
        <v/>
      </c>
      <c r="BN27" s="165" t="str">
        <f t="shared" si="83"/>
        <v/>
      </c>
      <c r="BO27" s="11"/>
      <c r="BR27" s="9"/>
      <c r="BS27" s="9"/>
      <c r="BT27" s="10"/>
      <c r="BU27" s="166" t="str">
        <f t="shared" si="14"/>
        <v/>
      </c>
      <c r="BV27" s="167" t="str">
        <f t="shared" si="15"/>
        <v/>
      </c>
      <c r="BW27" s="165" t="str">
        <f t="shared" si="84"/>
        <v/>
      </c>
      <c r="BX27" s="165" t="str">
        <f t="shared" si="85"/>
        <v/>
      </c>
      <c r="BY27" s="11"/>
      <c r="CB27" s="9"/>
      <c r="CC27" s="9"/>
      <c r="CD27" s="10"/>
      <c r="CE27" s="166" t="str">
        <f t="shared" si="16"/>
        <v/>
      </c>
      <c r="CF27" s="167" t="str">
        <f t="shared" si="17"/>
        <v/>
      </c>
      <c r="CG27" s="165" t="str">
        <f t="shared" si="86"/>
        <v/>
      </c>
      <c r="CH27" s="165" t="str">
        <f t="shared" si="87"/>
        <v/>
      </c>
      <c r="CI27" s="11"/>
      <c r="CL27" s="9"/>
      <c r="CM27" s="9"/>
      <c r="CN27" s="10"/>
      <c r="CO27" s="166" t="str">
        <f t="shared" si="18"/>
        <v/>
      </c>
      <c r="CP27" s="167" t="str">
        <f t="shared" si="19"/>
        <v/>
      </c>
      <c r="CQ27" s="165" t="str">
        <f t="shared" si="88"/>
        <v/>
      </c>
      <c r="CR27" s="165" t="str">
        <f t="shared" si="89"/>
        <v/>
      </c>
      <c r="CS27" s="11"/>
      <c r="CV27" s="9"/>
      <c r="CW27" s="9"/>
      <c r="CX27" s="10"/>
      <c r="CY27" s="166" t="str">
        <f t="shared" si="20"/>
        <v/>
      </c>
      <c r="CZ27" s="167" t="str">
        <f t="shared" si="21"/>
        <v/>
      </c>
      <c r="DA27" s="165" t="str">
        <f t="shared" si="90"/>
        <v/>
      </c>
      <c r="DB27" s="165" t="str">
        <f t="shared" si="91"/>
        <v/>
      </c>
      <c r="DC27" s="11"/>
      <c r="DF27" s="9"/>
      <c r="DG27" s="9"/>
      <c r="DH27" s="10"/>
      <c r="DI27" s="166" t="str">
        <f t="shared" si="22"/>
        <v/>
      </c>
      <c r="DJ27" s="167" t="str">
        <f t="shared" si="23"/>
        <v/>
      </c>
      <c r="DK27" s="165" t="str">
        <f t="shared" si="92"/>
        <v/>
      </c>
      <c r="DL27" s="165" t="str">
        <f t="shared" si="93"/>
        <v/>
      </c>
      <c r="DM27" s="11"/>
      <c r="DP27" s="9"/>
      <c r="DQ27" s="9"/>
      <c r="DR27" s="10"/>
      <c r="DS27" s="166" t="str">
        <f t="shared" si="24"/>
        <v/>
      </c>
      <c r="DT27" s="167" t="str">
        <f t="shared" si="25"/>
        <v/>
      </c>
      <c r="DU27" s="165" t="str">
        <f t="shared" si="94"/>
        <v/>
      </c>
      <c r="DV27" s="165" t="str">
        <f t="shared" si="95"/>
        <v/>
      </c>
      <c r="DW27" s="11"/>
      <c r="DZ27" s="9"/>
      <c r="EA27" s="9"/>
      <c r="EB27" s="10"/>
      <c r="EC27" s="166" t="str">
        <f t="shared" si="26"/>
        <v/>
      </c>
      <c r="ED27" s="167" t="str">
        <f t="shared" si="27"/>
        <v/>
      </c>
      <c r="EE27" s="165" t="str">
        <f t="shared" si="96"/>
        <v/>
      </c>
      <c r="EF27" s="165" t="str">
        <f t="shared" si="97"/>
        <v/>
      </c>
      <c r="EG27" s="11"/>
      <c r="EJ27" s="9"/>
      <c r="EK27" s="9"/>
      <c r="EL27" s="10"/>
      <c r="EM27" s="166" t="str">
        <f t="shared" si="28"/>
        <v/>
      </c>
      <c r="EN27" s="167" t="str">
        <f t="shared" si="29"/>
        <v/>
      </c>
      <c r="EO27" s="165" t="str">
        <f t="shared" si="98"/>
        <v/>
      </c>
      <c r="EP27" s="165" t="str">
        <f t="shared" si="99"/>
        <v/>
      </c>
      <c r="EQ27" s="11"/>
      <c r="ET27" s="9"/>
      <c r="EU27" s="9"/>
      <c r="EV27" s="10"/>
      <c r="EW27" s="166" t="str">
        <f t="shared" si="30"/>
        <v/>
      </c>
      <c r="EX27" s="167" t="str">
        <f t="shared" si="31"/>
        <v/>
      </c>
      <c r="EY27" s="165" t="str">
        <f t="shared" si="100"/>
        <v/>
      </c>
      <c r="EZ27" s="165" t="str">
        <f t="shared" si="101"/>
        <v/>
      </c>
      <c r="FA27" s="11"/>
      <c r="FD27" s="9"/>
      <c r="FE27" s="9"/>
      <c r="FF27" s="10"/>
      <c r="FG27" s="166" t="str">
        <f t="shared" si="32"/>
        <v/>
      </c>
      <c r="FH27" s="167" t="str">
        <f t="shared" si="33"/>
        <v/>
      </c>
      <c r="FI27" s="165" t="str">
        <f t="shared" si="102"/>
        <v/>
      </c>
      <c r="FJ27" s="165" t="str">
        <f t="shared" si="103"/>
        <v/>
      </c>
      <c r="FK27" s="11"/>
      <c r="FN27" s="9"/>
      <c r="FO27" s="9"/>
      <c r="FP27" s="10"/>
      <c r="FQ27" s="166" t="str">
        <f t="shared" si="34"/>
        <v/>
      </c>
      <c r="FR27" s="167" t="str">
        <f t="shared" si="35"/>
        <v/>
      </c>
      <c r="FS27" s="165" t="str">
        <f t="shared" si="104"/>
        <v/>
      </c>
      <c r="FT27" s="165" t="str">
        <f t="shared" si="105"/>
        <v/>
      </c>
      <c r="FU27" s="11"/>
    </row>
    <row r="28" spans="1:177" x14ac:dyDescent="0.3">
      <c r="A28" s="9"/>
      <c r="B28" s="9" t="s">
        <v>479</v>
      </c>
      <c r="C28" s="10">
        <v>1</v>
      </c>
      <c r="D28" s="166">
        <f t="shared" si="0"/>
        <v>4000000</v>
      </c>
      <c r="E28" s="167">
        <f t="shared" si="1"/>
        <v>2.0102000000000002</v>
      </c>
      <c r="F28" s="165">
        <f t="shared" si="36"/>
        <v>8040800.0000000009</v>
      </c>
      <c r="G28" s="165">
        <f t="shared" si="37"/>
        <v>8040800.0000000009</v>
      </c>
      <c r="H28" s="11"/>
      <c r="K28" s="9"/>
      <c r="L28" s="9" t="s">
        <v>479</v>
      </c>
      <c r="M28" s="10">
        <v>1</v>
      </c>
      <c r="N28" s="166">
        <f t="shared" si="2"/>
        <v>4000000</v>
      </c>
      <c r="O28" s="167">
        <f t="shared" si="3"/>
        <v>2.0102000000000002</v>
      </c>
      <c r="P28" s="165">
        <f t="shared" si="72"/>
        <v>8040800.0000000009</v>
      </c>
      <c r="Q28" s="136">
        <f t="shared" si="73"/>
        <v>8040800.0000000009</v>
      </c>
      <c r="R28" s="11"/>
      <c r="U28" s="9"/>
      <c r="V28" s="9" t="s">
        <v>479</v>
      </c>
      <c r="W28" s="10">
        <v>1</v>
      </c>
      <c r="X28" s="166">
        <f t="shared" si="4"/>
        <v>4000000</v>
      </c>
      <c r="Y28" s="167">
        <f t="shared" si="5"/>
        <v>2.0102000000000002</v>
      </c>
      <c r="Z28" s="165">
        <f t="shared" si="74"/>
        <v>8040800.0000000009</v>
      </c>
      <c r="AA28" s="165">
        <f t="shared" si="75"/>
        <v>8040800.0000000009</v>
      </c>
      <c r="AB28" s="11"/>
      <c r="AD28" s="9"/>
      <c r="AE28" s="9" t="s">
        <v>479</v>
      </c>
      <c r="AF28" s="10">
        <v>1</v>
      </c>
      <c r="AG28" s="166">
        <f t="shared" si="6"/>
        <v>4000000</v>
      </c>
      <c r="AH28" s="167">
        <f t="shared" si="7"/>
        <v>2.0102000000000002</v>
      </c>
      <c r="AI28" s="165">
        <f t="shared" si="76"/>
        <v>8040800.0000000009</v>
      </c>
      <c r="AJ28" s="165">
        <f t="shared" si="77"/>
        <v>8040800.0000000009</v>
      </c>
      <c r="AK28" s="11"/>
      <c r="AN28" s="9"/>
      <c r="AO28" s="9"/>
      <c r="AP28" s="10"/>
      <c r="AQ28" s="166" t="str">
        <f t="shared" si="8"/>
        <v/>
      </c>
      <c r="AR28" s="167" t="str">
        <f t="shared" si="9"/>
        <v/>
      </c>
      <c r="AS28" s="165" t="str">
        <f t="shared" si="78"/>
        <v/>
      </c>
      <c r="AT28" s="165" t="str">
        <f t="shared" si="79"/>
        <v/>
      </c>
      <c r="AU28" s="11"/>
      <c r="AX28" s="9"/>
      <c r="AY28" s="9"/>
      <c r="AZ28" s="10"/>
      <c r="BA28" s="166" t="str">
        <f t="shared" si="10"/>
        <v/>
      </c>
      <c r="BB28" s="167" t="str">
        <f t="shared" si="11"/>
        <v/>
      </c>
      <c r="BC28" s="165" t="str">
        <f t="shared" si="80"/>
        <v/>
      </c>
      <c r="BD28" s="165" t="str">
        <f t="shared" si="81"/>
        <v/>
      </c>
      <c r="BE28" s="11"/>
      <c r="BH28" s="9"/>
      <c r="BI28" s="9"/>
      <c r="BJ28" s="10"/>
      <c r="BK28" s="166" t="str">
        <f t="shared" si="12"/>
        <v/>
      </c>
      <c r="BL28" s="167" t="str">
        <f t="shared" si="13"/>
        <v/>
      </c>
      <c r="BM28" s="165" t="str">
        <f t="shared" si="82"/>
        <v/>
      </c>
      <c r="BN28" s="165" t="str">
        <f t="shared" si="83"/>
        <v/>
      </c>
      <c r="BO28" s="11"/>
      <c r="BR28" s="9"/>
      <c r="BS28" s="9"/>
      <c r="BT28" s="10"/>
      <c r="BU28" s="166" t="str">
        <f t="shared" si="14"/>
        <v/>
      </c>
      <c r="BV28" s="167" t="str">
        <f t="shared" si="15"/>
        <v/>
      </c>
      <c r="BW28" s="165" t="str">
        <f t="shared" si="84"/>
        <v/>
      </c>
      <c r="BX28" s="165" t="str">
        <f t="shared" si="85"/>
        <v/>
      </c>
      <c r="BY28" s="11"/>
      <c r="CB28" s="9"/>
      <c r="CC28" s="9"/>
      <c r="CD28" s="10"/>
      <c r="CE28" s="166" t="str">
        <f t="shared" si="16"/>
        <v/>
      </c>
      <c r="CF28" s="167" t="str">
        <f t="shared" si="17"/>
        <v/>
      </c>
      <c r="CG28" s="165" t="str">
        <f t="shared" si="86"/>
        <v/>
      </c>
      <c r="CH28" s="165" t="str">
        <f t="shared" si="87"/>
        <v/>
      </c>
      <c r="CI28" s="11"/>
      <c r="CL28" s="9"/>
      <c r="CM28" s="9"/>
      <c r="CN28" s="10"/>
      <c r="CO28" s="166" t="str">
        <f t="shared" si="18"/>
        <v/>
      </c>
      <c r="CP28" s="167" t="str">
        <f t="shared" si="19"/>
        <v/>
      </c>
      <c r="CQ28" s="165" t="str">
        <f t="shared" si="88"/>
        <v/>
      </c>
      <c r="CR28" s="165" t="str">
        <f t="shared" si="89"/>
        <v/>
      </c>
      <c r="CS28" s="11"/>
      <c r="CV28" s="9"/>
      <c r="CW28" s="9"/>
      <c r="CX28" s="10"/>
      <c r="CY28" s="166" t="str">
        <f t="shared" si="20"/>
        <v/>
      </c>
      <c r="CZ28" s="167" t="str">
        <f t="shared" si="21"/>
        <v/>
      </c>
      <c r="DA28" s="165" t="str">
        <f t="shared" si="90"/>
        <v/>
      </c>
      <c r="DB28" s="165" t="str">
        <f t="shared" si="91"/>
        <v/>
      </c>
      <c r="DC28" s="11"/>
      <c r="DF28" s="9"/>
      <c r="DG28" s="9"/>
      <c r="DH28" s="10"/>
      <c r="DI28" s="166" t="str">
        <f t="shared" si="22"/>
        <v/>
      </c>
      <c r="DJ28" s="167" t="str">
        <f t="shared" si="23"/>
        <v/>
      </c>
      <c r="DK28" s="165" t="str">
        <f t="shared" si="92"/>
        <v/>
      </c>
      <c r="DL28" s="165" t="str">
        <f t="shared" si="93"/>
        <v/>
      </c>
      <c r="DM28" s="11"/>
      <c r="DP28" s="9"/>
      <c r="DQ28" s="9"/>
      <c r="DR28" s="10"/>
      <c r="DS28" s="166" t="str">
        <f t="shared" si="24"/>
        <v/>
      </c>
      <c r="DT28" s="167" t="str">
        <f t="shared" si="25"/>
        <v/>
      </c>
      <c r="DU28" s="165" t="str">
        <f t="shared" si="94"/>
        <v/>
      </c>
      <c r="DV28" s="165" t="str">
        <f t="shared" si="95"/>
        <v/>
      </c>
      <c r="DW28" s="11"/>
      <c r="DZ28" s="9"/>
      <c r="EA28" s="9"/>
      <c r="EB28" s="10"/>
      <c r="EC28" s="166" t="str">
        <f t="shared" si="26"/>
        <v/>
      </c>
      <c r="ED28" s="167" t="str">
        <f t="shared" si="27"/>
        <v/>
      </c>
      <c r="EE28" s="165" t="str">
        <f t="shared" si="96"/>
        <v/>
      </c>
      <c r="EF28" s="165" t="str">
        <f t="shared" si="97"/>
        <v/>
      </c>
      <c r="EG28" s="11"/>
      <c r="EJ28" s="9"/>
      <c r="EK28" s="9"/>
      <c r="EL28" s="10"/>
      <c r="EM28" s="166" t="str">
        <f t="shared" si="28"/>
        <v/>
      </c>
      <c r="EN28" s="167" t="str">
        <f t="shared" si="29"/>
        <v/>
      </c>
      <c r="EO28" s="165" t="str">
        <f t="shared" si="98"/>
        <v/>
      </c>
      <c r="EP28" s="165" t="str">
        <f t="shared" si="99"/>
        <v/>
      </c>
      <c r="EQ28" s="11"/>
      <c r="ET28" s="9"/>
      <c r="EU28" s="9"/>
      <c r="EV28" s="10"/>
      <c r="EW28" s="166" t="str">
        <f t="shared" si="30"/>
        <v/>
      </c>
      <c r="EX28" s="167" t="str">
        <f t="shared" si="31"/>
        <v/>
      </c>
      <c r="EY28" s="165" t="str">
        <f t="shared" si="100"/>
        <v/>
      </c>
      <c r="EZ28" s="165" t="str">
        <f t="shared" si="101"/>
        <v/>
      </c>
      <c r="FA28" s="11"/>
      <c r="FD28" s="9"/>
      <c r="FE28" s="9"/>
      <c r="FF28" s="10"/>
      <c r="FG28" s="166" t="str">
        <f t="shared" si="32"/>
        <v/>
      </c>
      <c r="FH28" s="167" t="str">
        <f t="shared" si="33"/>
        <v/>
      </c>
      <c r="FI28" s="165" t="str">
        <f t="shared" si="102"/>
        <v/>
      </c>
      <c r="FJ28" s="165" t="str">
        <f t="shared" si="103"/>
        <v/>
      </c>
      <c r="FK28" s="11"/>
      <c r="FN28" s="9"/>
      <c r="FO28" s="9"/>
      <c r="FP28" s="10"/>
      <c r="FQ28" s="166" t="str">
        <f t="shared" si="34"/>
        <v/>
      </c>
      <c r="FR28" s="167" t="str">
        <f t="shared" si="35"/>
        <v/>
      </c>
      <c r="FS28" s="165" t="str">
        <f t="shared" si="104"/>
        <v/>
      </c>
      <c r="FT28" s="165" t="str">
        <f t="shared" si="105"/>
        <v/>
      </c>
      <c r="FU28" s="11"/>
    </row>
    <row r="29" spans="1:177" x14ac:dyDescent="0.3">
      <c r="A29" s="9"/>
      <c r="B29" s="9" t="s">
        <v>480</v>
      </c>
      <c r="C29" s="10">
        <v>1</v>
      </c>
      <c r="D29" s="166">
        <f t="shared" si="0"/>
        <v>4000000</v>
      </c>
      <c r="E29" s="167">
        <f t="shared" si="1"/>
        <v>2.0102000000000002</v>
      </c>
      <c r="F29" s="165">
        <f t="shared" si="36"/>
        <v>8040800.0000000009</v>
      </c>
      <c r="G29" s="165">
        <f t="shared" si="37"/>
        <v>8040800.0000000009</v>
      </c>
      <c r="H29" s="11"/>
      <c r="K29" s="9"/>
      <c r="L29" s="9" t="s">
        <v>480</v>
      </c>
      <c r="M29" s="10">
        <v>1</v>
      </c>
      <c r="N29" s="166">
        <f t="shared" si="2"/>
        <v>4000000</v>
      </c>
      <c r="O29" s="167">
        <f t="shared" si="3"/>
        <v>2.0102000000000002</v>
      </c>
      <c r="P29" s="165">
        <f t="shared" si="72"/>
        <v>8040800.0000000009</v>
      </c>
      <c r="Q29" s="136">
        <f t="shared" si="73"/>
        <v>8040800.0000000009</v>
      </c>
      <c r="R29" s="11"/>
      <c r="U29" s="9"/>
      <c r="V29" s="9" t="s">
        <v>480</v>
      </c>
      <c r="W29" s="10">
        <v>1</v>
      </c>
      <c r="X29" s="166">
        <f t="shared" si="4"/>
        <v>4000000</v>
      </c>
      <c r="Y29" s="167">
        <f t="shared" si="5"/>
        <v>2.0102000000000002</v>
      </c>
      <c r="Z29" s="165">
        <f t="shared" si="74"/>
        <v>8040800.0000000009</v>
      </c>
      <c r="AA29" s="165">
        <f t="shared" si="75"/>
        <v>8040800.0000000009</v>
      </c>
      <c r="AB29" s="11"/>
      <c r="AD29" s="9"/>
      <c r="AE29" s="9" t="s">
        <v>480</v>
      </c>
      <c r="AF29" s="10">
        <v>1</v>
      </c>
      <c r="AG29" s="166">
        <f t="shared" si="6"/>
        <v>4000000</v>
      </c>
      <c r="AH29" s="167">
        <f t="shared" si="7"/>
        <v>2.0102000000000002</v>
      </c>
      <c r="AI29" s="165">
        <f t="shared" si="76"/>
        <v>8040800.0000000009</v>
      </c>
      <c r="AJ29" s="165">
        <f t="shared" si="77"/>
        <v>8040800.0000000009</v>
      </c>
      <c r="AK29" s="11"/>
      <c r="AN29" s="9"/>
      <c r="AO29" s="9"/>
      <c r="AP29" s="10"/>
      <c r="AQ29" s="166" t="str">
        <f t="shared" si="8"/>
        <v/>
      </c>
      <c r="AR29" s="167" t="str">
        <f t="shared" si="9"/>
        <v/>
      </c>
      <c r="AS29" s="165" t="str">
        <f t="shared" si="78"/>
        <v/>
      </c>
      <c r="AT29" s="165" t="str">
        <f t="shared" si="79"/>
        <v/>
      </c>
      <c r="AU29" s="11"/>
      <c r="AX29" s="9"/>
      <c r="AY29" s="9"/>
      <c r="AZ29" s="10"/>
      <c r="BA29" s="166" t="str">
        <f t="shared" si="10"/>
        <v/>
      </c>
      <c r="BB29" s="167" t="str">
        <f t="shared" si="11"/>
        <v/>
      </c>
      <c r="BC29" s="165" t="str">
        <f t="shared" si="80"/>
        <v/>
      </c>
      <c r="BD29" s="165" t="str">
        <f t="shared" si="81"/>
        <v/>
      </c>
      <c r="BE29" s="11"/>
      <c r="BH29" s="9"/>
      <c r="BI29" s="9"/>
      <c r="BJ29" s="10"/>
      <c r="BK29" s="166" t="str">
        <f t="shared" si="12"/>
        <v/>
      </c>
      <c r="BL29" s="167" t="str">
        <f t="shared" si="13"/>
        <v/>
      </c>
      <c r="BM29" s="165" t="str">
        <f t="shared" si="82"/>
        <v/>
      </c>
      <c r="BN29" s="165" t="str">
        <f t="shared" si="83"/>
        <v/>
      </c>
      <c r="BO29" s="11"/>
      <c r="BR29" s="9"/>
      <c r="BS29" s="9"/>
      <c r="BT29" s="10"/>
      <c r="BU29" s="166" t="str">
        <f t="shared" si="14"/>
        <v/>
      </c>
      <c r="BV29" s="167" t="str">
        <f t="shared" si="15"/>
        <v/>
      </c>
      <c r="BW29" s="165" t="str">
        <f t="shared" si="84"/>
        <v/>
      </c>
      <c r="BX29" s="165" t="str">
        <f t="shared" si="85"/>
        <v/>
      </c>
      <c r="BY29" s="11"/>
      <c r="CB29" s="9"/>
      <c r="CC29" s="9"/>
      <c r="CD29" s="10"/>
      <c r="CE29" s="166" t="str">
        <f t="shared" si="16"/>
        <v/>
      </c>
      <c r="CF29" s="167" t="str">
        <f t="shared" si="17"/>
        <v/>
      </c>
      <c r="CG29" s="165" t="str">
        <f t="shared" si="86"/>
        <v/>
      </c>
      <c r="CH29" s="165" t="str">
        <f t="shared" si="87"/>
        <v/>
      </c>
      <c r="CI29" s="11"/>
      <c r="CL29" s="9"/>
      <c r="CM29" s="9"/>
      <c r="CN29" s="10"/>
      <c r="CO29" s="166" t="str">
        <f t="shared" si="18"/>
        <v/>
      </c>
      <c r="CP29" s="167" t="str">
        <f t="shared" si="19"/>
        <v/>
      </c>
      <c r="CQ29" s="165" t="str">
        <f t="shared" si="88"/>
        <v/>
      </c>
      <c r="CR29" s="165" t="str">
        <f t="shared" si="89"/>
        <v/>
      </c>
      <c r="CS29" s="11"/>
      <c r="CV29" s="9"/>
      <c r="CW29" s="9"/>
      <c r="CX29" s="10"/>
      <c r="CY29" s="166" t="str">
        <f t="shared" si="20"/>
        <v/>
      </c>
      <c r="CZ29" s="167" t="str">
        <f t="shared" si="21"/>
        <v/>
      </c>
      <c r="DA29" s="165" t="str">
        <f t="shared" si="90"/>
        <v/>
      </c>
      <c r="DB29" s="165" t="str">
        <f t="shared" si="91"/>
        <v/>
      </c>
      <c r="DC29" s="11"/>
      <c r="DF29" s="9"/>
      <c r="DG29" s="9"/>
      <c r="DH29" s="10"/>
      <c r="DI29" s="166" t="str">
        <f t="shared" si="22"/>
        <v/>
      </c>
      <c r="DJ29" s="167" t="str">
        <f t="shared" si="23"/>
        <v/>
      </c>
      <c r="DK29" s="165" t="str">
        <f t="shared" si="92"/>
        <v/>
      </c>
      <c r="DL29" s="165" t="str">
        <f t="shared" si="93"/>
        <v/>
      </c>
      <c r="DM29" s="11"/>
      <c r="DP29" s="9"/>
      <c r="DQ29" s="9"/>
      <c r="DR29" s="10"/>
      <c r="DS29" s="166" t="str">
        <f t="shared" si="24"/>
        <v/>
      </c>
      <c r="DT29" s="167" t="str">
        <f t="shared" si="25"/>
        <v/>
      </c>
      <c r="DU29" s="165" t="str">
        <f t="shared" si="94"/>
        <v/>
      </c>
      <c r="DV29" s="165" t="str">
        <f t="shared" si="95"/>
        <v/>
      </c>
      <c r="DW29" s="11"/>
      <c r="DZ29" s="9"/>
      <c r="EA29" s="9"/>
      <c r="EB29" s="10"/>
      <c r="EC29" s="166" t="str">
        <f t="shared" si="26"/>
        <v/>
      </c>
      <c r="ED29" s="167" t="str">
        <f t="shared" si="27"/>
        <v/>
      </c>
      <c r="EE29" s="165" t="str">
        <f t="shared" si="96"/>
        <v/>
      </c>
      <c r="EF29" s="165" t="str">
        <f t="shared" si="97"/>
        <v/>
      </c>
      <c r="EG29" s="11"/>
      <c r="EJ29" s="9"/>
      <c r="EK29" s="9"/>
      <c r="EL29" s="10"/>
      <c r="EM29" s="166" t="str">
        <f t="shared" si="28"/>
        <v/>
      </c>
      <c r="EN29" s="167" t="str">
        <f t="shared" si="29"/>
        <v/>
      </c>
      <c r="EO29" s="165" t="str">
        <f t="shared" si="98"/>
        <v/>
      </c>
      <c r="EP29" s="165" t="str">
        <f t="shared" si="99"/>
        <v/>
      </c>
      <c r="EQ29" s="11"/>
      <c r="ET29" s="9"/>
      <c r="EU29" s="9"/>
      <c r="EV29" s="10"/>
      <c r="EW29" s="166" t="str">
        <f t="shared" si="30"/>
        <v/>
      </c>
      <c r="EX29" s="167" t="str">
        <f t="shared" si="31"/>
        <v/>
      </c>
      <c r="EY29" s="165" t="str">
        <f t="shared" si="100"/>
        <v/>
      </c>
      <c r="EZ29" s="165" t="str">
        <f t="shared" si="101"/>
        <v/>
      </c>
      <c r="FA29" s="11"/>
      <c r="FD29" s="9"/>
      <c r="FE29" s="9"/>
      <c r="FF29" s="10"/>
      <c r="FG29" s="166" t="str">
        <f t="shared" si="32"/>
        <v/>
      </c>
      <c r="FH29" s="167" t="str">
        <f t="shared" si="33"/>
        <v/>
      </c>
      <c r="FI29" s="165" t="str">
        <f t="shared" si="102"/>
        <v/>
      </c>
      <c r="FJ29" s="165" t="str">
        <f t="shared" si="103"/>
        <v/>
      </c>
      <c r="FK29" s="11"/>
      <c r="FN29" s="9"/>
      <c r="FO29" s="9"/>
      <c r="FP29" s="10"/>
      <c r="FQ29" s="166" t="str">
        <f t="shared" si="34"/>
        <v/>
      </c>
      <c r="FR29" s="167" t="str">
        <f t="shared" si="35"/>
        <v/>
      </c>
      <c r="FS29" s="165" t="str">
        <f t="shared" si="104"/>
        <v/>
      </c>
      <c r="FT29" s="165" t="str">
        <f t="shared" si="105"/>
        <v/>
      </c>
      <c r="FU29" s="11"/>
    </row>
    <row r="30" spans="1:177" x14ac:dyDescent="0.3">
      <c r="A30" s="9"/>
      <c r="B30" s="9"/>
      <c r="C30" s="10"/>
      <c r="D30" s="166" t="str">
        <f t="shared" si="0"/>
        <v/>
      </c>
      <c r="E30" s="167" t="str">
        <f t="shared" si="1"/>
        <v/>
      </c>
      <c r="F30" s="165" t="str">
        <f t="shared" si="36"/>
        <v/>
      </c>
      <c r="G30" s="165" t="str">
        <f t="shared" si="37"/>
        <v/>
      </c>
      <c r="H30" s="11"/>
      <c r="K30" s="9"/>
      <c r="L30" s="9"/>
      <c r="M30" s="10"/>
      <c r="N30" s="166" t="str">
        <f t="shared" si="2"/>
        <v/>
      </c>
      <c r="O30" s="167" t="str">
        <f t="shared" si="3"/>
        <v/>
      </c>
      <c r="P30" s="165" t="str">
        <f t="shared" si="72"/>
        <v/>
      </c>
      <c r="Q30" s="136" t="str">
        <f t="shared" si="73"/>
        <v/>
      </c>
      <c r="R30" s="11"/>
      <c r="U30" s="9"/>
      <c r="V30" s="9"/>
      <c r="W30" s="10"/>
      <c r="X30" s="166" t="str">
        <f t="shared" si="4"/>
        <v/>
      </c>
      <c r="Y30" s="167" t="str">
        <f t="shared" si="5"/>
        <v/>
      </c>
      <c r="Z30" s="165" t="str">
        <f t="shared" si="74"/>
        <v/>
      </c>
      <c r="AA30" s="165" t="str">
        <f t="shared" si="75"/>
        <v/>
      </c>
      <c r="AB30" s="11"/>
      <c r="AD30" s="9"/>
      <c r="AE30" s="9"/>
      <c r="AF30" s="10"/>
      <c r="AG30" s="166" t="str">
        <f t="shared" si="6"/>
        <v/>
      </c>
      <c r="AH30" s="167" t="str">
        <f t="shared" si="7"/>
        <v/>
      </c>
      <c r="AI30" s="165" t="str">
        <f t="shared" si="76"/>
        <v/>
      </c>
      <c r="AJ30" s="165" t="str">
        <f t="shared" si="77"/>
        <v/>
      </c>
      <c r="AK30" s="11"/>
      <c r="AN30" s="9"/>
      <c r="AO30" s="9"/>
      <c r="AP30" s="10"/>
      <c r="AQ30" s="166" t="str">
        <f t="shared" si="8"/>
        <v/>
      </c>
      <c r="AR30" s="167" t="str">
        <f t="shared" si="9"/>
        <v/>
      </c>
      <c r="AS30" s="165" t="str">
        <f t="shared" si="78"/>
        <v/>
      </c>
      <c r="AT30" s="165" t="str">
        <f t="shared" si="79"/>
        <v/>
      </c>
      <c r="AU30" s="11"/>
      <c r="AX30" s="9"/>
      <c r="AY30" s="9"/>
      <c r="AZ30" s="10"/>
      <c r="BA30" s="166" t="str">
        <f t="shared" si="10"/>
        <v/>
      </c>
      <c r="BB30" s="167" t="str">
        <f t="shared" si="11"/>
        <v/>
      </c>
      <c r="BC30" s="165" t="str">
        <f t="shared" si="80"/>
        <v/>
      </c>
      <c r="BD30" s="165" t="str">
        <f t="shared" si="81"/>
        <v/>
      </c>
      <c r="BE30" s="11"/>
      <c r="BH30" s="9"/>
      <c r="BI30" s="9"/>
      <c r="BJ30" s="10"/>
      <c r="BK30" s="166" t="str">
        <f t="shared" si="12"/>
        <v/>
      </c>
      <c r="BL30" s="167" t="str">
        <f t="shared" si="13"/>
        <v/>
      </c>
      <c r="BM30" s="165" t="str">
        <f t="shared" si="82"/>
        <v/>
      </c>
      <c r="BN30" s="165" t="str">
        <f t="shared" si="83"/>
        <v/>
      </c>
      <c r="BO30" s="11"/>
      <c r="BR30" s="9"/>
      <c r="BS30" s="9"/>
      <c r="BT30" s="10"/>
      <c r="BU30" s="166" t="str">
        <f t="shared" si="14"/>
        <v/>
      </c>
      <c r="BV30" s="167" t="str">
        <f t="shared" si="15"/>
        <v/>
      </c>
      <c r="BW30" s="165" t="str">
        <f t="shared" si="84"/>
        <v/>
      </c>
      <c r="BX30" s="165" t="str">
        <f t="shared" si="85"/>
        <v/>
      </c>
      <c r="BY30" s="11"/>
      <c r="CB30" s="9"/>
      <c r="CC30" s="9"/>
      <c r="CD30" s="10"/>
      <c r="CE30" s="166" t="str">
        <f t="shared" si="16"/>
        <v/>
      </c>
      <c r="CF30" s="167" t="str">
        <f t="shared" si="17"/>
        <v/>
      </c>
      <c r="CG30" s="165" t="str">
        <f t="shared" si="86"/>
        <v/>
      </c>
      <c r="CH30" s="165" t="str">
        <f t="shared" si="87"/>
        <v/>
      </c>
      <c r="CI30" s="11"/>
      <c r="CL30" s="9"/>
      <c r="CM30" s="9"/>
      <c r="CN30" s="10"/>
      <c r="CO30" s="166" t="str">
        <f t="shared" si="18"/>
        <v/>
      </c>
      <c r="CP30" s="167" t="str">
        <f t="shared" si="19"/>
        <v/>
      </c>
      <c r="CQ30" s="165" t="str">
        <f t="shared" si="88"/>
        <v/>
      </c>
      <c r="CR30" s="165" t="str">
        <f t="shared" si="89"/>
        <v/>
      </c>
      <c r="CS30" s="11"/>
      <c r="CV30" s="9"/>
      <c r="CW30" s="9"/>
      <c r="CX30" s="10"/>
      <c r="CY30" s="166" t="str">
        <f t="shared" si="20"/>
        <v/>
      </c>
      <c r="CZ30" s="167" t="str">
        <f t="shared" si="21"/>
        <v/>
      </c>
      <c r="DA30" s="165" t="str">
        <f t="shared" si="90"/>
        <v/>
      </c>
      <c r="DB30" s="165" t="str">
        <f t="shared" si="91"/>
        <v/>
      </c>
      <c r="DC30" s="11"/>
      <c r="DF30" s="9"/>
      <c r="DG30" s="9"/>
      <c r="DH30" s="10"/>
      <c r="DI30" s="166" t="str">
        <f t="shared" si="22"/>
        <v/>
      </c>
      <c r="DJ30" s="167" t="str">
        <f t="shared" si="23"/>
        <v/>
      </c>
      <c r="DK30" s="165" t="str">
        <f t="shared" si="92"/>
        <v/>
      </c>
      <c r="DL30" s="165" t="str">
        <f t="shared" si="93"/>
        <v/>
      </c>
      <c r="DM30" s="11"/>
      <c r="DP30" s="9"/>
      <c r="DQ30" s="9"/>
      <c r="DR30" s="10"/>
      <c r="DS30" s="166" t="str">
        <f t="shared" si="24"/>
        <v/>
      </c>
      <c r="DT30" s="167" t="str">
        <f t="shared" si="25"/>
        <v/>
      </c>
      <c r="DU30" s="165" t="str">
        <f t="shared" si="94"/>
        <v/>
      </c>
      <c r="DV30" s="165" t="str">
        <f t="shared" si="95"/>
        <v/>
      </c>
      <c r="DW30" s="11"/>
      <c r="DZ30" s="9"/>
      <c r="EA30" s="9"/>
      <c r="EB30" s="10"/>
      <c r="EC30" s="166" t="str">
        <f t="shared" si="26"/>
        <v/>
      </c>
      <c r="ED30" s="167" t="str">
        <f t="shared" si="27"/>
        <v/>
      </c>
      <c r="EE30" s="165" t="str">
        <f t="shared" si="96"/>
        <v/>
      </c>
      <c r="EF30" s="165" t="str">
        <f t="shared" si="97"/>
        <v/>
      </c>
      <c r="EG30" s="11"/>
      <c r="EJ30" s="9"/>
      <c r="EK30" s="9"/>
      <c r="EL30" s="10"/>
      <c r="EM30" s="166" t="str">
        <f t="shared" si="28"/>
        <v/>
      </c>
      <c r="EN30" s="167" t="str">
        <f t="shared" si="29"/>
        <v/>
      </c>
      <c r="EO30" s="165" t="str">
        <f t="shared" si="98"/>
        <v/>
      </c>
      <c r="EP30" s="165" t="str">
        <f t="shared" si="99"/>
        <v/>
      </c>
      <c r="EQ30" s="11"/>
      <c r="ET30" s="9"/>
      <c r="EU30" s="9"/>
      <c r="EV30" s="10"/>
      <c r="EW30" s="166" t="str">
        <f t="shared" si="30"/>
        <v/>
      </c>
      <c r="EX30" s="167" t="str">
        <f t="shared" si="31"/>
        <v/>
      </c>
      <c r="EY30" s="165" t="str">
        <f t="shared" si="100"/>
        <v/>
      </c>
      <c r="EZ30" s="165" t="str">
        <f t="shared" si="101"/>
        <v/>
      </c>
      <c r="FA30" s="11"/>
      <c r="FD30" s="9"/>
      <c r="FE30" s="9"/>
      <c r="FF30" s="10"/>
      <c r="FG30" s="166" t="str">
        <f t="shared" si="32"/>
        <v/>
      </c>
      <c r="FH30" s="167" t="str">
        <f t="shared" si="33"/>
        <v/>
      </c>
      <c r="FI30" s="165" t="str">
        <f t="shared" si="102"/>
        <v/>
      </c>
      <c r="FJ30" s="165" t="str">
        <f t="shared" si="103"/>
        <v/>
      </c>
      <c r="FK30" s="11"/>
      <c r="FN30" s="9"/>
      <c r="FO30" s="9"/>
      <c r="FP30" s="10"/>
      <c r="FQ30" s="166" t="str">
        <f t="shared" si="34"/>
        <v/>
      </c>
      <c r="FR30" s="167" t="str">
        <f t="shared" si="35"/>
        <v/>
      </c>
      <c r="FS30" s="165" t="str">
        <f t="shared" si="104"/>
        <v/>
      </c>
      <c r="FT30" s="165" t="str">
        <f t="shared" si="105"/>
        <v/>
      </c>
      <c r="FU30" s="11"/>
    </row>
    <row r="31" spans="1:177" x14ac:dyDescent="0.3">
      <c r="A31" s="9"/>
      <c r="B31" s="39" t="s">
        <v>29</v>
      </c>
      <c r="C31" s="40"/>
      <c r="D31" s="40"/>
      <c r="E31" s="40"/>
      <c r="F31" s="41"/>
      <c r="G31" s="5" t="e">
        <f>IF(G10&gt;$B$3,0,SUBTOTAL(109,Tabla38[Subtotal Mensual]))</f>
        <v>#N/A</v>
      </c>
      <c r="H31" s="17"/>
      <c r="I31" s="9"/>
      <c r="K31" s="9"/>
      <c r="L31" s="551" t="s">
        <v>29</v>
      </c>
      <c r="M31" s="552"/>
      <c r="N31" s="552"/>
      <c r="O31" s="552"/>
      <c r="P31" s="553"/>
      <c r="Q31" s="5" t="e">
        <f>IF(Q10&gt;$B$3,0,SUBTOTAL(109,Tabla34713[Valor mensual]))</f>
        <v>#N/A</v>
      </c>
      <c r="R31" s="17"/>
      <c r="U31" s="9"/>
      <c r="V31" s="551" t="s">
        <v>29</v>
      </c>
      <c r="W31" s="552"/>
      <c r="X31" s="552"/>
      <c r="Y31" s="552"/>
      <c r="Z31" s="553"/>
      <c r="AA31" s="5" t="e">
        <f>IF(AA10&gt;$B$3,0,SUBTOTAL(109,Tabla35016[Valor mensual]))</f>
        <v>#N/A</v>
      </c>
      <c r="AB31" s="17"/>
      <c r="AD31" s="9"/>
      <c r="AE31" s="551" t="s">
        <v>29</v>
      </c>
      <c r="AF31" s="552"/>
      <c r="AG31" s="552"/>
      <c r="AH31" s="552"/>
      <c r="AI31" s="553"/>
      <c r="AJ31" s="5">
        <f>IF(AJ10&gt;$B$3,0,SUBTOTAL(109,Tabla35319[Valor mensual]))</f>
        <v>0</v>
      </c>
      <c r="AK31" s="17"/>
      <c r="AN31" s="9"/>
      <c r="AO31" s="551" t="s">
        <v>29</v>
      </c>
      <c r="AP31" s="552"/>
      <c r="AQ31" s="552"/>
      <c r="AR31" s="552"/>
      <c r="AS31" s="553"/>
      <c r="AT31" s="5">
        <f>IF(AT10&gt;$B$3,0,SUBTOTAL(109,Tabla35623[Valor mensual]))</f>
        <v>0</v>
      </c>
      <c r="AU31" s="17"/>
      <c r="AX31" s="9"/>
      <c r="AY31" s="551" t="s">
        <v>29</v>
      </c>
      <c r="AZ31" s="552"/>
      <c r="BA31" s="552"/>
      <c r="BB31" s="552"/>
      <c r="BC31" s="553"/>
      <c r="BD31" s="5">
        <f>IF(BD10&gt;$B$3,0,SUBTOTAL(109,Tabla359120[Valor mensual]))</f>
        <v>0</v>
      </c>
      <c r="BE31" s="17"/>
      <c r="BH31" s="9"/>
      <c r="BI31" s="551" t="s">
        <v>29</v>
      </c>
      <c r="BJ31" s="552"/>
      <c r="BK31" s="552"/>
      <c r="BL31" s="552"/>
      <c r="BM31" s="553"/>
      <c r="BN31" s="5">
        <f>SUBTOTAL(109,Tabla362163[Valor mensual])</f>
        <v>0</v>
      </c>
      <c r="BO31" s="17"/>
      <c r="BR31" s="9"/>
      <c r="BS31" s="551" t="s">
        <v>29</v>
      </c>
      <c r="BT31" s="552"/>
      <c r="BU31" s="552"/>
      <c r="BV31" s="552"/>
      <c r="BW31" s="553"/>
      <c r="BX31" s="5">
        <f>SUBTOTAL(109,Tabla365166[Valor mensual])</f>
        <v>0</v>
      </c>
      <c r="BY31" s="17"/>
      <c r="CB31" s="9"/>
      <c r="CC31" s="551" t="s">
        <v>29</v>
      </c>
      <c r="CD31" s="552"/>
      <c r="CE31" s="552"/>
      <c r="CF31" s="552"/>
      <c r="CG31" s="553"/>
      <c r="CH31" s="5">
        <f>SUBTOTAL(109,Tabla368169[Valor mensual])</f>
        <v>0</v>
      </c>
      <c r="CI31" s="17"/>
      <c r="CL31" s="9"/>
      <c r="CM31" s="551" t="s">
        <v>29</v>
      </c>
      <c r="CN31" s="552"/>
      <c r="CO31" s="552"/>
      <c r="CP31" s="552"/>
      <c r="CQ31" s="553"/>
      <c r="CR31" s="5">
        <f>SUBTOTAL(109,Tabla371172[Valor mensual])</f>
        <v>0</v>
      </c>
      <c r="CS31" s="17"/>
      <c r="CV31" s="9"/>
      <c r="CW31" s="551" t="s">
        <v>29</v>
      </c>
      <c r="CX31" s="552"/>
      <c r="CY31" s="552"/>
      <c r="CZ31" s="552"/>
      <c r="DA31" s="553"/>
      <c r="DB31" s="5">
        <f>SUBTOTAL(109,Tabla374175[Valor mensual])</f>
        <v>0</v>
      </c>
      <c r="DC31" s="17"/>
      <c r="DF31" s="9"/>
      <c r="DG31" s="551" t="s">
        <v>29</v>
      </c>
      <c r="DH31" s="552"/>
      <c r="DI31" s="552"/>
      <c r="DJ31" s="552"/>
      <c r="DK31" s="553"/>
      <c r="DL31" s="5">
        <f>SUBTOTAL(109,Tabla377178[Valor mensual])</f>
        <v>0</v>
      </c>
      <c r="DM31" s="17"/>
      <c r="DP31" s="9"/>
      <c r="DQ31" s="551" t="s">
        <v>29</v>
      </c>
      <c r="DR31" s="552"/>
      <c r="DS31" s="552"/>
      <c r="DT31" s="552"/>
      <c r="DU31" s="553"/>
      <c r="DV31" s="5">
        <f>SUBTOTAL(109,Tabla380181[Valor mensual])</f>
        <v>0</v>
      </c>
      <c r="DW31" s="17"/>
      <c r="DZ31" s="9"/>
      <c r="EA31" s="551" t="s">
        <v>29</v>
      </c>
      <c r="EB31" s="552"/>
      <c r="EC31" s="552"/>
      <c r="ED31" s="552"/>
      <c r="EE31" s="553"/>
      <c r="EF31" s="5">
        <f>SUBTOTAL(109,Tabla383184[Valor mensual])</f>
        <v>0</v>
      </c>
      <c r="EG31" s="17"/>
      <c r="EJ31" s="9"/>
      <c r="EK31" s="551" t="s">
        <v>29</v>
      </c>
      <c r="EL31" s="552"/>
      <c r="EM31" s="552"/>
      <c r="EN31" s="552"/>
      <c r="EO31" s="553"/>
      <c r="EP31" s="5">
        <f>SUBTOTAL(109,Tabla386187[Valor mensual])</f>
        <v>0</v>
      </c>
      <c r="EQ31" s="17"/>
      <c r="ET31" s="9"/>
      <c r="EU31" s="551" t="s">
        <v>29</v>
      </c>
      <c r="EV31" s="552"/>
      <c r="EW31" s="552"/>
      <c r="EX31" s="552"/>
      <c r="EY31" s="553"/>
      <c r="EZ31" s="5">
        <f>SUBTOTAL(109,Tabla389190[Valor mensual])</f>
        <v>0</v>
      </c>
      <c r="FA31" s="17"/>
      <c r="FD31" s="9"/>
      <c r="FE31" s="551" t="s">
        <v>29</v>
      </c>
      <c r="FF31" s="552"/>
      <c r="FG31" s="552"/>
      <c r="FH31" s="552"/>
      <c r="FI31" s="553"/>
      <c r="FJ31" s="5">
        <f>SUBTOTAL(109,Tabla392193[Valor mensual])</f>
        <v>0</v>
      </c>
      <c r="FK31" s="17"/>
      <c r="FN31" s="9"/>
      <c r="FO31" s="551" t="s">
        <v>29</v>
      </c>
      <c r="FP31" s="552"/>
      <c r="FQ31" s="552"/>
      <c r="FR31" s="552"/>
      <c r="FS31" s="553"/>
      <c r="FT31" s="5">
        <f>SUBTOTAL(109,Tabla395196[Valor mensual])</f>
        <v>0</v>
      </c>
      <c r="FU31" s="17"/>
    </row>
    <row r="32" spans="1:177" x14ac:dyDescent="0.3">
      <c r="A32" s="9"/>
      <c r="H32" s="11"/>
      <c r="K32" s="9"/>
      <c r="R32" s="11"/>
      <c r="U32" s="9"/>
      <c r="AB32" s="11"/>
      <c r="AD32" s="9"/>
      <c r="AK32" s="11"/>
      <c r="AN32" s="9"/>
      <c r="AU32" s="11"/>
      <c r="AX32" s="9"/>
      <c r="BE32" s="11"/>
      <c r="BH32" s="9"/>
      <c r="BO32" s="11"/>
      <c r="BR32" s="9"/>
      <c r="BY32" s="11"/>
      <c r="CB32" s="9"/>
      <c r="CI32" s="11"/>
      <c r="CL32" s="9"/>
      <c r="CS32" s="11"/>
      <c r="CV32" s="9"/>
      <c r="DC32" s="11"/>
      <c r="DF32" s="9"/>
      <c r="DM32" s="11"/>
      <c r="DP32" s="9"/>
      <c r="DW32" s="11"/>
      <c r="DZ32" s="9"/>
      <c r="EG32" s="11"/>
      <c r="EJ32" s="9"/>
      <c r="EQ32" s="11"/>
      <c r="ET32" s="9"/>
      <c r="FA32" s="11"/>
      <c r="FD32" s="9"/>
      <c r="FK32" s="11"/>
      <c r="FN32" s="9"/>
      <c r="FU32" s="11"/>
    </row>
    <row r="33" spans="1:177" x14ac:dyDescent="0.3">
      <c r="A33" s="9"/>
      <c r="H33" s="11"/>
      <c r="K33" s="9"/>
      <c r="R33" s="11"/>
      <c r="U33" s="9"/>
      <c r="AB33" s="11"/>
      <c r="AD33" s="9"/>
      <c r="AK33" s="11"/>
      <c r="AN33" s="9"/>
      <c r="AU33" s="11"/>
      <c r="AX33" s="9"/>
      <c r="BE33" s="11"/>
      <c r="BH33" s="9"/>
      <c r="BO33" s="11"/>
      <c r="BR33" s="9"/>
      <c r="BY33" s="11"/>
      <c r="CB33" s="9"/>
      <c r="CI33" s="11"/>
      <c r="CL33" s="9"/>
      <c r="CS33" s="11"/>
      <c r="CV33" s="9"/>
      <c r="DC33" s="11"/>
      <c r="DF33" s="9"/>
      <c r="DM33" s="11"/>
      <c r="DP33" s="9"/>
      <c r="DW33" s="11"/>
      <c r="DZ33" s="9"/>
      <c r="EG33" s="11"/>
      <c r="EJ33" s="9"/>
      <c r="EQ33" s="11"/>
      <c r="ET33" s="9"/>
      <c r="FA33" s="11"/>
      <c r="FD33" s="9"/>
      <c r="FK33" s="11"/>
      <c r="FN33" s="9"/>
      <c r="FU33" s="11"/>
    </row>
    <row r="34" spans="1:177" ht="17.25" thickBot="1" x14ac:dyDescent="0.35">
      <c r="A34" s="9"/>
      <c r="H34" s="11"/>
      <c r="K34" s="9"/>
      <c r="R34" s="11"/>
      <c r="U34" s="9"/>
      <c r="AB34" s="11"/>
      <c r="AD34" s="9"/>
      <c r="AK34" s="11"/>
      <c r="AN34" s="9"/>
      <c r="AU34" s="11"/>
      <c r="AX34" s="9"/>
      <c r="BE34" s="11"/>
      <c r="BH34" s="9"/>
      <c r="BO34" s="11"/>
      <c r="BR34" s="9"/>
      <c r="BY34" s="11"/>
      <c r="CB34" s="9"/>
      <c r="CI34" s="11"/>
      <c r="CL34" s="9"/>
      <c r="CS34" s="11"/>
      <c r="CV34" s="9"/>
      <c r="DC34" s="11"/>
      <c r="DF34" s="9"/>
      <c r="DM34" s="11"/>
      <c r="DP34" s="9"/>
      <c r="DW34" s="11"/>
      <c r="DZ34" s="9"/>
      <c r="EG34" s="11"/>
      <c r="EJ34" s="9"/>
      <c r="EQ34" s="11"/>
      <c r="ET34" s="9"/>
      <c r="FA34" s="11"/>
      <c r="FD34" s="9"/>
      <c r="FK34" s="11"/>
      <c r="FN34" s="9"/>
      <c r="FU34" s="11"/>
    </row>
    <row r="35" spans="1:177" x14ac:dyDescent="0.3">
      <c r="A35" s="6" t="s">
        <v>30</v>
      </c>
      <c r="B35" s="7" t="s">
        <v>24</v>
      </c>
      <c r="C35" s="7" t="s">
        <v>28</v>
      </c>
      <c r="D35" s="7" t="s">
        <v>34</v>
      </c>
      <c r="E35" s="7" t="s">
        <v>35</v>
      </c>
      <c r="F35" s="7" t="s">
        <v>31</v>
      </c>
      <c r="G35" s="7" t="s">
        <v>32</v>
      </c>
      <c r="H35" s="8" t="s">
        <v>212</v>
      </c>
      <c r="K35" s="6" t="s">
        <v>30</v>
      </c>
      <c r="L35" s="7" t="s">
        <v>24</v>
      </c>
      <c r="M35" s="7" t="s">
        <v>28</v>
      </c>
      <c r="N35" s="7" t="s">
        <v>34</v>
      </c>
      <c r="O35" s="7" t="s">
        <v>35</v>
      </c>
      <c r="P35" s="7" t="s">
        <v>31</v>
      </c>
      <c r="Q35" s="7" t="s">
        <v>32</v>
      </c>
      <c r="R35" s="8" t="s">
        <v>33</v>
      </c>
      <c r="U35" s="6" t="s">
        <v>30</v>
      </c>
      <c r="V35" s="7" t="s">
        <v>24</v>
      </c>
      <c r="W35" s="7" t="s">
        <v>28</v>
      </c>
      <c r="X35" s="7" t="s">
        <v>34</v>
      </c>
      <c r="Y35" s="7" t="s">
        <v>35</v>
      </c>
      <c r="Z35" s="7" t="s">
        <v>31</v>
      </c>
      <c r="AA35" s="7" t="s">
        <v>32</v>
      </c>
      <c r="AB35" s="8" t="s">
        <v>33</v>
      </c>
      <c r="AD35" s="6" t="s">
        <v>30</v>
      </c>
      <c r="AE35" s="7" t="s">
        <v>24</v>
      </c>
      <c r="AF35" s="7" t="s">
        <v>28</v>
      </c>
      <c r="AG35" s="7" t="s">
        <v>34</v>
      </c>
      <c r="AH35" s="7" t="s">
        <v>35</v>
      </c>
      <c r="AI35" s="7" t="s">
        <v>31</v>
      </c>
      <c r="AJ35" s="7" t="s">
        <v>32</v>
      </c>
      <c r="AK35" s="8" t="s">
        <v>33</v>
      </c>
      <c r="AN35" s="6" t="s">
        <v>30</v>
      </c>
      <c r="AO35" s="7" t="s">
        <v>24</v>
      </c>
      <c r="AP35" s="7" t="s">
        <v>28</v>
      </c>
      <c r="AQ35" s="7" t="s">
        <v>34</v>
      </c>
      <c r="AR35" s="7" t="s">
        <v>35</v>
      </c>
      <c r="AS35" s="7" t="s">
        <v>31</v>
      </c>
      <c r="AT35" s="7" t="s">
        <v>32</v>
      </c>
      <c r="AU35" s="8" t="s">
        <v>33</v>
      </c>
      <c r="AX35" s="6" t="s">
        <v>30</v>
      </c>
      <c r="AY35" s="7" t="s">
        <v>24</v>
      </c>
      <c r="AZ35" s="7" t="s">
        <v>28</v>
      </c>
      <c r="BA35" s="7" t="s">
        <v>34</v>
      </c>
      <c r="BB35" s="7" t="s">
        <v>35</v>
      </c>
      <c r="BC35" s="7" t="s">
        <v>31</v>
      </c>
      <c r="BD35" s="7" t="s">
        <v>32</v>
      </c>
      <c r="BE35" s="8" t="s">
        <v>33</v>
      </c>
      <c r="BH35" s="6" t="s">
        <v>30</v>
      </c>
      <c r="BI35" s="7" t="s">
        <v>24</v>
      </c>
      <c r="BJ35" s="7" t="s">
        <v>28</v>
      </c>
      <c r="BK35" s="7" t="s">
        <v>34</v>
      </c>
      <c r="BL35" s="7" t="s">
        <v>35</v>
      </c>
      <c r="BM35" s="7" t="s">
        <v>31</v>
      </c>
      <c r="BN35" s="7" t="s">
        <v>32</v>
      </c>
      <c r="BO35" s="8" t="s">
        <v>33</v>
      </c>
      <c r="BR35" s="6" t="s">
        <v>30</v>
      </c>
      <c r="BS35" s="7" t="s">
        <v>24</v>
      </c>
      <c r="BT35" s="7" t="s">
        <v>28</v>
      </c>
      <c r="BU35" s="7" t="s">
        <v>34</v>
      </c>
      <c r="BV35" s="7" t="s">
        <v>35</v>
      </c>
      <c r="BW35" s="7" t="s">
        <v>31</v>
      </c>
      <c r="BX35" s="7" t="s">
        <v>32</v>
      </c>
      <c r="BY35" s="8" t="s">
        <v>33</v>
      </c>
      <c r="CB35" s="6" t="s">
        <v>30</v>
      </c>
      <c r="CC35" s="7" t="s">
        <v>24</v>
      </c>
      <c r="CD35" s="7" t="s">
        <v>28</v>
      </c>
      <c r="CE35" s="7" t="s">
        <v>34</v>
      </c>
      <c r="CF35" s="7" t="s">
        <v>35</v>
      </c>
      <c r="CG35" s="7" t="s">
        <v>31</v>
      </c>
      <c r="CH35" s="7" t="s">
        <v>32</v>
      </c>
      <c r="CI35" s="8" t="s">
        <v>33</v>
      </c>
      <c r="CL35" s="6" t="s">
        <v>30</v>
      </c>
      <c r="CM35" s="7" t="s">
        <v>24</v>
      </c>
      <c r="CN35" s="7" t="s">
        <v>28</v>
      </c>
      <c r="CO35" s="7" t="s">
        <v>34</v>
      </c>
      <c r="CP35" s="7" t="s">
        <v>35</v>
      </c>
      <c r="CQ35" s="7" t="s">
        <v>31</v>
      </c>
      <c r="CR35" s="7" t="s">
        <v>32</v>
      </c>
      <c r="CS35" s="8" t="s">
        <v>33</v>
      </c>
      <c r="CV35" s="6" t="s">
        <v>30</v>
      </c>
      <c r="CW35" s="7" t="s">
        <v>24</v>
      </c>
      <c r="CX35" s="7" t="s">
        <v>28</v>
      </c>
      <c r="CY35" s="7" t="s">
        <v>34</v>
      </c>
      <c r="CZ35" s="7" t="s">
        <v>35</v>
      </c>
      <c r="DA35" s="7" t="s">
        <v>31</v>
      </c>
      <c r="DB35" s="7" t="s">
        <v>32</v>
      </c>
      <c r="DC35" s="8" t="s">
        <v>33</v>
      </c>
      <c r="DF35" s="6" t="s">
        <v>30</v>
      </c>
      <c r="DG35" s="7" t="s">
        <v>24</v>
      </c>
      <c r="DH35" s="7" t="s">
        <v>28</v>
      </c>
      <c r="DI35" s="7" t="s">
        <v>34</v>
      </c>
      <c r="DJ35" s="7" t="s">
        <v>35</v>
      </c>
      <c r="DK35" s="7" t="s">
        <v>31</v>
      </c>
      <c r="DL35" s="7" t="s">
        <v>32</v>
      </c>
      <c r="DM35" s="8" t="s">
        <v>33</v>
      </c>
      <c r="DP35" s="6" t="s">
        <v>30</v>
      </c>
      <c r="DQ35" s="7" t="s">
        <v>24</v>
      </c>
      <c r="DR35" s="7" t="s">
        <v>28</v>
      </c>
      <c r="DS35" s="7" t="s">
        <v>34</v>
      </c>
      <c r="DT35" s="7" t="s">
        <v>35</v>
      </c>
      <c r="DU35" s="7" t="s">
        <v>31</v>
      </c>
      <c r="DV35" s="7" t="s">
        <v>32</v>
      </c>
      <c r="DW35" s="8" t="s">
        <v>33</v>
      </c>
      <c r="DZ35" s="6" t="s">
        <v>30</v>
      </c>
      <c r="EA35" s="7" t="s">
        <v>24</v>
      </c>
      <c r="EB35" s="7" t="s">
        <v>28</v>
      </c>
      <c r="EC35" s="7" t="s">
        <v>34</v>
      </c>
      <c r="ED35" s="7" t="s">
        <v>35</v>
      </c>
      <c r="EE35" s="7" t="s">
        <v>31</v>
      </c>
      <c r="EF35" s="7" t="s">
        <v>32</v>
      </c>
      <c r="EG35" s="8" t="s">
        <v>33</v>
      </c>
      <c r="EJ35" s="6" t="s">
        <v>30</v>
      </c>
      <c r="EK35" s="7" t="s">
        <v>24</v>
      </c>
      <c r="EL35" s="7" t="s">
        <v>28</v>
      </c>
      <c r="EM35" s="7" t="s">
        <v>34</v>
      </c>
      <c r="EN35" s="7" t="s">
        <v>35</v>
      </c>
      <c r="EO35" s="7" t="s">
        <v>31</v>
      </c>
      <c r="EP35" s="7" t="s">
        <v>32</v>
      </c>
      <c r="EQ35" s="8" t="s">
        <v>33</v>
      </c>
      <c r="ET35" s="6" t="s">
        <v>30</v>
      </c>
      <c r="EU35" s="7" t="s">
        <v>24</v>
      </c>
      <c r="EV35" s="7" t="s">
        <v>28</v>
      </c>
      <c r="EW35" s="7" t="s">
        <v>34</v>
      </c>
      <c r="EX35" s="7" t="s">
        <v>35</v>
      </c>
      <c r="EY35" s="7" t="s">
        <v>31</v>
      </c>
      <c r="EZ35" s="7" t="s">
        <v>32</v>
      </c>
      <c r="FA35" s="8" t="s">
        <v>33</v>
      </c>
      <c r="FD35" s="6" t="s">
        <v>30</v>
      </c>
      <c r="FE35" s="7" t="s">
        <v>24</v>
      </c>
      <c r="FF35" s="7" t="s">
        <v>28</v>
      </c>
      <c r="FG35" s="7" t="s">
        <v>34</v>
      </c>
      <c r="FH35" s="7" t="s">
        <v>35</v>
      </c>
      <c r="FI35" s="7" t="s">
        <v>31</v>
      </c>
      <c r="FJ35" s="7" t="s">
        <v>32</v>
      </c>
      <c r="FK35" s="8" t="s">
        <v>33</v>
      </c>
      <c r="FN35" s="6" t="s">
        <v>30</v>
      </c>
      <c r="FO35" s="7" t="s">
        <v>24</v>
      </c>
      <c r="FP35" s="7" t="s">
        <v>28</v>
      </c>
      <c r="FQ35" s="7" t="s">
        <v>34</v>
      </c>
      <c r="FR35" s="7" t="s">
        <v>35</v>
      </c>
      <c r="FS35" s="7" t="s">
        <v>31</v>
      </c>
      <c r="FT35" s="7" t="s">
        <v>32</v>
      </c>
      <c r="FU35" s="8" t="s">
        <v>33</v>
      </c>
    </row>
    <row r="36" spans="1:177" x14ac:dyDescent="0.3">
      <c r="A36" s="9" t="s">
        <v>493</v>
      </c>
      <c r="B36" s="10">
        <v>1</v>
      </c>
      <c r="C36" s="165">
        <f>IF(Tabla511[[#This Row],[Equipo ]]="","",INDEX(V_MENSUAL,MATCH(Tabla511[[#This Row],[Equipo ]],LISTA_MAQUINARIA,0)))</f>
        <v>5000000</v>
      </c>
      <c r="D36" s="12">
        <f>IF(Tabla511[[#This Row],[Equipo ]]="","",INDEX(CONSUMO_COMBUSTIBLE_H,MATCH(Tabla511[[#This Row],[Equipo ]],LISTA_MAQUINARIA,0)))</f>
        <v>0</v>
      </c>
      <c r="E36" s="166">
        <f>IF(Tabla511[[#This Row],[Equipo ]]="","",INDEX(V_GALON,MATCH(Tabla511[[#This Row],[Equipo ]],LISTA_MAQUINARIA,0)))</f>
        <v>10800</v>
      </c>
      <c r="F36" s="10"/>
      <c r="G36" s="165">
        <f>IF(Tabla511[[#This Row],[Equipo ]]="","",Tabla511[[#This Row],[Valor mensual]]+Tabla511[[#This Row],[Combustible Hora ]]*Tabla511[[#This Row],[Valor galon]]*Tabla511[[#This Row],[Horas mes]])</f>
        <v>5000000</v>
      </c>
      <c r="H36" s="168">
        <f>IF(Tabla511[[#This Row],[Valor mensual + Combustible]]="","",Tabla511[[#This Row],[Valor mensual + Combustible]]*Tabla511[[#This Row],[Cantidad]])</f>
        <v>5000000</v>
      </c>
      <c r="K36" s="9" t="s">
        <v>493</v>
      </c>
      <c r="L36" s="10">
        <v>1</v>
      </c>
      <c r="M36" s="165" cm="1">
        <f t="array" ref="M36">IF(Tabla54814[[#This Row],[Equipo ]]="","",INDEX(V_MENSUAL,MATCH(Tabla54814[[#This Row],[Equipo ]],LISTA_MAQUINARIA,0)))</f>
        <v>5000000</v>
      </c>
      <c r="N36" s="12">
        <f>IF(Tabla54814[[#This Row],[Equipo ]]="","",INDEX(CONSUMO_COMBUSTIBLE_H,MATCH(Tabla54814[[#This Row],[Equipo ]],LISTA_MAQUINARIA,0)))</f>
        <v>0</v>
      </c>
      <c r="O36" s="166">
        <f>IF(Tabla54814[[#This Row],[Equipo ]]="","",INDEX(V_GALON,MATCH(Tabla54814[[#This Row],[Equipo ]],LISTA_MAQUINARIA,0)))</f>
        <v>10800</v>
      </c>
      <c r="P36" s="10"/>
      <c r="Q36" s="165">
        <f>IF(Tabla54814[[#This Row],[Equipo ]]="","",Tabla54814[[#This Row],[Valor mensual]]+Tabla54814[[#This Row],[Combustible Hora ]]*Tabla54814[[#This Row],[Valor galon]]*Tabla54814[[#This Row],[Horas mes]])</f>
        <v>5000000</v>
      </c>
      <c r="R36" s="168">
        <f>IF(Tabla54814[[#This Row],[Valor mensual + Combustible]]="","",Tabla54814[[#This Row],[Valor mensual + Combustible]]*Tabla54814[[#This Row],[Cantidad]])</f>
        <v>5000000</v>
      </c>
      <c r="U36" s="9" t="s">
        <v>493</v>
      </c>
      <c r="V36" s="10">
        <v>1</v>
      </c>
      <c r="W36" s="165">
        <f>IF(Tabla55117[[#This Row],[Equipo ]]="","",INDEX(V_MENSUAL,MATCH(Tabla55117[[#This Row],[Equipo ]],LISTA_MAQUINARIA,0)))</f>
        <v>5000000</v>
      </c>
      <c r="X36" s="12">
        <f>IF(Tabla55117[[#This Row],[Equipo ]]="","",INDEX(CONSUMO_COMBUSTIBLE_H,MATCH(Tabla55117[[#This Row],[Equipo ]],LISTA_MAQUINARIA,0)))</f>
        <v>0</v>
      </c>
      <c r="Y36" s="166">
        <f>IF(Tabla55117[[#This Row],[Equipo ]]="","",INDEX(V_GALON,MATCH(Tabla55117[[#This Row],[Equipo ]],LISTA_MAQUINARIA,0)))</f>
        <v>10800</v>
      </c>
      <c r="Z36" s="10"/>
      <c r="AA36" s="165">
        <f>IF(Tabla55117[[#This Row],[Equipo ]]="","",Tabla55117[[#This Row],[Valor mensual]]+Tabla55117[[#This Row],[Combustible Hora ]]*Tabla55117[[#This Row],[Valor galon]]*Tabla55117[[#This Row],[Horas mes]])</f>
        <v>5000000</v>
      </c>
      <c r="AB36" s="168">
        <f>IF(Tabla55117[[#This Row],[Valor mensual + Combustible]]="","",Tabla55117[[#This Row],[Valor mensual + Combustible]]*Tabla55117[[#This Row],[Cantidad]])</f>
        <v>5000000</v>
      </c>
      <c r="AD36" s="9" t="s">
        <v>493</v>
      </c>
      <c r="AE36" s="10">
        <v>1</v>
      </c>
      <c r="AF36" s="165">
        <f>IF(Tabla55420[[#This Row],[Equipo ]]="","",INDEX(V_MENSUAL,MATCH(Tabla55420[[#This Row],[Equipo ]],LISTA_MAQUINARIA,0)))</f>
        <v>5000000</v>
      </c>
      <c r="AG36" s="12">
        <f>IF(Tabla55420[[#This Row],[Equipo ]]="","",INDEX(CONSUMO_COMBUSTIBLE_H,MATCH(Tabla55420[[#This Row],[Equipo ]],LISTA_MAQUINARIA,0)))</f>
        <v>0</v>
      </c>
      <c r="AH36" s="166">
        <f>IF(Tabla55420[[#This Row],[Equipo ]]="","",INDEX(V_GALON,MATCH(Tabla55420[[#This Row],[Equipo ]],LISTA_MAQUINARIA,0)))</f>
        <v>10800</v>
      </c>
      <c r="AI36" s="10"/>
      <c r="AJ36" s="165">
        <f>IF(Tabla55420[[#This Row],[Equipo ]]="","",Tabla55420[[#This Row],[Valor mensual]]+Tabla55420[[#This Row],[Combustible Hora ]]*Tabla55420[[#This Row],[Valor galon]]*Tabla55420[[#This Row],[Horas mes]])</f>
        <v>5000000</v>
      </c>
      <c r="AK36" s="168">
        <f>IF(Tabla55420[[#This Row],[Valor mensual + Combustible]]="","",Tabla55420[[#This Row],[Valor mensual + Combustible]]*Tabla55420[[#This Row],[Cantidad]])</f>
        <v>5000000</v>
      </c>
      <c r="AN36" s="9"/>
      <c r="AO36" s="10"/>
      <c r="AP36" s="165" t="str">
        <f>IF(Tabla55724[[#This Row],[Equipo ]]="","",INDEX(V_MENSUAL,MATCH(Tabla55724[[#This Row],[Equipo ]],LISTA_MAQUINARIA,0)))</f>
        <v/>
      </c>
      <c r="AQ36" s="12" t="str">
        <f>IF(Tabla55724[[#This Row],[Equipo ]]="","",INDEX(CONSUMO_COMBUSTIBLE_H,MATCH(Tabla55724[[#This Row],[Equipo ]],LISTA_MAQUINARIA,0)))</f>
        <v/>
      </c>
      <c r="AR36" s="166" t="str">
        <f>IF(Tabla55724[[#This Row],[Equipo ]]="","",INDEX(V_GALON,MATCH(Tabla55724[[#This Row],[Equipo ]],LISTA_MAQUINARIA,0)))</f>
        <v/>
      </c>
      <c r="AS36" s="10"/>
      <c r="AT36" s="165" t="str">
        <f>IF(Tabla55724[[#This Row],[Equipo ]]="","",Tabla55724[[#This Row],[Valor mensual]]+Tabla55724[[#This Row],[Combustible Hora ]]*Tabla55724[[#This Row],[Valor galon]]*Tabla55724[[#This Row],[Horas mes]])</f>
        <v/>
      </c>
      <c r="AU36" s="168" t="str">
        <f>IF(Tabla55724[[#This Row],[Valor mensual + Combustible]]="","",Tabla55724[[#This Row],[Valor mensual + Combustible]]*Tabla55724[[#This Row],[Cantidad]])</f>
        <v/>
      </c>
      <c r="AX36" s="9"/>
      <c r="AY36" s="10"/>
      <c r="AZ36" s="165" t="str">
        <f>IF(Tabla560121[[#This Row],[Equipo ]]="","",INDEX(V_MENSUAL,MATCH(Tabla560121[[#This Row],[Equipo ]],LISTA_MAQUINARIA,0)))</f>
        <v/>
      </c>
      <c r="BA36" s="12" t="str">
        <f>IF(Tabla560121[[#This Row],[Equipo ]]="","",INDEX(CONSUMO_COMBUSTIBLE_H,MATCH(Tabla560121[[#This Row],[Equipo ]],LISTA_MAQUINARIA,0)))</f>
        <v/>
      </c>
      <c r="BB36" s="166" t="str">
        <f>IF(Tabla560121[[#This Row],[Equipo ]]="","",INDEX(V_GALON,MATCH(Tabla560121[[#This Row],[Equipo ]],LISTA_MAQUINARIA,0)))</f>
        <v/>
      </c>
      <c r="BC36" s="10"/>
      <c r="BD36" s="165" t="str">
        <f>IF(Tabla560121[[#This Row],[Equipo ]]="","",Tabla560121[[#This Row],[Valor mensual]]+Tabla560121[[#This Row],[Combustible Hora ]]*Tabla560121[[#This Row],[Valor galon]]*Tabla560121[[#This Row],[Horas mes]])</f>
        <v/>
      </c>
      <c r="BE36" s="168" t="str">
        <f>IF(Tabla560121[[#This Row],[Valor mensual + Combustible]]="","",Tabla560121[[#This Row],[Valor mensual + Combustible]]*Tabla560121[[#This Row],[Cantidad]])</f>
        <v/>
      </c>
      <c r="BH36" s="9"/>
      <c r="BI36" s="10"/>
      <c r="BJ36" s="165" t="str">
        <f>IF(Tabla563164[[#This Row],[Equipo ]]="","",INDEX(V_MENSUAL,MATCH(Tabla563164[[#This Row],[Equipo ]],LISTA_MAQUINARIA,0)))</f>
        <v/>
      </c>
      <c r="BK36" s="12" t="str">
        <f>IF(Tabla563164[[#This Row],[Equipo ]]="","",INDEX(CONSUMO_COMBUSTIBLE_H,MATCH(Tabla563164[[#This Row],[Equipo ]],LISTA_MAQUINARIA,0)))</f>
        <v/>
      </c>
      <c r="BL36" s="166" t="str">
        <f>IF(Tabla563164[[#This Row],[Equipo ]]="","",INDEX(V_GALON,MATCH(Tabla563164[[#This Row],[Equipo ]],LISTA_MAQUINARIA,0)))</f>
        <v/>
      </c>
      <c r="BM36" s="10"/>
      <c r="BN36" s="165" t="str">
        <f>IF(Tabla563164[[#This Row],[Equipo ]]="","",Tabla563164[[#This Row],[Valor mensual]]+Tabla563164[[#This Row],[Combustible Hora ]]*Tabla563164[[#This Row],[Valor galon]]*Tabla563164[[#This Row],[Horas mes]])</f>
        <v/>
      </c>
      <c r="BO36" s="168" t="str">
        <f>IF(Tabla563164[[#This Row],[Valor mensual + Combustible]]="","",Tabla563164[[#This Row],[Valor mensual + Combustible]]*Tabla563164[[#This Row],[Cantidad]])</f>
        <v/>
      </c>
      <c r="BR36" s="9"/>
      <c r="BS36" s="10"/>
      <c r="BT36" s="165" t="str">
        <f>IF(Tabla566167[[#This Row],[Equipo ]]="","",INDEX(V_MENSUAL,MATCH(Tabla566167[[#This Row],[Equipo ]],LISTA_MAQUINARIA,0)))</f>
        <v/>
      </c>
      <c r="BU36" s="12" t="str">
        <f>IF(Tabla566167[[#This Row],[Equipo ]]="","",INDEX(CONSUMO_COMBUSTIBLE_H,MATCH(Tabla566167[[#This Row],[Equipo ]],LISTA_MAQUINARIA,0)))</f>
        <v/>
      </c>
      <c r="BV36" s="166" t="str">
        <f>IF(Tabla566167[[#This Row],[Equipo ]]="","",INDEX(V_GALON,MATCH(Tabla566167[[#This Row],[Equipo ]],LISTA_MAQUINARIA,0)))</f>
        <v/>
      </c>
      <c r="BW36" s="10"/>
      <c r="BX36" s="165" t="str">
        <f>IF(Tabla566167[[#This Row],[Equipo ]]="","",Tabla566167[[#This Row],[Valor mensual]]+Tabla566167[[#This Row],[Combustible Hora ]]*Tabla566167[[#This Row],[Valor galon]]*Tabla566167[[#This Row],[Horas mes]])</f>
        <v/>
      </c>
      <c r="BY36" s="168" t="str">
        <f>IF(Tabla566167[[#This Row],[Valor mensual + Combustible]]="","",Tabla566167[[#This Row],[Valor mensual + Combustible]]*Tabla566167[[#This Row],[Cantidad]])</f>
        <v/>
      </c>
      <c r="CB36" s="9"/>
      <c r="CC36" s="10"/>
      <c r="CD36" s="165" t="str">
        <f>IF(Tabla569170[[#This Row],[Equipo ]]="","",INDEX(V_MENSUAL,MATCH(Tabla569170[[#This Row],[Equipo ]],LISTA_MAQUINARIA,0)))</f>
        <v/>
      </c>
      <c r="CE36" s="12" t="str">
        <f>IF(Tabla569170[[#This Row],[Equipo ]]="","",INDEX(CONSUMO_COMBUSTIBLE_H,MATCH(Tabla569170[[#This Row],[Equipo ]],LISTA_MAQUINARIA,0)))</f>
        <v/>
      </c>
      <c r="CF36" s="166" t="str">
        <f>IF(Tabla569170[[#This Row],[Equipo ]]="","",INDEX(V_GALON,MATCH(Tabla569170[[#This Row],[Equipo ]],LISTA_MAQUINARIA,0)))</f>
        <v/>
      </c>
      <c r="CG36" s="10"/>
      <c r="CH36" s="165" t="str">
        <f>IF(Tabla569170[[#This Row],[Equipo ]]="","",Tabla569170[[#This Row],[Valor mensual]]+Tabla569170[[#This Row],[Combustible Hora ]]*Tabla569170[[#This Row],[Valor galon]]*Tabla569170[[#This Row],[Horas mes]])</f>
        <v/>
      </c>
      <c r="CI36" s="168" t="str">
        <f>IF(Tabla569170[[#This Row],[Valor mensual + Combustible]]="","",Tabla569170[[#This Row],[Valor mensual + Combustible]]*Tabla569170[[#This Row],[Cantidad]])</f>
        <v/>
      </c>
      <c r="CL36" s="9"/>
      <c r="CM36" s="10"/>
      <c r="CN36" s="165" t="str">
        <f>IF(Tabla572173[[#This Row],[Equipo ]]="","",INDEX(V_MENSUAL,MATCH(Tabla572173[[#This Row],[Equipo ]],LISTA_MAQUINARIA,0)))</f>
        <v/>
      </c>
      <c r="CO36" s="12" t="str">
        <f>IF(Tabla572173[[#This Row],[Equipo ]]="","",INDEX(CONSUMO_COMBUSTIBLE_H,MATCH(Tabla572173[[#This Row],[Equipo ]],LISTA_MAQUINARIA,0)))</f>
        <v/>
      </c>
      <c r="CP36" s="166" t="str">
        <f>IF(Tabla572173[[#This Row],[Equipo ]]="","",INDEX(V_GALON,MATCH(Tabla572173[[#This Row],[Equipo ]],LISTA_MAQUINARIA,0)))</f>
        <v/>
      </c>
      <c r="CQ36" s="10"/>
      <c r="CR36" s="165" t="str">
        <f>IF(Tabla572173[[#This Row],[Equipo ]]="","",Tabla572173[[#This Row],[Valor mensual]]+Tabla572173[[#This Row],[Combustible Hora ]]*Tabla572173[[#This Row],[Valor galon]]*Tabla572173[[#This Row],[Horas mes]])</f>
        <v/>
      </c>
      <c r="CS36" s="168" t="str">
        <f>IF(Tabla572173[[#This Row],[Valor mensual + Combustible]]="","",Tabla572173[[#This Row],[Valor mensual + Combustible]]*Tabla572173[[#This Row],[Cantidad]])</f>
        <v/>
      </c>
      <c r="CV36" s="9"/>
      <c r="CW36" s="10"/>
      <c r="CX36" s="165" t="str">
        <f>IF(Tabla575176[[#This Row],[Equipo ]]="","",INDEX(V_MENSUAL,MATCH(Tabla575176[[#This Row],[Equipo ]],LISTA_MAQUINARIA,0)))</f>
        <v/>
      </c>
      <c r="CY36" s="12" t="str">
        <f>IF(Tabla575176[[#This Row],[Equipo ]]="","",INDEX(CONSUMO_COMBUSTIBLE_H,MATCH(Tabla575176[[#This Row],[Equipo ]],LISTA_MAQUINARIA,0)))</f>
        <v/>
      </c>
      <c r="CZ36" s="166" t="str">
        <f>IF(Tabla575176[[#This Row],[Equipo ]]="","",INDEX(V_GALON,MATCH(Tabla575176[[#This Row],[Equipo ]],LISTA_MAQUINARIA,0)))</f>
        <v/>
      </c>
      <c r="DA36" s="10"/>
      <c r="DB36" s="165" t="str">
        <f>IF(Tabla575176[[#This Row],[Equipo ]]="","",Tabla575176[[#This Row],[Valor mensual]]+Tabla575176[[#This Row],[Combustible Hora ]]*Tabla575176[[#This Row],[Valor galon]]*Tabla575176[[#This Row],[Horas mes]])</f>
        <v/>
      </c>
      <c r="DC36" s="168" t="str">
        <f>IF(Tabla575176[[#This Row],[Valor mensual + Combustible]]="","",Tabla575176[[#This Row],[Valor mensual + Combustible]]*Tabla575176[[#This Row],[Cantidad]])</f>
        <v/>
      </c>
      <c r="DF36" s="9"/>
      <c r="DG36" s="10"/>
      <c r="DH36" s="165" t="str">
        <f>IF(Tabla578179[[#This Row],[Equipo ]]="","",INDEX(V_MENSUAL,MATCH(Tabla578179[[#This Row],[Equipo ]],LISTA_MAQUINARIA,0)))</f>
        <v/>
      </c>
      <c r="DI36" s="12" t="str">
        <f>IF(Tabla578179[[#This Row],[Equipo ]]="","",INDEX(CONSUMO_COMBUSTIBLE_H,MATCH(Tabla578179[[#This Row],[Equipo ]],LISTA_MAQUINARIA,0)))</f>
        <v/>
      </c>
      <c r="DJ36" s="166" t="str">
        <f>IF(Tabla578179[[#This Row],[Equipo ]]="","",INDEX(V_GALON,MATCH(Tabla578179[[#This Row],[Equipo ]],LISTA_MAQUINARIA,0)))</f>
        <v/>
      </c>
      <c r="DK36" s="10"/>
      <c r="DL36" s="165" t="str">
        <f>IF(Tabla578179[[#This Row],[Equipo ]]="","",Tabla578179[[#This Row],[Valor mensual]]+Tabla578179[[#This Row],[Combustible Hora ]]*Tabla578179[[#This Row],[Valor galon]]*Tabla578179[[#This Row],[Horas mes]])</f>
        <v/>
      </c>
      <c r="DM36" s="168" t="str">
        <f>IF(Tabla578179[[#This Row],[Valor mensual + Combustible]]="","",Tabla578179[[#This Row],[Valor mensual + Combustible]]*Tabla578179[[#This Row],[Cantidad]])</f>
        <v/>
      </c>
      <c r="DP36" s="9"/>
      <c r="DQ36" s="10"/>
      <c r="DR36" s="165" t="str">
        <f>IF(Tabla581182[[#This Row],[Equipo ]]="","",INDEX(V_MENSUAL,MATCH(Tabla581182[[#This Row],[Equipo ]],LISTA_MAQUINARIA,0)))</f>
        <v/>
      </c>
      <c r="DS36" s="12" t="str">
        <f>IF(Tabla581182[[#This Row],[Equipo ]]="","",INDEX(CONSUMO_COMBUSTIBLE_H,MATCH(Tabla581182[[#This Row],[Equipo ]],LISTA_MAQUINARIA,0)))</f>
        <v/>
      </c>
      <c r="DT36" s="166" t="str">
        <f>IF(Tabla581182[[#This Row],[Equipo ]]="","",INDEX(V_GALON,MATCH(Tabla581182[[#This Row],[Equipo ]],LISTA_MAQUINARIA,0)))</f>
        <v/>
      </c>
      <c r="DU36" s="10"/>
      <c r="DV36" s="165" t="str">
        <f>IF(Tabla581182[[#This Row],[Equipo ]]="","",Tabla581182[[#This Row],[Valor mensual]]+Tabla581182[[#This Row],[Combustible Hora ]]*Tabla581182[[#This Row],[Valor galon]]*Tabla581182[[#This Row],[Horas mes]])</f>
        <v/>
      </c>
      <c r="DW36" s="168" t="str">
        <f>IF(Tabla581182[[#This Row],[Valor mensual + Combustible]]="","",Tabla581182[[#This Row],[Valor mensual + Combustible]]*Tabla581182[[#This Row],[Cantidad]])</f>
        <v/>
      </c>
      <c r="DZ36" s="9"/>
      <c r="EA36" s="10"/>
      <c r="EB36" s="165" t="str">
        <f>IF(Tabla584185[[#This Row],[Equipo ]]="","",INDEX(V_MENSUAL,MATCH(Tabla584185[[#This Row],[Equipo ]],LISTA_MAQUINARIA,0)))</f>
        <v/>
      </c>
      <c r="EC36" s="12" t="str">
        <f>IF(Tabla584185[[#This Row],[Equipo ]]="","",INDEX(CONSUMO_COMBUSTIBLE_H,MATCH(Tabla584185[[#This Row],[Equipo ]],LISTA_MAQUINARIA,0)))</f>
        <v/>
      </c>
      <c r="ED36" s="166" t="str">
        <f>IF(Tabla584185[[#This Row],[Equipo ]]="","",INDEX(V_GALON,MATCH(Tabla584185[[#This Row],[Equipo ]],LISTA_MAQUINARIA,0)))</f>
        <v/>
      </c>
      <c r="EE36" s="10"/>
      <c r="EF36" s="165" t="str">
        <f>IF(Tabla584185[[#This Row],[Equipo ]]="","",Tabla584185[[#This Row],[Valor mensual]]+Tabla584185[[#This Row],[Combustible Hora ]]*Tabla584185[[#This Row],[Valor galon]]*Tabla584185[[#This Row],[Horas mes]])</f>
        <v/>
      </c>
      <c r="EG36" s="168" t="str">
        <f>IF(Tabla584185[[#This Row],[Valor mensual + Combustible]]="","",Tabla584185[[#This Row],[Valor mensual + Combustible]]*Tabla584185[[#This Row],[Cantidad]])</f>
        <v/>
      </c>
      <c r="EJ36" s="9"/>
      <c r="EK36" s="10"/>
      <c r="EL36" s="165" t="str">
        <f>IF(Tabla587188[[#This Row],[Equipo ]]="","",INDEX(V_MENSUAL,MATCH(Tabla587188[[#This Row],[Equipo ]],LISTA_MAQUINARIA,0)))</f>
        <v/>
      </c>
      <c r="EM36" s="12" t="str">
        <f>IF(Tabla587188[[#This Row],[Equipo ]]="","",INDEX(CONSUMO_COMBUSTIBLE_H,MATCH(Tabla587188[[#This Row],[Equipo ]],LISTA_MAQUINARIA,0)))</f>
        <v/>
      </c>
      <c r="EN36" s="166" t="str">
        <f>IF(Tabla587188[[#This Row],[Equipo ]]="","",INDEX(V_GALON,MATCH(Tabla587188[[#This Row],[Equipo ]],LISTA_MAQUINARIA,0)))</f>
        <v/>
      </c>
      <c r="EO36" s="10"/>
      <c r="EP36" s="165" t="str">
        <f>IF(Tabla587188[[#This Row],[Equipo ]]="","",Tabla587188[[#This Row],[Valor mensual]]+Tabla587188[[#This Row],[Combustible Hora ]]*Tabla587188[[#This Row],[Valor galon]]*Tabla587188[[#This Row],[Horas mes]])</f>
        <v/>
      </c>
      <c r="EQ36" s="168" t="str">
        <f>IF(Tabla587188[[#This Row],[Valor mensual + Combustible]]="","",Tabla587188[[#This Row],[Valor mensual + Combustible]]*Tabla587188[[#This Row],[Cantidad]])</f>
        <v/>
      </c>
      <c r="ET36" s="9"/>
      <c r="EU36" s="10"/>
      <c r="EV36" s="165" t="str">
        <f>IF(Tabla590191[[#This Row],[Equipo ]]="","",INDEX(V_MENSUAL,MATCH(Tabla590191[[#This Row],[Equipo ]],LISTA_MAQUINARIA,0)))</f>
        <v/>
      </c>
      <c r="EW36" s="12" t="str">
        <f>IF(Tabla590191[[#This Row],[Equipo ]]="","",INDEX(CONSUMO_COMBUSTIBLE_H,MATCH(Tabla590191[[#This Row],[Equipo ]],LISTA_MAQUINARIA,0)))</f>
        <v/>
      </c>
      <c r="EX36" s="166" t="str">
        <f>IF(Tabla590191[[#This Row],[Equipo ]]="","",INDEX(V_GALON,MATCH(Tabla590191[[#This Row],[Equipo ]],LISTA_MAQUINARIA,0)))</f>
        <v/>
      </c>
      <c r="EY36" s="10"/>
      <c r="EZ36" s="165" t="str">
        <f>IF(Tabla590191[[#This Row],[Equipo ]]="","",Tabla590191[[#This Row],[Valor mensual]]+Tabla590191[[#This Row],[Combustible Hora ]]*Tabla590191[[#This Row],[Valor galon]]*Tabla590191[[#This Row],[Horas mes]])</f>
        <v/>
      </c>
      <c r="FA36" s="168" t="str">
        <f>IF(Tabla590191[[#This Row],[Valor mensual + Combustible]]="","",Tabla590191[[#This Row],[Valor mensual + Combustible]]*Tabla590191[[#This Row],[Cantidad]])</f>
        <v/>
      </c>
      <c r="FD36" s="9"/>
      <c r="FE36" s="10"/>
      <c r="FF36" s="165" t="str">
        <f>IF(Tabla593194[[#This Row],[Equipo ]]="","",INDEX(V_MENSUAL,MATCH(Tabla593194[[#This Row],[Equipo ]],LISTA_MAQUINARIA,0)))</f>
        <v/>
      </c>
      <c r="FG36" s="12" t="str">
        <f>IF(Tabla593194[[#This Row],[Equipo ]]="","",INDEX(CONSUMO_COMBUSTIBLE_H,MATCH(Tabla593194[[#This Row],[Equipo ]],LISTA_MAQUINARIA,0)))</f>
        <v/>
      </c>
      <c r="FH36" s="166" t="str">
        <f>IF(Tabla593194[[#This Row],[Equipo ]]="","",INDEX(V_GALON,MATCH(Tabla593194[[#This Row],[Equipo ]],LISTA_MAQUINARIA,0)))</f>
        <v/>
      </c>
      <c r="FI36" s="10"/>
      <c r="FJ36" s="165" t="str">
        <f>IF(Tabla593194[[#This Row],[Equipo ]]="","",Tabla593194[[#This Row],[Valor mensual]]+Tabla593194[[#This Row],[Combustible Hora ]]*Tabla593194[[#This Row],[Valor galon]]*Tabla593194[[#This Row],[Horas mes]])</f>
        <v/>
      </c>
      <c r="FK36" s="168" t="str">
        <f>IF(Tabla593194[[#This Row],[Valor mensual + Combustible]]="","",Tabla593194[[#This Row],[Valor mensual + Combustible]]*Tabla593194[[#This Row],[Cantidad]])</f>
        <v/>
      </c>
      <c r="FN36" s="9"/>
      <c r="FO36" s="10"/>
      <c r="FP36" s="165" t="str">
        <f>IF(Tabla596197[[#This Row],[Equipo ]]="","",INDEX(V_MENSUAL,MATCH(Tabla596197[[#This Row],[Equipo ]],LISTA_MAQUINARIA,0)))</f>
        <v/>
      </c>
      <c r="FQ36" s="12" t="str">
        <f>IF(Tabla596197[[#This Row],[Equipo ]]="","",INDEX(CONSUMO_COMBUSTIBLE_H,MATCH(Tabla596197[[#This Row],[Equipo ]],LISTA_MAQUINARIA,0)))</f>
        <v/>
      </c>
      <c r="FR36" s="166" t="str">
        <f>IF(Tabla596197[[#This Row],[Equipo ]]="","",INDEX(V_GALON,MATCH(Tabla596197[[#This Row],[Equipo ]],LISTA_MAQUINARIA,0)))</f>
        <v/>
      </c>
      <c r="FS36" s="10"/>
      <c r="FT36" s="165" t="str">
        <f>IF(Tabla596197[[#This Row],[Equipo ]]="","",Tabla596197[[#This Row],[Valor mensual]]+Tabla596197[[#This Row],[Combustible Hora ]]*Tabla596197[[#This Row],[Valor galon]]*Tabla596197[[#This Row],[Horas mes]])</f>
        <v/>
      </c>
      <c r="FU36" s="168" t="str">
        <f>IF(Tabla596197[[#This Row],[Valor mensual + Combustible]]="","",Tabla596197[[#This Row],[Valor mensual + Combustible]]*Tabla596197[[#This Row],[Cantidad]])</f>
        <v/>
      </c>
    </row>
    <row r="37" spans="1:177" x14ac:dyDescent="0.3">
      <c r="A37" s="9" t="s">
        <v>494</v>
      </c>
      <c r="B37" s="10">
        <v>1</v>
      </c>
      <c r="C37" s="165">
        <f>IF(Tabla511[[#This Row],[Equipo ]]="","",INDEX(V_MENSUAL,MATCH(Tabla511[[#This Row],[Equipo ]],LISTA_MAQUINARIA,0)))</f>
        <v>3000000</v>
      </c>
      <c r="D37" s="12">
        <f>IF(Tabla511[[#This Row],[Equipo ]]="","",INDEX(CONSUMO_COMBUSTIBLE_H,MATCH(Tabla511[[#This Row],[Equipo ]],LISTA_MAQUINARIA,0)))</f>
        <v>0</v>
      </c>
      <c r="E37" s="166">
        <f>IF(Tabla511[[#This Row],[Equipo ]]="","",INDEX(V_GALON,MATCH(Tabla511[[#This Row],[Equipo ]],LISTA_MAQUINARIA,0)))</f>
        <v>10800</v>
      </c>
      <c r="F37" s="10"/>
      <c r="G37" s="165">
        <f>IF(Tabla511[[#This Row],[Equipo ]]="","",Tabla511[[#This Row],[Valor mensual]]+Tabla511[[#This Row],[Combustible Hora ]]*Tabla511[[#This Row],[Valor galon]]*Tabla511[[#This Row],[Horas mes]])</f>
        <v>3000000</v>
      </c>
      <c r="H37" s="168">
        <f>IF(Tabla511[[#This Row],[Valor mensual + Combustible]]="","",Tabla511[[#This Row],[Valor mensual + Combustible]]*Tabla511[[#This Row],[Cantidad]])</f>
        <v>3000000</v>
      </c>
      <c r="K37" s="9" t="s">
        <v>494</v>
      </c>
      <c r="L37" s="10">
        <v>1</v>
      </c>
      <c r="M37" s="165" cm="1">
        <f t="array" ref="M37">IF(Tabla54814[[#This Row],[Equipo ]]="","",INDEX(V_MENSUAL,MATCH(Tabla54814[[#This Row],[Equipo ]],LISTA_MAQUINARIA,0)))</f>
        <v>3000000</v>
      </c>
      <c r="N37" s="12">
        <f>IF(Tabla54814[[#This Row],[Equipo ]]="","",INDEX(CONSUMO_COMBUSTIBLE_H,MATCH(Tabla54814[[#This Row],[Equipo ]],LISTA_MAQUINARIA,0)))</f>
        <v>0</v>
      </c>
      <c r="O37" s="166">
        <f>IF(Tabla54814[[#This Row],[Equipo ]]="","",INDEX(V_GALON,MATCH(Tabla54814[[#This Row],[Equipo ]],LISTA_MAQUINARIA,0)))</f>
        <v>10800</v>
      </c>
      <c r="P37" s="10"/>
      <c r="Q37" s="165">
        <f>IF(Tabla54814[[#This Row],[Equipo ]]="","",Tabla54814[[#This Row],[Valor mensual]]+Tabla54814[[#This Row],[Combustible Hora ]]*Tabla54814[[#This Row],[Valor galon]]*Tabla54814[[#This Row],[Horas mes]])</f>
        <v>3000000</v>
      </c>
      <c r="R37" s="168">
        <f>IF(Tabla54814[[#This Row],[Valor mensual + Combustible]]="","",Tabla54814[[#This Row],[Valor mensual + Combustible]]*Tabla54814[[#This Row],[Cantidad]])</f>
        <v>3000000</v>
      </c>
      <c r="U37" s="9" t="s">
        <v>494</v>
      </c>
      <c r="V37" s="10">
        <v>1</v>
      </c>
      <c r="W37" s="165">
        <f>IF(Tabla55117[[#This Row],[Equipo ]]="","",INDEX(V_MENSUAL,MATCH(Tabla55117[[#This Row],[Equipo ]],LISTA_MAQUINARIA,0)))</f>
        <v>3000000</v>
      </c>
      <c r="X37" s="12">
        <f>IF(Tabla55117[[#This Row],[Equipo ]]="","",INDEX(CONSUMO_COMBUSTIBLE_H,MATCH(Tabla55117[[#This Row],[Equipo ]],LISTA_MAQUINARIA,0)))</f>
        <v>0</v>
      </c>
      <c r="Y37" s="166">
        <f>IF(Tabla55117[[#This Row],[Equipo ]]="","",INDEX(V_GALON,MATCH(Tabla55117[[#This Row],[Equipo ]],LISTA_MAQUINARIA,0)))</f>
        <v>10800</v>
      </c>
      <c r="Z37" s="10"/>
      <c r="AA37" s="165">
        <f>IF(Tabla55117[[#This Row],[Equipo ]]="","",Tabla55117[[#This Row],[Valor mensual]]+Tabla55117[[#This Row],[Combustible Hora ]]*Tabla55117[[#This Row],[Valor galon]]*Tabla55117[[#This Row],[Horas mes]])</f>
        <v>3000000</v>
      </c>
      <c r="AB37" s="168">
        <f>IF(Tabla55117[[#This Row],[Valor mensual + Combustible]]="","",Tabla55117[[#This Row],[Valor mensual + Combustible]]*Tabla55117[[#This Row],[Cantidad]])</f>
        <v>3000000</v>
      </c>
      <c r="AD37" s="9" t="s">
        <v>494</v>
      </c>
      <c r="AE37" s="10">
        <v>1</v>
      </c>
      <c r="AF37" s="165">
        <f>IF(Tabla55420[[#This Row],[Equipo ]]="","",INDEX(V_MENSUAL,MATCH(Tabla55420[[#This Row],[Equipo ]],LISTA_MAQUINARIA,0)))</f>
        <v>3000000</v>
      </c>
      <c r="AG37" s="12">
        <f>IF(Tabla55420[[#This Row],[Equipo ]]="","",INDEX(CONSUMO_COMBUSTIBLE_H,MATCH(Tabla55420[[#This Row],[Equipo ]],LISTA_MAQUINARIA,0)))</f>
        <v>0</v>
      </c>
      <c r="AH37" s="166">
        <f>IF(Tabla55420[[#This Row],[Equipo ]]="","",INDEX(V_GALON,MATCH(Tabla55420[[#This Row],[Equipo ]],LISTA_MAQUINARIA,0)))</f>
        <v>10800</v>
      </c>
      <c r="AI37" s="10"/>
      <c r="AJ37" s="165">
        <f>IF(Tabla55420[[#This Row],[Equipo ]]="","",Tabla55420[[#This Row],[Valor mensual]]+Tabla55420[[#This Row],[Combustible Hora ]]*Tabla55420[[#This Row],[Valor galon]]*Tabla55420[[#This Row],[Horas mes]])</f>
        <v>3000000</v>
      </c>
      <c r="AK37" s="168">
        <f>IF(Tabla55420[[#This Row],[Valor mensual + Combustible]]="","",Tabla55420[[#This Row],[Valor mensual + Combustible]]*Tabla55420[[#This Row],[Cantidad]])</f>
        <v>3000000</v>
      </c>
      <c r="AN37" s="9"/>
      <c r="AO37" s="10"/>
      <c r="AP37" s="165" t="str">
        <f>IF(Tabla55724[[#This Row],[Equipo ]]="","",INDEX(V_MENSUAL,MATCH(Tabla55724[[#This Row],[Equipo ]],LISTA_MAQUINARIA,0)))</f>
        <v/>
      </c>
      <c r="AQ37" s="12" t="str">
        <f>IF(Tabla55724[[#This Row],[Equipo ]]="","",INDEX(CONSUMO_COMBUSTIBLE_H,MATCH(Tabla55724[[#This Row],[Equipo ]],LISTA_MAQUINARIA,0)))</f>
        <v/>
      </c>
      <c r="AR37" s="166" t="str">
        <f>IF(Tabla55724[[#This Row],[Equipo ]]="","",INDEX(V_GALON,MATCH(Tabla55724[[#This Row],[Equipo ]],LISTA_MAQUINARIA,0)))</f>
        <v/>
      </c>
      <c r="AS37" s="10"/>
      <c r="AT37" s="165" t="str">
        <f>IF(Tabla55724[[#This Row],[Equipo ]]="","",Tabla55724[[#This Row],[Valor mensual]]+Tabla55724[[#This Row],[Combustible Hora ]]*Tabla55724[[#This Row],[Valor galon]]*Tabla55724[[#This Row],[Horas mes]])</f>
        <v/>
      </c>
      <c r="AU37" s="168" t="str">
        <f>IF(Tabla55724[[#This Row],[Valor mensual + Combustible]]="","",Tabla55724[[#This Row],[Valor mensual + Combustible]]*Tabla55724[[#This Row],[Cantidad]])</f>
        <v/>
      </c>
      <c r="AX37" s="9"/>
      <c r="AY37" s="10"/>
      <c r="AZ37" s="165" t="str">
        <f>IF(Tabla560121[[#This Row],[Equipo ]]="","",INDEX(V_MENSUAL,MATCH(Tabla560121[[#This Row],[Equipo ]],LISTA_MAQUINARIA,0)))</f>
        <v/>
      </c>
      <c r="BA37" s="12" t="str">
        <f>IF(Tabla560121[[#This Row],[Equipo ]]="","",INDEX(CONSUMO_COMBUSTIBLE_H,MATCH(Tabla560121[[#This Row],[Equipo ]],LISTA_MAQUINARIA,0)))</f>
        <v/>
      </c>
      <c r="BB37" s="166" t="str">
        <f>IF(Tabla560121[[#This Row],[Equipo ]]="","",INDEX(V_GALON,MATCH(Tabla560121[[#This Row],[Equipo ]],LISTA_MAQUINARIA,0)))</f>
        <v/>
      </c>
      <c r="BC37" s="10"/>
      <c r="BD37" s="165" t="str">
        <f>IF(Tabla560121[[#This Row],[Equipo ]]="","",Tabla560121[[#This Row],[Valor mensual]]+Tabla560121[[#This Row],[Combustible Hora ]]*Tabla560121[[#This Row],[Valor galon]]*Tabla560121[[#This Row],[Horas mes]])</f>
        <v/>
      </c>
      <c r="BE37" s="168" t="str">
        <f>IF(Tabla560121[[#This Row],[Valor mensual + Combustible]]="","",Tabla560121[[#This Row],[Valor mensual + Combustible]]*Tabla560121[[#This Row],[Cantidad]])</f>
        <v/>
      </c>
      <c r="BH37" s="9"/>
      <c r="BI37" s="10"/>
      <c r="BJ37" s="165" t="str">
        <f>IF(Tabla563164[[#This Row],[Equipo ]]="","",INDEX(V_MENSUAL,MATCH(Tabla563164[[#This Row],[Equipo ]],LISTA_MAQUINARIA,0)))</f>
        <v/>
      </c>
      <c r="BK37" s="12" t="str">
        <f>IF(Tabla563164[[#This Row],[Equipo ]]="","",INDEX(CONSUMO_COMBUSTIBLE_H,MATCH(Tabla563164[[#This Row],[Equipo ]],LISTA_MAQUINARIA,0)))</f>
        <v/>
      </c>
      <c r="BL37" s="166" t="str">
        <f>IF(Tabla563164[[#This Row],[Equipo ]]="","",INDEX(V_GALON,MATCH(Tabla563164[[#This Row],[Equipo ]],LISTA_MAQUINARIA,0)))</f>
        <v/>
      </c>
      <c r="BM37" s="10"/>
      <c r="BN37" s="165" t="str">
        <f>IF(Tabla563164[[#This Row],[Equipo ]]="","",Tabla563164[[#This Row],[Valor mensual]]+Tabla563164[[#This Row],[Combustible Hora ]]*Tabla563164[[#This Row],[Valor galon]]*Tabla563164[[#This Row],[Horas mes]])</f>
        <v/>
      </c>
      <c r="BO37" s="168" t="str">
        <f>IF(Tabla563164[[#This Row],[Valor mensual + Combustible]]="","",Tabla563164[[#This Row],[Valor mensual + Combustible]]*Tabla563164[[#This Row],[Cantidad]])</f>
        <v/>
      </c>
      <c r="BR37" s="9"/>
      <c r="BS37" s="10"/>
      <c r="BT37" s="165" t="str">
        <f>IF(Tabla566167[[#This Row],[Equipo ]]="","",INDEX(V_MENSUAL,MATCH(Tabla566167[[#This Row],[Equipo ]],LISTA_MAQUINARIA,0)))</f>
        <v/>
      </c>
      <c r="BU37" s="12" t="str">
        <f>IF(Tabla566167[[#This Row],[Equipo ]]="","",INDEX(CONSUMO_COMBUSTIBLE_H,MATCH(Tabla566167[[#This Row],[Equipo ]],LISTA_MAQUINARIA,0)))</f>
        <v/>
      </c>
      <c r="BV37" s="166" t="str">
        <f>IF(Tabla566167[[#This Row],[Equipo ]]="","",INDEX(V_GALON,MATCH(Tabla566167[[#This Row],[Equipo ]],LISTA_MAQUINARIA,0)))</f>
        <v/>
      </c>
      <c r="BW37" s="10"/>
      <c r="BX37" s="165" t="str">
        <f>IF(Tabla566167[[#This Row],[Equipo ]]="","",Tabla566167[[#This Row],[Valor mensual]]+Tabla566167[[#This Row],[Combustible Hora ]]*Tabla566167[[#This Row],[Valor galon]]*Tabla566167[[#This Row],[Horas mes]])</f>
        <v/>
      </c>
      <c r="BY37" s="168" t="str">
        <f>IF(Tabla566167[[#This Row],[Valor mensual + Combustible]]="","",Tabla566167[[#This Row],[Valor mensual + Combustible]]*Tabla566167[[#This Row],[Cantidad]])</f>
        <v/>
      </c>
      <c r="CB37" s="9"/>
      <c r="CC37" s="10"/>
      <c r="CD37" s="165" t="str">
        <f>IF(Tabla569170[[#This Row],[Equipo ]]="","",INDEX(V_MENSUAL,MATCH(Tabla569170[[#This Row],[Equipo ]],LISTA_MAQUINARIA,0)))</f>
        <v/>
      </c>
      <c r="CE37" s="12" t="str">
        <f>IF(Tabla569170[[#This Row],[Equipo ]]="","",INDEX(CONSUMO_COMBUSTIBLE_H,MATCH(Tabla569170[[#This Row],[Equipo ]],LISTA_MAQUINARIA,0)))</f>
        <v/>
      </c>
      <c r="CF37" s="166" t="str">
        <f>IF(Tabla569170[[#This Row],[Equipo ]]="","",INDEX(V_GALON,MATCH(Tabla569170[[#This Row],[Equipo ]],LISTA_MAQUINARIA,0)))</f>
        <v/>
      </c>
      <c r="CG37" s="10"/>
      <c r="CH37" s="165" t="str">
        <f>IF(Tabla569170[[#This Row],[Equipo ]]="","",Tabla569170[[#This Row],[Valor mensual]]+Tabla569170[[#This Row],[Combustible Hora ]]*Tabla569170[[#This Row],[Valor galon]]*Tabla569170[[#This Row],[Horas mes]])</f>
        <v/>
      </c>
      <c r="CI37" s="168" t="str">
        <f>IF(Tabla569170[[#This Row],[Valor mensual + Combustible]]="","",Tabla569170[[#This Row],[Valor mensual + Combustible]]*Tabla569170[[#This Row],[Cantidad]])</f>
        <v/>
      </c>
      <c r="CL37" s="9"/>
      <c r="CM37" s="10"/>
      <c r="CN37" s="165" t="str">
        <f>IF(Tabla572173[[#This Row],[Equipo ]]="","",INDEX(V_MENSUAL,MATCH(Tabla572173[[#This Row],[Equipo ]],LISTA_MAQUINARIA,0)))</f>
        <v/>
      </c>
      <c r="CO37" s="12" t="str">
        <f>IF(Tabla572173[[#This Row],[Equipo ]]="","",INDEX(CONSUMO_COMBUSTIBLE_H,MATCH(Tabla572173[[#This Row],[Equipo ]],LISTA_MAQUINARIA,0)))</f>
        <v/>
      </c>
      <c r="CP37" s="166" t="str">
        <f>IF(Tabla572173[[#This Row],[Equipo ]]="","",INDEX(V_GALON,MATCH(Tabla572173[[#This Row],[Equipo ]],LISTA_MAQUINARIA,0)))</f>
        <v/>
      </c>
      <c r="CQ37" s="10"/>
      <c r="CR37" s="165" t="str">
        <f>IF(Tabla572173[[#This Row],[Equipo ]]="","",Tabla572173[[#This Row],[Valor mensual]]+Tabla572173[[#This Row],[Combustible Hora ]]*Tabla572173[[#This Row],[Valor galon]]*Tabla572173[[#This Row],[Horas mes]])</f>
        <v/>
      </c>
      <c r="CS37" s="168" t="str">
        <f>IF(Tabla572173[[#This Row],[Valor mensual + Combustible]]="","",Tabla572173[[#This Row],[Valor mensual + Combustible]]*Tabla572173[[#This Row],[Cantidad]])</f>
        <v/>
      </c>
      <c r="CV37" s="9"/>
      <c r="CW37" s="10"/>
      <c r="CX37" s="165" t="str">
        <f>IF(Tabla575176[[#This Row],[Equipo ]]="","",INDEX(V_MENSUAL,MATCH(Tabla575176[[#This Row],[Equipo ]],LISTA_MAQUINARIA,0)))</f>
        <v/>
      </c>
      <c r="CY37" s="12" t="str">
        <f>IF(Tabla575176[[#This Row],[Equipo ]]="","",INDEX(CONSUMO_COMBUSTIBLE_H,MATCH(Tabla575176[[#This Row],[Equipo ]],LISTA_MAQUINARIA,0)))</f>
        <v/>
      </c>
      <c r="CZ37" s="166" t="str">
        <f>IF(Tabla575176[[#This Row],[Equipo ]]="","",INDEX(V_GALON,MATCH(Tabla575176[[#This Row],[Equipo ]],LISTA_MAQUINARIA,0)))</f>
        <v/>
      </c>
      <c r="DA37" s="10"/>
      <c r="DB37" s="165" t="str">
        <f>IF(Tabla575176[[#This Row],[Equipo ]]="","",Tabla575176[[#This Row],[Valor mensual]]+Tabla575176[[#This Row],[Combustible Hora ]]*Tabla575176[[#This Row],[Valor galon]]*Tabla575176[[#This Row],[Horas mes]])</f>
        <v/>
      </c>
      <c r="DC37" s="168" t="str">
        <f>IF(Tabla575176[[#This Row],[Valor mensual + Combustible]]="","",Tabla575176[[#This Row],[Valor mensual + Combustible]]*Tabla575176[[#This Row],[Cantidad]])</f>
        <v/>
      </c>
      <c r="DF37" s="9"/>
      <c r="DG37" s="10"/>
      <c r="DH37" s="165" t="str">
        <f>IF(Tabla578179[[#This Row],[Equipo ]]="","",INDEX(V_MENSUAL,MATCH(Tabla578179[[#This Row],[Equipo ]],LISTA_MAQUINARIA,0)))</f>
        <v/>
      </c>
      <c r="DI37" s="12" t="str">
        <f>IF(Tabla578179[[#This Row],[Equipo ]]="","",INDEX(CONSUMO_COMBUSTIBLE_H,MATCH(Tabla578179[[#This Row],[Equipo ]],LISTA_MAQUINARIA,0)))</f>
        <v/>
      </c>
      <c r="DJ37" s="166" t="str">
        <f>IF(Tabla578179[[#This Row],[Equipo ]]="","",INDEX(V_GALON,MATCH(Tabla578179[[#This Row],[Equipo ]],LISTA_MAQUINARIA,0)))</f>
        <v/>
      </c>
      <c r="DK37" s="10"/>
      <c r="DL37" s="165" t="str">
        <f>IF(Tabla578179[[#This Row],[Equipo ]]="","",Tabla578179[[#This Row],[Valor mensual]]+Tabla578179[[#This Row],[Combustible Hora ]]*Tabla578179[[#This Row],[Valor galon]]*Tabla578179[[#This Row],[Horas mes]])</f>
        <v/>
      </c>
      <c r="DM37" s="168" t="str">
        <f>IF(Tabla578179[[#This Row],[Valor mensual + Combustible]]="","",Tabla578179[[#This Row],[Valor mensual + Combustible]]*Tabla578179[[#This Row],[Cantidad]])</f>
        <v/>
      </c>
      <c r="DP37" s="9"/>
      <c r="DQ37" s="10"/>
      <c r="DR37" s="165" t="str">
        <f>IF(Tabla581182[[#This Row],[Equipo ]]="","",INDEX(V_MENSUAL,MATCH(Tabla581182[[#This Row],[Equipo ]],LISTA_MAQUINARIA,0)))</f>
        <v/>
      </c>
      <c r="DS37" s="12" t="str">
        <f>IF(Tabla581182[[#This Row],[Equipo ]]="","",INDEX(CONSUMO_COMBUSTIBLE_H,MATCH(Tabla581182[[#This Row],[Equipo ]],LISTA_MAQUINARIA,0)))</f>
        <v/>
      </c>
      <c r="DT37" s="166" t="str">
        <f>IF(Tabla581182[[#This Row],[Equipo ]]="","",INDEX(V_GALON,MATCH(Tabla581182[[#This Row],[Equipo ]],LISTA_MAQUINARIA,0)))</f>
        <v/>
      </c>
      <c r="DU37" s="10"/>
      <c r="DV37" s="165" t="str">
        <f>IF(Tabla581182[[#This Row],[Equipo ]]="","",Tabla581182[[#This Row],[Valor mensual]]+Tabla581182[[#This Row],[Combustible Hora ]]*Tabla581182[[#This Row],[Valor galon]]*Tabla581182[[#This Row],[Horas mes]])</f>
        <v/>
      </c>
      <c r="DW37" s="168" t="str">
        <f>IF(Tabla581182[[#This Row],[Valor mensual + Combustible]]="","",Tabla581182[[#This Row],[Valor mensual + Combustible]]*Tabla581182[[#This Row],[Cantidad]])</f>
        <v/>
      </c>
      <c r="DZ37" s="9"/>
      <c r="EA37" s="10"/>
      <c r="EB37" s="165" t="str">
        <f>IF(Tabla584185[[#This Row],[Equipo ]]="","",INDEX(V_MENSUAL,MATCH(Tabla584185[[#This Row],[Equipo ]],LISTA_MAQUINARIA,0)))</f>
        <v/>
      </c>
      <c r="EC37" s="12" t="str">
        <f>IF(Tabla584185[[#This Row],[Equipo ]]="","",INDEX(CONSUMO_COMBUSTIBLE_H,MATCH(Tabla584185[[#This Row],[Equipo ]],LISTA_MAQUINARIA,0)))</f>
        <v/>
      </c>
      <c r="ED37" s="166" t="str">
        <f>IF(Tabla584185[[#This Row],[Equipo ]]="","",INDEX(V_GALON,MATCH(Tabla584185[[#This Row],[Equipo ]],LISTA_MAQUINARIA,0)))</f>
        <v/>
      </c>
      <c r="EE37" s="10"/>
      <c r="EF37" s="165" t="str">
        <f>IF(Tabla584185[[#This Row],[Equipo ]]="","",Tabla584185[[#This Row],[Valor mensual]]+Tabla584185[[#This Row],[Combustible Hora ]]*Tabla584185[[#This Row],[Valor galon]]*Tabla584185[[#This Row],[Horas mes]])</f>
        <v/>
      </c>
      <c r="EG37" s="168" t="str">
        <f>IF(Tabla584185[[#This Row],[Valor mensual + Combustible]]="","",Tabla584185[[#This Row],[Valor mensual + Combustible]]*Tabla584185[[#This Row],[Cantidad]])</f>
        <v/>
      </c>
      <c r="EJ37" s="9"/>
      <c r="EK37" s="10"/>
      <c r="EL37" s="165" t="str">
        <f>IF(Tabla587188[[#This Row],[Equipo ]]="","",INDEX(V_MENSUAL,MATCH(Tabla587188[[#This Row],[Equipo ]],LISTA_MAQUINARIA,0)))</f>
        <v/>
      </c>
      <c r="EM37" s="12" t="str">
        <f>IF(Tabla587188[[#This Row],[Equipo ]]="","",INDEX(CONSUMO_COMBUSTIBLE_H,MATCH(Tabla587188[[#This Row],[Equipo ]],LISTA_MAQUINARIA,0)))</f>
        <v/>
      </c>
      <c r="EN37" s="166" t="str">
        <f>IF(Tabla587188[[#This Row],[Equipo ]]="","",INDEX(V_GALON,MATCH(Tabla587188[[#This Row],[Equipo ]],LISTA_MAQUINARIA,0)))</f>
        <v/>
      </c>
      <c r="EO37" s="10"/>
      <c r="EP37" s="165" t="str">
        <f>IF(Tabla587188[[#This Row],[Equipo ]]="","",Tabla587188[[#This Row],[Valor mensual]]+Tabla587188[[#This Row],[Combustible Hora ]]*Tabla587188[[#This Row],[Valor galon]]*Tabla587188[[#This Row],[Horas mes]])</f>
        <v/>
      </c>
      <c r="EQ37" s="168" t="str">
        <f>IF(Tabla587188[[#This Row],[Valor mensual + Combustible]]="","",Tabla587188[[#This Row],[Valor mensual + Combustible]]*Tabla587188[[#This Row],[Cantidad]])</f>
        <v/>
      </c>
      <c r="ET37" s="9"/>
      <c r="EU37" s="10"/>
      <c r="EV37" s="165" t="str">
        <f>IF(Tabla590191[[#This Row],[Equipo ]]="","",INDEX(V_MENSUAL,MATCH(Tabla590191[[#This Row],[Equipo ]],LISTA_MAQUINARIA,0)))</f>
        <v/>
      </c>
      <c r="EW37" s="12" t="str">
        <f>IF(Tabla590191[[#This Row],[Equipo ]]="","",INDEX(CONSUMO_COMBUSTIBLE_H,MATCH(Tabla590191[[#This Row],[Equipo ]],LISTA_MAQUINARIA,0)))</f>
        <v/>
      </c>
      <c r="EX37" s="166" t="str">
        <f>IF(Tabla590191[[#This Row],[Equipo ]]="","",INDEX(V_GALON,MATCH(Tabla590191[[#This Row],[Equipo ]],LISTA_MAQUINARIA,0)))</f>
        <v/>
      </c>
      <c r="EY37" s="10"/>
      <c r="EZ37" s="165" t="str">
        <f>IF(Tabla590191[[#This Row],[Equipo ]]="","",Tabla590191[[#This Row],[Valor mensual]]+Tabla590191[[#This Row],[Combustible Hora ]]*Tabla590191[[#This Row],[Valor galon]]*Tabla590191[[#This Row],[Horas mes]])</f>
        <v/>
      </c>
      <c r="FA37" s="168" t="str">
        <f>IF(Tabla590191[[#This Row],[Valor mensual + Combustible]]="","",Tabla590191[[#This Row],[Valor mensual + Combustible]]*Tabla590191[[#This Row],[Cantidad]])</f>
        <v/>
      </c>
      <c r="FD37" s="9"/>
      <c r="FE37" s="10"/>
      <c r="FF37" s="165" t="str">
        <f>IF(Tabla593194[[#This Row],[Equipo ]]="","",INDEX(V_MENSUAL,MATCH(Tabla593194[[#This Row],[Equipo ]],LISTA_MAQUINARIA,0)))</f>
        <v/>
      </c>
      <c r="FG37" s="12" t="str">
        <f>IF(Tabla593194[[#This Row],[Equipo ]]="","",INDEX(CONSUMO_COMBUSTIBLE_H,MATCH(Tabla593194[[#This Row],[Equipo ]],LISTA_MAQUINARIA,0)))</f>
        <v/>
      </c>
      <c r="FH37" s="166" t="str">
        <f>IF(Tabla593194[[#This Row],[Equipo ]]="","",INDEX(V_GALON,MATCH(Tabla593194[[#This Row],[Equipo ]],LISTA_MAQUINARIA,0)))</f>
        <v/>
      </c>
      <c r="FI37" s="10"/>
      <c r="FJ37" s="165" t="str">
        <f>IF(Tabla593194[[#This Row],[Equipo ]]="","",Tabla593194[[#This Row],[Valor mensual]]+Tabla593194[[#This Row],[Combustible Hora ]]*Tabla593194[[#This Row],[Valor galon]]*Tabla593194[[#This Row],[Horas mes]])</f>
        <v/>
      </c>
      <c r="FK37" s="168" t="str">
        <f>IF(Tabla593194[[#This Row],[Valor mensual + Combustible]]="","",Tabla593194[[#This Row],[Valor mensual + Combustible]]*Tabla593194[[#This Row],[Cantidad]])</f>
        <v/>
      </c>
      <c r="FN37" s="9"/>
      <c r="FO37" s="10"/>
      <c r="FP37" s="165" t="str">
        <f>IF(Tabla596197[[#This Row],[Equipo ]]="","",INDEX(V_MENSUAL,MATCH(Tabla596197[[#This Row],[Equipo ]],LISTA_MAQUINARIA,0)))</f>
        <v/>
      </c>
      <c r="FQ37" s="12" t="str">
        <f>IF(Tabla596197[[#This Row],[Equipo ]]="","",INDEX(CONSUMO_COMBUSTIBLE_H,MATCH(Tabla596197[[#This Row],[Equipo ]],LISTA_MAQUINARIA,0)))</f>
        <v/>
      </c>
      <c r="FR37" s="166" t="str">
        <f>IF(Tabla596197[[#This Row],[Equipo ]]="","",INDEX(V_GALON,MATCH(Tabla596197[[#This Row],[Equipo ]],LISTA_MAQUINARIA,0)))</f>
        <v/>
      </c>
      <c r="FS37" s="10"/>
      <c r="FT37" s="165" t="str">
        <f>IF(Tabla596197[[#This Row],[Equipo ]]="","",Tabla596197[[#This Row],[Valor mensual]]+Tabla596197[[#This Row],[Combustible Hora ]]*Tabla596197[[#This Row],[Valor galon]]*Tabla596197[[#This Row],[Horas mes]])</f>
        <v/>
      </c>
      <c r="FU37" s="168" t="str">
        <f>IF(Tabla596197[[#This Row],[Valor mensual + Combustible]]="","",Tabla596197[[#This Row],[Valor mensual + Combustible]]*Tabla596197[[#This Row],[Cantidad]])</f>
        <v/>
      </c>
    </row>
    <row r="38" spans="1:177" x14ac:dyDescent="0.3">
      <c r="A38" s="9" t="s">
        <v>495</v>
      </c>
      <c r="B38" s="10">
        <v>1</v>
      </c>
      <c r="C38" s="165" t="e">
        <f>IF(Tabla511[[#This Row],[Equipo ]]="","",INDEX(V_MENSUAL,MATCH(Tabla511[[#This Row],[Equipo ]],LISTA_MAQUINARIA,0)))</f>
        <v>#N/A</v>
      </c>
      <c r="D38" s="12" t="e">
        <f>IF(Tabla511[[#This Row],[Equipo ]]="","",INDEX(CONSUMO_COMBUSTIBLE_H,MATCH(Tabla511[[#This Row],[Equipo ]],LISTA_MAQUINARIA,0)))</f>
        <v>#N/A</v>
      </c>
      <c r="E38" s="166" t="e">
        <f>IF(Tabla511[[#This Row],[Equipo ]]="","",INDEX(V_GALON,MATCH(Tabla511[[#This Row],[Equipo ]],LISTA_MAQUINARIA,0)))</f>
        <v>#N/A</v>
      </c>
      <c r="F38" s="10"/>
      <c r="G38" s="165" t="e">
        <f>IF(Tabla511[[#This Row],[Equipo ]]="","",Tabla511[[#This Row],[Valor mensual]]+Tabla511[[#This Row],[Combustible Hora ]]*Tabla511[[#This Row],[Valor galon]]*Tabla511[[#This Row],[Horas mes]])</f>
        <v>#N/A</v>
      </c>
      <c r="H38" s="168" t="e">
        <f>IF(Tabla511[[#This Row],[Valor mensual + Combustible]]="","",Tabla511[[#This Row],[Valor mensual + Combustible]]*Tabla511[[#This Row],[Cantidad]])</f>
        <v>#N/A</v>
      </c>
      <c r="K38" s="9" t="s">
        <v>495</v>
      </c>
      <c r="L38" s="10">
        <v>1</v>
      </c>
      <c r="M38" s="165" t="e" cm="1">
        <f t="array" ref="M38">IF(Tabla54814[[#This Row],[Equipo ]]="","",INDEX(V_MENSUAL,MATCH(Tabla54814[[#This Row],[Equipo ]],LISTA_MAQUINARIA,0)))</f>
        <v>#N/A</v>
      </c>
      <c r="N38" s="12" t="e">
        <f>IF(Tabla54814[[#This Row],[Equipo ]]="","",INDEX(CONSUMO_COMBUSTIBLE_H,MATCH(Tabla54814[[#This Row],[Equipo ]],LISTA_MAQUINARIA,0)))</f>
        <v>#N/A</v>
      </c>
      <c r="O38" s="166" t="e">
        <f>IF(Tabla54814[[#This Row],[Equipo ]]="","",INDEX(V_GALON,MATCH(Tabla54814[[#This Row],[Equipo ]],LISTA_MAQUINARIA,0)))</f>
        <v>#N/A</v>
      </c>
      <c r="P38" s="10"/>
      <c r="Q38" s="165" t="e">
        <f>IF(Tabla54814[[#This Row],[Equipo ]]="","",Tabla54814[[#This Row],[Valor mensual]]+Tabla54814[[#This Row],[Combustible Hora ]]*Tabla54814[[#This Row],[Valor galon]]*Tabla54814[[#This Row],[Horas mes]])</f>
        <v>#N/A</v>
      </c>
      <c r="R38" s="168" t="e">
        <f>IF(Tabla54814[[#This Row],[Valor mensual + Combustible]]="","",Tabla54814[[#This Row],[Valor mensual + Combustible]]*Tabla54814[[#This Row],[Cantidad]])</f>
        <v>#N/A</v>
      </c>
      <c r="U38" s="9" t="s">
        <v>495</v>
      </c>
      <c r="V38" s="10">
        <v>1</v>
      </c>
      <c r="W38" s="165" t="e">
        <f>IF(Tabla55117[[#This Row],[Equipo ]]="","",INDEX(V_MENSUAL,MATCH(Tabla55117[[#This Row],[Equipo ]],LISTA_MAQUINARIA,0)))</f>
        <v>#N/A</v>
      </c>
      <c r="X38" s="12" t="e">
        <f>IF(Tabla55117[[#This Row],[Equipo ]]="","",INDEX(CONSUMO_COMBUSTIBLE_H,MATCH(Tabla55117[[#This Row],[Equipo ]],LISTA_MAQUINARIA,0)))</f>
        <v>#N/A</v>
      </c>
      <c r="Y38" s="166" t="e">
        <f>IF(Tabla55117[[#This Row],[Equipo ]]="","",INDEX(V_GALON,MATCH(Tabla55117[[#This Row],[Equipo ]],LISTA_MAQUINARIA,0)))</f>
        <v>#N/A</v>
      </c>
      <c r="Z38" s="10"/>
      <c r="AA38" s="165" t="e">
        <f>IF(Tabla55117[[#This Row],[Equipo ]]="","",Tabla55117[[#This Row],[Valor mensual]]+Tabla55117[[#This Row],[Combustible Hora ]]*Tabla55117[[#This Row],[Valor galon]]*Tabla55117[[#This Row],[Horas mes]])</f>
        <v>#N/A</v>
      </c>
      <c r="AB38" s="168" t="e">
        <f>IF(Tabla55117[[#This Row],[Valor mensual + Combustible]]="","",Tabla55117[[#This Row],[Valor mensual + Combustible]]*Tabla55117[[#This Row],[Cantidad]])</f>
        <v>#N/A</v>
      </c>
      <c r="AD38" s="9" t="s">
        <v>495</v>
      </c>
      <c r="AE38" s="10">
        <v>1</v>
      </c>
      <c r="AF38" s="165" t="e">
        <f>IF(Tabla55420[[#This Row],[Equipo ]]="","",INDEX(V_MENSUAL,MATCH(Tabla55420[[#This Row],[Equipo ]],LISTA_MAQUINARIA,0)))</f>
        <v>#N/A</v>
      </c>
      <c r="AG38" s="12" t="e">
        <f>IF(Tabla55420[[#This Row],[Equipo ]]="","",INDEX(CONSUMO_COMBUSTIBLE_H,MATCH(Tabla55420[[#This Row],[Equipo ]],LISTA_MAQUINARIA,0)))</f>
        <v>#N/A</v>
      </c>
      <c r="AH38" s="166" t="e">
        <f>IF(Tabla55420[[#This Row],[Equipo ]]="","",INDEX(V_GALON,MATCH(Tabla55420[[#This Row],[Equipo ]],LISTA_MAQUINARIA,0)))</f>
        <v>#N/A</v>
      </c>
      <c r="AI38" s="10"/>
      <c r="AJ38" s="165" t="e">
        <f>IF(Tabla55420[[#This Row],[Equipo ]]="","",Tabla55420[[#This Row],[Valor mensual]]+Tabla55420[[#This Row],[Combustible Hora ]]*Tabla55420[[#This Row],[Valor galon]]*Tabla55420[[#This Row],[Horas mes]])</f>
        <v>#N/A</v>
      </c>
      <c r="AK38" s="168" t="e">
        <f>IF(Tabla55420[[#This Row],[Valor mensual + Combustible]]="","",Tabla55420[[#This Row],[Valor mensual + Combustible]]*Tabla55420[[#This Row],[Cantidad]])</f>
        <v>#N/A</v>
      </c>
      <c r="AN38" s="9"/>
      <c r="AO38" s="10"/>
      <c r="AP38" s="165" t="str">
        <f>IF(Tabla55724[[#This Row],[Equipo ]]="","",INDEX(V_MENSUAL,MATCH(Tabla55724[[#This Row],[Equipo ]],LISTA_MAQUINARIA,0)))</f>
        <v/>
      </c>
      <c r="AQ38" s="12" t="str">
        <f>IF(Tabla55724[[#This Row],[Equipo ]]="","",INDEX(CONSUMO_COMBUSTIBLE_H,MATCH(Tabla55724[[#This Row],[Equipo ]],LISTA_MAQUINARIA,0)))</f>
        <v/>
      </c>
      <c r="AR38" s="166" t="str">
        <f>IF(Tabla55724[[#This Row],[Equipo ]]="","",INDEX(V_GALON,MATCH(Tabla55724[[#This Row],[Equipo ]],LISTA_MAQUINARIA,0)))</f>
        <v/>
      </c>
      <c r="AS38" s="10"/>
      <c r="AT38" s="165" t="str">
        <f>IF(Tabla55724[[#This Row],[Equipo ]]="","",Tabla55724[[#This Row],[Valor mensual]]+Tabla55724[[#This Row],[Combustible Hora ]]*Tabla55724[[#This Row],[Valor galon]]*Tabla55724[[#This Row],[Horas mes]])</f>
        <v/>
      </c>
      <c r="AU38" s="168" t="str">
        <f>IF(Tabla55724[[#This Row],[Valor mensual + Combustible]]="","",Tabla55724[[#This Row],[Valor mensual + Combustible]]*Tabla55724[[#This Row],[Cantidad]])</f>
        <v/>
      </c>
      <c r="AX38" s="9"/>
      <c r="AY38" s="10"/>
      <c r="AZ38" s="165" t="str">
        <f>IF(Tabla560121[[#This Row],[Equipo ]]="","",INDEX(V_MENSUAL,MATCH(Tabla560121[[#This Row],[Equipo ]],LISTA_MAQUINARIA,0)))</f>
        <v/>
      </c>
      <c r="BA38" s="12" t="str">
        <f>IF(Tabla560121[[#This Row],[Equipo ]]="","",INDEX(CONSUMO_COMBUSTIBLE_H,MATCH(Tabla560121[[#This Row],[Equipo ]],LISTA_MAQUINARIA,0)))</f>
        <v/>
      </c>
      <c r="BB38" s="166" t="str">
        <f>IF(Tabla560121[[#This Row],[Equipo ]]="","",INDEX(V_GALON,MATCH(Tabla560121[[#This Row],[Equipo ]],LISTA_MAQUINARIA,0)))</f>
        <v/>
      </c>
      <c r="BC38" s="10"/>
      <c r="BD38" s="165" t="str">
        <f>IF(Tabla560121[[#This Row],[Equipo ]]="","",Tabla560121[[#This Row],[Valor mensual]]+Tabla560121[[#This Row],[Combustible Hora ]]*Tabla560121[[#This Row],[Valor galon]]*Tabla560121[[#This Row],[Horas mes]])</f>
        <v/>
      </c>
      <c r="BE38" s="168" t="str">
        <f>IF(Tabla560121[[#This Row],[Valor mensual + Combustible]]="","",Tabla560121[[#This Row],[Valor mensual + Combustible]]*Tabla560121[[#This Row],[Cantidad]])</f>
        <v/>
      </c>
      <c r="BH38" s="9"/>
      <c r="BI38" s="10"/>
      <c r="BJ38" s="165" t="str">
        <f>IF(Tabla563164[[#This Row],[Equipo ]]="","",INDEX(V_MENSUAL,MATCH(Tabla563164[[#This Row],[Equipo ]],LISTA_MAQUINARIA,0)))</f>
        <v/>
      </c>
      <c r="BK38" s="12" t="str">
        <f>IF(Tabla563164[[#This Row],[Equipo ]]="","",INDEX(CONSUMO_COMBUSTIBLE_H,MATCH(Tabla563164[[#This Row],[Equipo ]],LISTA_MAQUINARIA,0)))</f>
        <v/>
      </c>
      <c r="BL38" s="166" t="str">
        <f>IF(Tabla563164[[#This Row],[Equipo ]]="","",INDEX(V_GALON,MATCH(Tabla563164[[#This Row],[Equipo ]],LISTA_MAQUINARIA,0)))</f>
        <v/>
      </c>
      <c r="BM38" s="10"/>
      <c r="BN38" s="165" t="str">
        <f>IF(Tabla563164[[#This Row],[Equipo ]]="","",Tabla563164[[#This Row],[Valor mensual]]+Tabla563164[[#This Row],[Combustible Hora ]]*Tabla563164[[#This Row],[Valor galon]]*Tabla563164[[#This Row],[Horas mes]])</f>
        <v/>
      </c>
      <c r="BO38" s="168" t="str">
        <f>IF(Tabla563164[[#This Row],[Valor mensual + Combustible]]="","",Tabla563164[[#This Row],[Valor mensual + Combustible]]*Tabla563164[[#This Row],[Cantidad]])</f>
        <v/>
      </c>
      <c r="BR38" s="9"/>
      <c r="BS38" s="10"/>
      <c r="BT38" s="165" t="str">
        <f>IF(Tabla566167[[#This Row],[Equipo ]]="","",INDEX(V_MENSUAL,MATCH(Tabla566167[[#This Row],[Equipo ]],LISTA_MAQUINARIA,0)))</f>
        <v/>
      </c>
      <c r="BU38" s="12" t="str">
        <f>IF(Tabla566167[[#This Row],[Equipo ]]="","",INDEX(CONSUMO_COMBUSTIBLE_H,MATCH(Tabla566167[[#This Row],[Equipo ]],LISTA_MAQUINARIA,0)))</f>
        <v/>
      </c>
      <c r="BV38" s="166" t="str">
        <f>IF(Tabla566167[[#This Row],[Equipo ]]="","",INDEX(V_GALON,MATCH(Tabla566167[[#This Row],[Equipo ]],LISTA_MAQUINARIA,0)))</f>
        <v/>
      </c>
      <c r="BW38" s="10"/>
      <c r="BX38" s="165" t="str">
        <f>IF(Tabla566167[[#This Row],[Equipo ]]="","",Tabla566167[[#This Row],[Valor mensual]]+Tabla566167[[#This Row],[Combustible Hora ]]*Tabla566167[[#This Row],[Valor galon]]*Tabla566167[[#This Row],[Horas mes]])</f>
        <v/>
      </c>
      <c r="BY38" s="168" t="str">
        <f>IF(Tabla566167[[#This Row],[Valor mensual + Combustible]]="","",Tabla566167[[#This Row],[Valor mensual + Combustible]]*Tabla566167[[#This Row],[Cantidad]])</f>
        <v/>
      </c>
      <c r="CB38" s="9"/>
      <c r="CC38" s="10"/>
      <c r="CD38" s="165" t="str">
        <f>IF(Tabla569170[[#This Row],[Equipo ]]="","",INDEX(V_MENSUAL,MATCH(Tabla569170[[#This Row],[Equipo ]],LISTA_MAQUINARIA,0)))</f>
        <v/>
      </c>
      <c r="CE38" s="12" t="str">
        <f>IF(Tabla569170[[#This Row],[Equipo ]]="","",INDEX(CONSUMO_COMBUSTIBLE_H,MATCH(Tabla569170[[#This Row],[Equipo ]],LISTA_MAQUINARIA,0)))</f>
        <v/>
      </c>
      <c r="CF38" s="166" t="str">
        <f>IF(Tabla569170[[#This Row],[Equipo ]]="","",INDEX(V_GALON,MATCH(Tabla569170[[#This Row],[Equipo ]],LISTA_MAQUINARIA,0)))</f>
        <v/>
      </c>
      <c r="CG38" s="10"/>
      <c r="CH38" s="165" t="str">
        <f>IF(Tabla569170[[#This Row],[Equipo ]]="","",Tabla569170[[#This Row],[Valor mensual]]+Tabla569170[[#This Row],[Combustible Hora ]]*Tabla569170[[#This Row],[Valor galon]]*Tabla569170[[#This Row],[Horas mes]])</f>
        <v/>
      </c>
      <c r="CI38" s="168" t="str">
        <f>IF(Tabla569170[[#This Row],[Valor mensual + Combustible]]="","",Tabla569170[[#This Row],[Valor mensual + Combustible]]*Tabla569170[[#This Row],[Cantidad]])</f>
        <v/>
      </c>
      <c r="CL38" s="9"/>
      <c r="CM38" s="10"/>
      <c r="CN38" s="165" t="str">
        <f>IF(Tabla572173[[#This Row],[Equipo ]]="","",INDEX(V_MENSUAL,MATCH(Tabla572173[[#This Row],[Equipo ]],LISTA_MAQUINARIA,0)))</f>
        <v/>
      </c>
      <c r="CO38" s="12" t="str">
        <f>IF(Tabla572173[[#This Row],[Equipo ]]="","",INDEX(CONSUMO_COMBUSTIBLE_H,MATCH(Tabla572173[[#This Row],[Equipo ]],LISTA_MAQUINARIA,0)))</f>
        <v/>
      </c>
      <c r="CP38" s="166" t="str">
        <f>IF(Tabla572173[[#This Row],[Equipo ]]="","",INDEX(V_GALON,MATCH(Tabla572173[[#This Row],[Equipo ]],LISTA_MAQUINARIA,0)))</f>
        <v/>
      </c>
      <c r="CQ38" s="10"/>
      <c r="CR38" s="165" t="str">
        <f>IF(Tabla572173[[#This Row],[Equipo ]]="","",Tabla572173[[#This Row],[Valor mensual]]+Tabla572173[[#This Row],[Combustible Hora ]]*Tabla572173[[#This Row],[Valor galon]]*Tabla572173[[#This Row],[Horas mes]])</f>
        <v/>
      </c>
      <c r="CS38" s="168" t="str">
        <f>IF(Tabla572173[[#This Row],[Valor mensual + Combustible]]="","",Tabla572173[[#This Row],[Valor mensual + Combustible]]*Tabla572173[[#This Row],[Cantidad]])</f>
        <v/>
      </c>
      <c r="CV38" s="9"/>
      <c r="CW38" s="10"/>
      <c r="CX38" s="165" t="str">
        <f>IF(Tabla575176[[#This Row],[Equipo ]]="","",INDEX(V_MENSUAL,MATCH(Tabla575176[[#This Row],[Equipo ]],LISTA_MAQUINARIA,0)))</f>
        <v/>
      </c>
      <c r="CY38" s="12" t="str">
        <f>IF(Tabla575176[[#This Row],[Equipo ]]="","",INDEX(CONSUMO_COMBUSTIBLE_H,MATCH(Tabla575176[[#This Row],[Equipo ]],LISTA_MAQUINARIA,0)))</f>
        <v/>
      </c>
      <c r="CZ38" s="166" t="str">
        <f>IF(Tabla575176[[#This Row],[Equipo ]]="","",INDEX(V_GALON,MATCH(Tabla575176[[#This Row],[Equipo ]],LISTA_MAQUINARIA,0)))</f>
        <v/>
      </c>
      <c r="DA38" s="10"/>
      <c r="DB38" s="165" t="str">
        <f>IF(Tabla575176[[#This Row],[Equipo ]]="","",Tabla575176[[#This Row],[Valor mensual]]+Tabla575176[[#This Row],[Combustible Hora ]]*Tabla575176[[#This Row],[Valor galon]]*Tabla575176[[#This Row],[Horas mes]])</f>
        <v/>
      </c>
      <c r="DC38" s="168" t="str">
        <f>IF(Tabla575176[[#This Row],[Valor mensual + Combustible]]="","",Tabla575176[[#This Row],[Valor mensual + Combustible]]*Tabla575176[[#This Row],[Cantidad]])</f>
        <v/>
      </c>
      <c r="DF38" s="9"/>
      <c r="DG38" s="10"/>
      <c r="DH38" s="165" t="str">
        <f>IF(Tabla578179[[#This Row],[Equipo ]]="","",INDEX(V_MENSUAL,MATCH(Tabla578179[[#This Row],[Equipo ]],LISTA_MAQUINARIA,0)))</f>
        <v/>
      </c>
      <c r="DI38" s="12" t="str">
        <f>IF(Tabla578179[[#This Row],[Equipo ]]="","",INDEX(CONSUMO_COMBUSTIBLE_H,MATCH(Tabla578179[[#This Row],[Equipo ]],LISTA_MAQUINARIA,0)))</f>
        <v/>
      </c>
      <c r="DJ38" s="166" t="str">
        <f>IF(Tabla578179[[#This Row],[Equipo ]]="","",INDEX(V_GALON,MATCH(Tabla578179[[#This Row],[Equipo ]],LISTA_MAQUINARIA,0)))</f>
        <v/>
      </c>
      <c r="DK38" s="10"/>
      <c r="DL38" s="165" t="str">
        <f>IF(Tabla578179[[#This Row],[Equipo ]]="","",Tabla578179[[#This Row],[Valor mensual]]+Tabla578179[[#This Row],[Combustible Hora ]]*Tabla578179[[#This Row],[Valor galon]]*Tabla578179[[#This Row],[Horas mes]])</f>
        <v/>
      </c>
      <c r="DM38" s="168" t="str">
        <f>IF(Tabla578179[[#This Row],[Valor mensual + Combustible]]="","",Tabla578179[[#This Row],[Valor mensual + Combustible]]*Tabla578179[[#This Row],[Cantidad]])</f>
        <v/>
      </c>
      <c r="DP38" s="9"/>
      <c r="DQ38" s="10"/>
      <c r="DR38" s="165" t="str">
        <f>IF(Tabla581182[[#This Row],[Equipo ]]="","",INDEX(V_MENSUAL,MATCH(Tabla581182[[#This Row],[Equipo ]],LISTA_MAQUINARIA,0)))</f>
        <v/>
      </c>
      <c r="DS38" s="12" t="str">
        <f>IF(Tabla581182[[#This Row],[Equipo ]]="","",INDEX(CONSUMO_COMBUSTIBLE_H,MATCH(Tabla581182[[#This Row],[Equipo ]],LISTA_MAQUINARIA,0)))</f>
        <v/>
      </c>
      <c r="DT38" s="166" t="str">
        <f>IF(Tabla581182[[#This Row],[Equipo ]]="","",INDEX(V_GALON,MATCH(Tabla581182[[#This Row],[Equipo ]],LISTA_MAQUINARIA,0)))</f>
        <v/>
      </c>
      <c r="DU38" s="10"/>
      <c r="DV38" s="165" t="str">
        <f>IF(Tabla581182[[#This Row],[Equipo ]]="","",Tabla581182[[#This Row],[Valor mensual]]+Tabla581182[[#This Row],[Combustible Hora ]]*Tabla581182[[#This Row],[Valor galon]]*Tabla581182[[#This Row],[Horas mes]])</f>
        <v/>
      </c>
      <c r="DW38" s="168" t="str">
        <f>IF(Tabla581182[[#This Row],[Valor mensual + Combustible]]="","",Tabla581182[[#This Row],[Valor mensual + Combustible]]*Tabla581182[[#This Row],[Cantidad]])</f>
        <v/>
      </c>
      <c r="DZ38" s="9"/>
      <c r="EA38" s="10"/>
      <c r="EB38" s="165" t="str">
        <f>IF(Tabla584185[[#This Row],[Equipo ]]="","",INDEX(V_MENSUAL,MATCH(Tabla584185[[#This Row],[Equipo ]],LISTA_MAQUINARIA,0)))</f>
        <v/>
      </c>
      <c r="EC38" s="12" t="str">
        <f>IF(Tabla584185[[#This Row],[Equipo ]]="","",INDEX(CONSUMO_COMBUSTIBLE_H,MATCH(Tabla584185[[#This Row],[Equipo ]],LISTA_MAQUINARIA,0)))</f>
        <v/>
      </c>
      <c r="ED38" s="166" t="str">
        <f>IF(Tabla584185[[#This Row],[Equipo ]]="","",INDEX(V_GALON,MATCH(Tabla584185[[#This Row],[Equipo ]],LISTA_MAQUINARIA,0)))</f>
        <v/>
      </c>
      <c r="EE38" s="10"/>
      <c r="EF38" s="165" t="str">
        <f>IF(Tabla584185[[#This Row],[Equipo ]]="","",Tabla584185[[#This Row],[Valor mensual]]+Tabla584185[[#This Row],[Combustible Hora ]]*Tabla584185[[#This Row],[Valor galon]]*Tabla584185[[#This Row],[Horas mes]])</f>
        <v/>
      </c>
      <c r="EG38" s="168" t="str">
        <f>IF(Tabla584185[[#This Row],[Valor mensual + Combustible]]="","",Tabla584185[[#This Row],[Valor mensual + Combustible]]*Tabla584185[[#This Row],[Cantidad]])</f>
        <v/>
      </c>
      <c r="EJ38" s="9"/>
      <c r="EK38" s="10"/>
      <c r="EL38" s="165" t="str">
        <f>IF(Tabla587188[[#This Row],[Equipo ]]="","",INDEX(V_MENSUAL,MATCH(Tabla587188[[#This Row],[Equipo ]],LISTA_MAQUINARIA,0)))</f>
        <v/>
      </c>
      <c r="EM38" s="12" t="str">
        <f>IF(Tabla587188[[#This Row],[Equipo ]]="","",INDEX(CONSUMO_COMBUSTIBLE_H,MATCH(Tabla587188[[#This Row],[Equipo ]],LISTA_MAQUINARIA,0)))</f>
        <v/>
      </c>
      <c r="EN38" s="166" t="str">
        <f>IF(Tabla587188[[#This Row],[Equipo ]]="","",INDEX(V_GALON,MATCH(Tabla587188[[#This Row],[Equipo ]],LISTA_MAQUINARIA,0)))</f>
        <v/>
      </c>
      <c r="EO38" s="10"/>
      <c r="EP38" s="165" t="str">
        <f>IF(Tabla587188[[#This Row],[Equipo ]]="","",Tabla587188[[#This Row],[Valor mensual]]+Tabla587188[[#This Row],[Combustible Hora ]]*Tabla587188[[#This Row],[Valor galon]]*Tabla587188[[#This Row],[Horas mes]])</f>
        <v/>
      </c>
      <c r="EQ38" s="168" t="str">
        <f>IF(Tabla587188[[#This Row],[Valor mensual + Combustible]]="","",Tabla587188[[#This Row],[Valor mensual + Combustible]]*Tabla587188[[#This Row],[Cantidad]])</f>
        <v/>
      </c>
      <c r="ET38" s="9"/>
      <c r="EU38" s="10"/>
      <c r="EV38" s="165" t="str">
        <f>IF(Tabla590191[[#This Row],[Equipo ]]="","",INDEX(V_MENSUAL,MATCH(Tabla590191[[#This Row],[Equipo ]],LISTA_MAQUINARIA,0)))</f>
        <v/>
      </c>
      <c r="EW38" s="12" t="str">
        <f>IF(Tabla590191[[#This Row],[Equipo ]]="","",INDEX(CONSUMO_COMBUSTIBLE_H,MATCH(Tabla590191[[#This Row],[Equipo ]],LISTA_MAQUINARIA,0)))</f>
        <v/>
      </c>
      <c r="EX38" s="166" t="str">
        <f>IF(Tabla590191[[#This Row],[Equipo ]]="","",INDEX(V_GALON,MATCH(Tabla590191[[#This Row],[Equipo ]],LISTA_MAQUINARIA,0)))</f>
        <v/>
      </c>
      <c r="EY38" s="10"/>
      <c r="EZ38" s="165" t="str">
        <f>IF(Tabla590191[[#This Row],[Equipo ]]="","",Tabla590191[[#This Row],[Valor mensual]]+Tabla590191[[#This Row],[Combustible Hora ]]*Tabla590191[[#This Row],[Valor galon]]*Tabla590191[[#This Row],[Horas mes]])</f>
        <v/>
      </c>
      <c r="FA38" s="168" t="str">
        <f>IF(Tabla590191[[#This Row],[Valor mensual + Combustible]]="","",Tabla590191[[#This Row],[Valor mensual + Combustible]]*Tabla590191[[#This Row],[Cantidad]])</f>
        <v/>
      </c>
      <c r="FD38" s="9"/>
      <c r="FE38" s="10"/>
      <c r="FF38" s="165" t="str">
        <f>IF(Tabla593194[[#This Row],[Equipo ]]="","",INDEX(V_MENSUAL,MATCH(Tabla593194[[#This Row],[Equipo ]],LISTA_MAQUINARIA,0)))</f>
        <v/>
      </c>
      <c r="FG38" s="12" t="str">
        <f>IF(Tabla593194[[#This Row],[Equipo ]]="","",INDEX(CONSUMO_COMBUSTIBLE_H,MATCH(Tabla593194[[#This Row],[Equipo ]],LISTA_MAQUINARIA,0)))</f>
        <v/>
      </c>
      <c r="FH38" s="166" t="str">
        <f>IF(Tabla593194[[#This Row],[Equipo ]]="","",INDEX(V_GALON,MATCH(Tabla593194[[#This Row],[Equipo ]],LISTA_MAQUINARIA,0)))</f>
        <v/>
      </c>
      <c r="FI38" s="10"/>
      <c r="FJ38" s="165" t="str">
        <f>IF(Tabla593194[[#This Row],[Equipo ]]="","",Tabla593194[[#This Row],[Valor mensual]]+Tabla593194[[#This Row],[Combustible Hora ]]*Tabla593194[[#This Row],[Valor galon]]*Tabla593194[[#This Row],[Horas mes]])</f>
        <v/>
      </c>
      <c r="FK38" s="168" t="str">
        <f>IF(Tabla593194[[#This Row],[Valor mensual + Combustible]]="","",Tabla593194[[#This Row],[Valor mensual + Combustible]]*Tabla593194[[#This Row],[Cantidad]])</f>
        <v/>
      </c>
      <c r="FN38" s="9"/>
      <c r="FO38" s="10"/>
      <c r="FP38" s="165" t="str">
        <f>IF(Tabla596197[[#This Row],[Equipo ]]="","",INDEX(V_MENSUAL,MATCH(Tabla596197[[#This Row],[Equipo ]],LISTA_MAQUINARIA,0)))</f>
        <v/>
      </c>
      <c r="FQ38" s="12" t="str">
        <f>IF(Tabla596197[[#This Row],[Equipo ]]="","",INDEX(CONSUMO_COMBUSTIBLE_H,MATCH(Tabla596197[[#This Row],[Equipo ]],LISTA_MAQUINARIA,0)))</f>
        <v/>
      </c>
      <c r="FR38" s="166" t="str">
        <f>IF(Tabla596197[[#This Row],[Equipo ]]="","",INDEX(V_GALON,MATCH(Tabla596197[[#This Row],[Equipo ]],LISTA_MAQUINARIA,0)))</f>
        <v/>
      </c>
      <c r="FS38" s="10"/>
      <c r="FT38" s="165" t="str">
        <f>IF(Tabla596197[[#This Row],[Equipo ]]="","",Tabla596197[[#This Row],[Valor mensual]]+Tabla596197[[#This Row],[Combustible Hora ]]*Tabla596197[[#This Row],[Valor galon]]*Tabla596197[[#This Row],[Horas mes]])</f>
        <v/>
      </c>
      <c r="FU38" s="168" t="str">
        <f>IF(Tabla596197[[#This Row],[Valor mensual + Combustible]]="","",Tabla596197[[#This Row],[Valor mensual + Combustible]]*Tabla596197[[#This Row],[Cantidad]])</f>
        <v/>
      </c>
    </row>
    <row r="39" spans="1:177" x14ac:dyDescent="0.3">
      <c r="A39" s="9" t="s">
        <v>496</v>
      </c>
      <c r="B39" s="10">
        <v>1</v>
      </c>
      <c r="C39" s="165">
        <f>IF(Tabla511[[#This Row],[Equipo ]]="","",INDEX(V_MENSUAL,MATCH(Tabla511[[#This Row],[Equipo ]],LISTA_MAQUINARIA,0)))</f>
        <v>4000000</v>
      </c>
      <c r="D39" s="12">
        <f>IF(Tabla511[[#This Row],[Equipo ]]="","",INDEX(CONSUMO_COMBUSTIBLE_H,MATCH(Tabla511[[#This Row],[Equipo ]],LISTA_MAQUINARIA,0)))</f>
        <v>0</v>
      </c>
      <c r="E39" s="166">
        <f>IF(Tabla511[[#This Row],[Equipo ]]="","",INDEX(V_GALON,MATCH(Tabla511[[#This Row],[Equipo ]],LISTA_MAQUINARIA,0)))</f>
        <v>10800</v>
      </c>
      <c r="F39" s="10"/>
      <c r="G39" s="165">
        <f>IF(Tabla511[[#This Row],[Equipo ]]="","",Tabla511[[#This Row],[Valor mensual]]+Tabla511[[#This Row],[Combustible Hora ]]*Tabla511[[#This Row],[Valor galon]]*Tabla511[[#This Row],[Horas mes]])</f>
        <v>4000000</v>
      </c>
      <c r="H39" s="168">
        <f>IF(Tabla511[[#This Row],[Valor mensual + Combustible]]="","",Tabla511[[#This Row],[Valor mensual + Combustible]]*Tabla511[[#This Row],[Cantidad]])</f>
        <v>4000000</v>
      </c>
      <c r="K39" s="9" t="s">
        <v>496</v>
      </c>
      <c r="L39" s="10">
        <v>1</v>
      </c>
      <c r="M39" s="165" cm="1">
        <f t="array" ref="M39">IF(Tabla54814[[#This Row],[Equipo ]]="","",INDEX(V_MENSUAL,MATCH(Tabla54814[[#This Row],[Equipo ]],LISTA_MAQUINARIA,0)))</f>
        <v>4000000</v>
      </c>
      <c r="N39" s="12">
        <f>IF(Tabla54814[[#This Row],[Equipo ]]="","",INDEX(CONSUMO_COMBUSTIBLE_H,MATCH(Tabla54814[[#This Row],[Equipo ]],LISTA_MAQUINARIA,0)))</f>
        <v>0</v>
      </c>
      <c r="O39" s="166">
        <f>IF(Tabla54814[[#This Row],[Equipo ]]="","",INDEX(V_GALON,MATCH(Tabla54814[[#This Row],[Equipo ]],LISTA_MAQUINARIA,0)))</f>
        <v>10800</v>
      </c>
      <c r="P39" s="10"/>
      <c r="Q39" s="165">
        <f>IF(Tabla54814[[#This Row],[Equipo ]]="","",Tabla54814[[#This Row],[Valor mensual]]+Tabla54814[[#This Row],[Combustible Hora ]]*Tabla54814[[#This Row],[Valor galon]]*Tabla54814[[#This Row],[Horas mes]])</f>
        <v>4000000</v>
      </c>
      <c r="R39" s="168">
        <f>IF(Tabla54814[[#This Row],[Valor mensual + Combustible]]="","",Tabla54814[[#This Row],[Valor mensual + Combustible]]*Tabla54814[[#This Row],[Cantidad]])</f>
        <v>4000000</v>
      </c>
      <c r="U39" s="9" t="s">
        <v>496</v>
      </c>
      <c r="V39" s="10">
        <v>1</v>
      </c>
      <c r="W39" s="165">
        <f>IF(Tabla55117[[#This Row],[Equipo ]]="","",INDEX(V_MENSUAL,MATCH(Tabla55117[[#This Row],[Equipo ]],LISTA_MAQUINARIA,0)))</f>
        <v>4000000</v>
      </c>
      <c r="X39" s="12">
        <f>IF(Tabla55117[[#This Row],[Equipo ]]="","",INDEX(CONSUMO_COMBUSTIBLE_H,MATCH(Tabla55117[[#This Row],[Equipo ]],LISTA_MAQUINARIA,0)))</f>
        <v>0</v>
      </c>
      <c r="Y39" s="166">
        <f>IF(Tabla55117[[#This Row],[Equipo ]]="","",INDEX(V_GALON,MATCH(Tabla55117[[#This Row],[Equipo ]],LISTA_MAQUINARIA,0)))</f>
        <v>10800</v>
      </c>
      <c r="Z39" s="10"/>
      <c r="AA39" s="165">
        <f>IF(Tabla55117[[#This Row],[Equipo ]]="","",Tabla55117[[#This Row],[Valor mensual]]+Tabla55117[[#This Row],[Combustible Hora ]]*Tabla55117[[#This Row],[Valor galon]]*Tabla55117[[#This Row],[Horas mes]])</f>
        <v>4000000</v>
      </c>
      <c r="AB39" s="168">
        <f>IF(Tabla55117[[#This Row],[Valor mensual + Combustible]]="","",Tabla55117[[#This Row],[Valor mensual + Combustible]]*Tabla55117[[#This Row],[Cantidad]])</f>
        <v>4000000</v>
      </c>
      <c r="AD39" s="9" t="s">
        <v>496</v>
      </c>
      <c r="AE39" s="10">
        <v>1</v>
      </c>
      <c r="AF39" s="165">
        <f>IF(Tabla55420[[#This Row],[Equipo ]]="","",INDEX(V_MENSUAL,MATCH(Tabla55420[[#This Row],[Equipo ]],LISTA_MAQUINARIA,0)))</f>
        <v>4000000</v>
      </c>
      <c r="AG39" s="12">
        <f>IF(Tabla55420[[#This Row],[Equipo ]]="","",INDEX(CONSUMO_COMBUSTIBLE_H,MATCH(Tabla55420[[#This Row],[Equipo ]],LISTA_MAQUINARIA,0)))</f>
        <v>0</v>
      </c>
      <c r="AH39" s="166">
        <f>IF(Tabla55420[[#This Row],[Equipo ]]="","",INDEX(V_GALON,MATCH(Tabla55420[[#This Row],[Equipo ]],LISTA_MAQUINARIA,0)))</f>
        <v>10800</v>
      </c>
      <c r="AI39" s="10"/>
      <c r="AJ39" s="165">
        <f>IF(Tabla55420[[#This Row],[Equipo ]]="","",Tabla55420[[#This Row],[Valor mensual]]+Tabla55420[[#This Row],[Combustible Hora ]]*Tabla55420[[#This Row],[Valor galon]]*Tabla55420[[#This Row],[Horas mes]])</f>
        <v>4000000</v>
      </c>
      <c r="AK39" s="168">
        <f>IF(Tabla55420[[#This Row],[Valor mensual + Combustible]]="","",Tabla55420[[#This Row],[Valor mensual + Combustible]]*Tabla55420[[#This Row],[Cantidad]])</f>
        <v>4000000</v>
      </c>
      <c r="AN39" s="9"/>
      <c r="AO39" s="10"/>
      <c r="AP39" s="165" t="str">
        <f>IF(Tabla55724[[#This Row],[Equipo ]]="","",INDEX(V_MENSUAL,MATCH(Tabla55724[[#This Row],[Equipo ]],LISTA_MAQUINARIA,0)))</f>
        <v/>
      </c>
      <c r="AQ39" s="12" t="str">
        <f>IF(Tabla55724[[#This Row],[Equipo ]]="","",INDEX(CONSUMO_COMBUSTIBLE_H,MATCH(Tabla55724[[#This Row],[Equipo ]],LISTA_MAQUINARIA,0)))</f>
        <v/>
      </c>
      <c r="AR39" s="166" t="str">
        <f>IF(Tabla55724[[#This Row],[Equipo ]]="","",INDEX(V_GALON,MATCH(Tabla55724[[#This Row],[Equipo ]],LISTA_MAQUINARIA,0)))</f>
        <v/>
      </c>
      <c r="AS39" s="10"/>
      <c r="AT39" s="165" t="str">
        <f>IF(Tabla55724[[#This Row],[Equipo ]]="","",Tabla55724[[#This Row],[Valor mensual]]+Tabla55724[[#This Row],[Combustible Hora ]]*Tabla55724[[#This Row],[Valor galon]]*Tabla55724[[#This Row],[Horas mes]])</f>
        <v/>
      </c>
      <c r="AU39" s="168" t="str">
        <f>IF(Tabla55724[[#This Row],[Valor mensual + Combustible]]="","",Tabla55724[[#This Row],[Valor mensual + Combustible]]*Tabla55724[[#This Row],[Cantidad]])</f>
        <v/>
      </c>
      <c r="AX39" s="9"/>
      <c r="AY39" s="10"/>
      <c r="AZ39" s="165" t="str">
        <f>IF(Tabla560121[[#This Row],[Equipo ]]="","",INDEX(V_MENSUAL,MATCH(Tabla560121[[#This Row],[Equipo ]],LISTA_MAQUINARIA,0)))</f>
        <v/>
      </c>
      <c r="BA39" s="12" t="str">
        <f>IF(Tabla560121[[#This Row],[Equipo ]]="","",INDEX(CONSUMO_COMBUSTIBLE_H,MATCH(Tabla560121[[#This Row],[Equipo ]],LISTA_MAQUINARIA,0)))</f>
        <v/>
      </c>
      <c r="BB39" s="166" t="str">
        <f>IF(Tabla560121[[#This Row],[Equipo ]]="","",INDEX(V_GALON,MATCH(Tabla560121[[#This Row],[Equipo ]],LISTA_MAQUINARIA,0)))</f>
        <v/>
      </c>
      <c r="BC39" s="10"/>
      <c r="BD39" s="165" t="str">
        <f>IF(Tabla560121[[#This Row],[Equipo ]]="","",Tabla560121[[#This Row],[Valor mensual]]+Tabla560121[[#This Row],[Combustible Hora ]]*Tabla560121[[#This Row],[Valor galon]]*Tabla560121[[#This Row],[Horas mes]])</f>
        <v/>
      </c>
      <c r="BE39" s="168" t="str">
        <f>IF(Tabla560121[[#This Row],[Valor mensual + Combustible]]="","",Tabla560121[[#This Row],[Valor mensual + Combustible]]*Tabla560121[[#This Row],[Cantidad]])</f>
        <v/>
      </c>
      <c r="BH39" s="9"/>
      <c r="BI39" s="10"/>
      <c r="BJ39" s="165" t="str">
        <f>IF(Tabla563164[[#This Row],[Equipo ]]="","",INDEX(V_MENSUAL,MATCH(Tabla563164[[#This Row],[Equipo ]],LISTA_MAQUINARIA,0)))</f>
        <v/>
      </c>
      <c r="BK39" s="12" t="str">
        <f>IF(Tabla563164[[#This Row],[Equipo ]]="","",INDEX(CONSUMO_COMBUSTIBLE_H,MATCH(Tabla563164[[#This Row],[Equipo ]],LISTA_MAQUINARIA,0)))</f>
        <v/>
      </c>
      <c r="BL39" s="166" t="str">
        <f>IF(Tabla563164[[#This Row],[Equipo ]]="","",INDEX(V_GALON,MATCH(Tabla563164[[#This Row],[Equipo ]],LISTA_MAQUINARIA,0)))</f>
        <v/>
      </c>
      <c r="BM39" s="10"/>
      <c r="BN39" s="165" t="str">
        <f>IF(Tabla563164[[#This Row],[Equipo ]]="","",Tabla563164[[#This Row],[Valor mensual]]+Tabla563164[[#This Row],[Combustible Hora ]]*Tabla563164[[#This Row],[Valor galon]]*Tabla563164[[#This Row],[Horas mes]])</f>
        <v/>
      </c>
      <c r="BO39" s="168" t="str">
        <f>IF(Tabla563164[[#This Row],[Valor mensual + Combustible]]="","",Tabla563164[[#This Row],[Valor mensual + Combustible]]*Tabla563164[[#This Row],[Cantidad]])</f>
        <v/>
      </c>
      <c r="BR39" s="9"/>
      <c r="BS39" s="10"/>
      <c r="BT39" s="165" t="str">
        <f>IF(Tabla566167[[#This Row],[Equipo ]]="","",INDEX(V_MENSUAL,MATCH(Tabla566167[[#This Row],[Equipo ]],LISTA_MAQUINARIA,0)))</f>
        <v/>
      </c>
      <c r="BU39" s="12" t="str">
        <f>IF(Tabla566167[[#This Row],[Equipo ]]="","",INDEX(CONSUMO_COMBUSTIBLE_H,MATCH(Tabla566167[[#This Row],[Equipo ]],LISTA_MAQUINARIA,0)))</f>
        <v/>
      </c>
      <c r="BV39" s="166" t="str">
        <f>IF(Tabla566167[[#This Row],[Equipo ]]="","",INDEX(V_GALON,MATCH(Tabla566167[[#This Row],[Equipo ]],LISTA_MAQUINARIA,0)))</f>
        <v/>
      </c>
      <c r="BW39" s="10"/>
      <c r="BX39" s="165" t="str">
        <f>IF(Tabla566167[[#This Row],[Equipo ]]="","",Tabla566167[[#This Row],[Valor mensual]]+Tabla566167[[#This Row],[Combustible Hora ]]*Tabla566167[[#This Row],[Valor galon]]*Tabla566167[[#This Row],[Horas mes]])</f>
        <v/>
      </c>
      <c r="BY39" s="168" t="str">
        <f>IF(Tabla566167[[#This Row],[Valor mensual + Combustible]]="","",Tabla566167[[#This Row],[Valor mensual + Combustible]]*Tabla566167[[#This Row],[Cantidad]])</f>
        <v/>
      </c>
      <c r="CB39" s="9"/>
      <c r="CC39" s="10"/>
      <c r="CD39" s="165" t="str">
        <f>IF(Tabla569170[[#This Row],[Equipo ]]="","",INDEX(V_MENSUAL,MATCH(Tabla569170[[#This Row],[Equipo ]],LISTA_MAQUINARIA,0)))</f>
        <v/>
      </c>
      <c r="CE39" s="12" t="str">
        <f>IF(Tabla569170[[#This Row],[Equipo ]]="","",INDEX(CONSUMO_COMBUSTIBLE_H,MATCH(Tabla569170[[#This Row],[Equipo ]],LISTA_MAQUINARIA,0)))</f>
        <v/>
      </c>
      <c r="CF39" s="166" t="str">
        <f>IF(Tabla569170[[#This Row],[Equipo ]]="","",INDEX(V_GALON,MATCH(Tabla569170[[#This Row],[Equipo ]],LISTA_MAQUINARIA,0)))</f>
        <v/>
      </c>
      <c r="CG39" s="10"/>
      <c r="CH39" s="165" t="str">
        <f>IF(Tabla569170[[#This Row],[Equipo ]]="","",Tabla569170[[#This Row],[Valor mensual]]+Tabla569170[[#This Row],[Combustible Hora ]]*Tabla569170[[#This Row],[Valor galon]]*Tabla569170[[#This Row],[Horas mes]])</f>
        <v/>
      </c>
      <c r="CI39" s="168" t="str">
        <f>IF(Tabla569170[[#This Row],[Valor mensual + Combustible]]="","",Tabla569170[[#This Row],[Valor mensual + Combustible]]*Tabla569170[[#This Row],[Cantidad]])</f>
        <v/>
      </c>
      <c r="CL39" s="9"/>
      <c r="CM39" s="10"/>
      <c r="CN39" s="165" t="str">
        <f>IF(Tabla572173[[#This Row],[Equipo ]]="","",INDEX(V_MENSUAL,MATCH(Tabla572173[[#This Row],[Equipo ]],LISTA_MAQUINARIA,0)))</f>
        <v/>
      </c>
      <c r="CO39" s="12" t="str">
        <f>IF(Tabla572173[[#This Row],[Equipo ]]="","",INDEX(CONSUMO_COMBUSTIBLE_H,MATCH(Tabla572173[[#This Row],[Equipo ]],LISTA_MAQUINARIA,0)))</f>
        <v/>
      </c>
      <c r="CP39" s="166" t="str">
        <f>IF(Tabla572173[[#This Row],[Equipo ]]="","",INDEX(V_GALON,MATCH(Tabla572173[[#This Row],[Equipo ]],LISTA_MAQUINARIA,0)))</f>
        <v/>
      </c>
      <c r="CQ39" s="10"/>
      <c r="CR39" s="165" t="str">
        <f>IF(Tabla572173[[#This Row],[Equipo ]]="","",Tabla572173[[#This Row],[Valor mensual]]+Tabla572173[[#This Row],[Combustible Hora ]]*Tabla572173[[#This Row],[Valor galon]]*Tabla572173[[#This Row],[Horas mes]])</f>
        <v/>
      </c>
      <c r="CS39" s="168" t="str">
        <f>IF(Tabla572173[[#This Row],[Valor mensual + Combustible]]="","",Tabla572173[[#This Row],[Valor mensual + Combustible]]*Tabla572173[[#This Row],[Cantidad]])</f>
        <v/>
      </c>
      <c r="CV39" s="9"/>
      <c r="CW39" s="10"/>
      <c r="CX39" s="165" t="str">
        <f>IF(Tabla575176[[#This Row],[Equipo ]]="","",INDEX(V_MENSUAL,MATCH(Tabla575176[[#This Row],[Equipo ]],LISTA_MAQUINARIA,0)))</f>
        <v/>
      </c>
      <c r="CY39" s="12" t="str">
        <f>IF(Tabla575176[[#This Row],[Equipo ]]="","",INDEX(CONSUMO_COMBUSTIBLE_H,MATCH(Tabla575176[[#This Row],[Equipo ]],LISTA_MAQUINARIA,0)))</f>
        <v/>
      </c>
      <c r="CZ39" s="166" t="str">
        <f>IF(Tabla575176[[#This Row],[Equipo ]]="","",INDEX(V_GALON,MATCH(Tabla575176[[#This Row],[Equipo ]],LISTA_MAQUINARIA,0)))</f>
        <v/>
      </c>
      <c r="DA39" s="10"/>
      <c r="DB39" s="165" t="str">
        <f>IF(Tabla575176[[#This Row],[Equipo ]]="","",Tabla575176[[#This Row],[Valor mensual]]+Tabla575176[[#This Row],[Combustible Hora ]]*Tabla575176[[#This Row],[Valor galon]]*Tabla575176[[#This Row],[Horas mes]])</f>
        <v/>
      </c>
      <c r="DC39" s="168" t="str">
        <f>IF(Tabla575176[[#This Row],[Valor mensual + Combustible]]="","",Tabla575176[[#This Row],[Valor mensual + Combustible]]*Tabla575176[[#This Row],[Cantidad]])</f>
        <v/>
      </c>
      <c r="DF39" s="9"/>
      <c r="DG39" s="10"/>
      <c r="DH39" s="165" t="str">
        <f>IF(Tabla578179[[#This Row],[Equipo ]]="","",INDEX(V_MENSUAL,MATCH(Tabla578179[[#This Row],[Equipo ]],LISTA_MAQUINARIA,0)))</f>
        <v/>
      </c>
      <c r="DI39" s="12" t="str">
        <f>IF(Tabla578179[[#This Row],[Equipo ]]="","",INDEX(CONSUMO_COMBUSTIBLE_H,MATCH(Tabla578179[[#This Row],[Equipo ]],LISTA_MAQUINARIA,0)))</f>
        <v/>
      </c>
      <c r="DJ39" s="166" t="str">
        <f>IF(Tabla578179[[#This Row],[Equipo ]]="","",INDEX(V_GALON,MATCH(Tabla578179[[#This Row],[Equipo ]],LISTA_MAQUINARIA,0)))</f>
        <v/>
      </c>
      <c r="DK39" s="10"/>
      <c r="DL39" s="165" t="str">
        <f>IF(Tabla578179[[#This Row],[Equipo ]]="","",Tabla578179[[#This Row],[Valor mensual]]+Tabla578179[[#This Row],[Combustible Hora ]]*Tabla578179[[#This Row],[Valor galon]]*Tabla578179[[#This Row],[Horas mes]])</f>
        <v/>
      </c>
      <c r="DM39" s="168" t="str">
        <f>IF(Tabla578179[[#This Row],[Valor mensual + Combustible]]="","",Tabla578179[[#This Row],[Valor mensual + Combustible]]*Tabla578179[[#This Row],[Cantidad]])</f>
        <v/>
      </c>
      <c r="DP39" s="9"/>
      <c r="DQ39" s="10"/>
      <c r="DR39" s="165" t="str">
        <f>IF(Tabla581182[[#This Row],[Equipo ]]="","",INDEX(V_MENSUAL,MATCH(Tabla581182[[#This Row],[Equipo ]],LISTA_MAQUINARIA,0)))</f>
        <v/>
      </c>
      <c r="DS39" s="12" t="str">
        <f>IF(Tabla581182[[#This Row],[Equipo ]]="","",INDEX(CONSUMO_COMBUSTIBLE_H,MATCH(Tabla581182[[#This Row],[Equipo ]],LISTA_MAQUINARIA,0)))</f>
        <v/>
      </c>
      <c r="DT39" s="166" t="str">
        <f>IF(Tabla581182[[#This Row],[Equipo ]]="","",INDEX(V_GALON,MATCH(Tabla581182[[#This Row],[Equipo ]],LISTA_MAQUINARIA,0)))</f>
        <v/>
      </c>
      <c r="DU39" s="10"/>
      <c r="DV39" s="165" t="str">
        <f>IF(Tabla581182[[#This Row],[Equipo ]]="","",Tabla581182[[#This Row],[Valor mensual]]+Tabla581182[[#This Row],[Combustible Hora ]]*Tabla581182[[#This Row],[Valor galon]]*Tabla581182[[#This Row],[Horas mes]])</f>
        <v/>
      </c>
      <c r="DW39" s="168" t="str">
        <f>IF(Tabla581182[[#This Row],[Valor mensual + Combustible]]="","",Tabla581182[[#This Row],[Valor mensual + Combustible]]*Tabla581182[[#This Row],[Cantidad]])</f>
        <v/>
      </c>
      <c r="DZ39" s="9"/>
      <c r="EA39" s="10"/>
      <c r="EB39" s="165" t="str">
        <f>IF(Tabla584185[[#This Row],[Equipo ]]="","",INDEX(V_MENSUAL,MATCH(Tabla584185[[#This Row],[Equipo ]],LISTA_MAQUINARIA,0)))</f>
        <v/>
      </c>
      <c r="EC39" s="12" t="str">
        <f>IF(Tabla584185[[#This Row],[Equipo ]]="","",INDEX(CONSUMO_COMBUSTIBLE_H,MATCH(Tabla584185[[#This Row],[Equipo ]],LISTA_MAQUINARIA,0)))</f>
        <v/>
      </c>
      <c r="ED39" s="166" t="str">
        <f>IF(Tabla584185[[#This Row],[Equipo ]]="","",INDEX(V_GALON,MATCH(Tabla584185[[#This Row],[Equipo ]],LISTA_MAQUINARIA,0)))</f>
        <v/>
      </c>
      <c r="EE39" s="10"/>
      <c r="EF39" s="165" t="str">
        <f>IF(Tabla584185[[#This Row],[Equipo ]]="","",Tabla584185[[#This Row],[Valor mensual]]+Tabla584185[[#This Row],[Combustible Hora ]]*Tabla584185[[#This Row],[Valor galon]]*Tabla584185[[#This Row],[Horas mes]])</f>
        <v/>
      </c>
      <c r="EG39" s="168" t="str">
        <f>IF(Tabla584185[[#This Row],[Valor mensual + Combustible]]="","",Tabla584185[[#This Row],[Valor mensual + Combustible]]*Tabla584185[[#This Row],[Cantidad]])</f>
        <v/>
      </c>
      <c r="EJ39" s="9"/>
      <c r="EK39" s="10"/>
      <c r="EL39" s="165" t="str">
        <f>IF(Tabla587188[[#This Row],[Equipo ]]="","",INDEX(V_MENSUAL,MATCH(Tabla587188[[#This Row],[Equipo ]],LISTA_MAQUINARIA,0)))</f>
        <v/>
      </c>
      <c r="EM39" s="12" t="str">
        <f>IF(Tabla587188[[#This Row],[Equipo ]]="","",INDEX(CONSUMO_COMBUSTIBLE_H,MATCH(Tabla587188[[#This Row],[Equipo ]],LISTA_MAQUINARIA,0)))</f>
        <v/>
      </c>
      <c r="EN39" s="166" t="str">
        <f>IF(Tabla587188[[#This Row],[Equipo ]]="","",INDEX(V_GALON,MATCH(Tabla587188[[#This Row],[Equipo ]],LISTA_MAQUINARIA,0)))</f>
        <v/>
      </c>
      <c r="EO39" s="10"/>
      <c r="EP39" s="165" t="str">
        <f>IF(Tabla587188[[#This Row],[Equipo ]]="","",Tabla587188[[#This Row],[Valor mensual]]+Tabla587188[[#This Row],[Combustible Hora ]]*Tabla587188[[#This Row],[Valor galon]]*Tabla587188[[#This Row],[Horas mes]])</f>
        <v/>
      </c>
      <c r="EQ39" s="168" t="str">
        <f>IF(Tabla587188[[#This Row],[Valor mensual + Combustible]]="","",Tabla587188[[#This Row],[Valor mensual + Combustible]]*Tabla587188[[#This Row],[Cantidad]])</f>
        <v/>
      </c>
      <c r="ET39" s="9"/>
      <c r="EU39" s="10"/>
      <c r="EV39" s="165" t="str">
        <f>IF(Tabla590191[[#This Row],[Equipo ]]="","",INDEX(V_MENSUAL,MATCH(Tabla590191[[#This Row],[Equipo ]],LISTA_MAQUINARIA,0)))</f>
        <v/>
      </c>
      <c r="EW39" s="12" t="str">
        <f>IF(Tabla590191[[#This Row],[Equipo ]]="","",INDEX(CONSUMO_COMBUSTIBLE_H,MATCH(Tabla590191[[#This Row],[Equipo ]],LISTA_MAQUINARIA,0)))</f>
        <v/>
      </c>
      <c r="EX39" s="166" t="str">
        <f>IF(Tabla590191[[#This Row],[Equipo ]]="","",INDEX(V_GALON,MATCH(Tabla590191[[#This Row],[Equipo ]],LISTA_MAQUINARIA,0)))</f>
        <v/>
      </c>
      <c r="EY39" s="10"/>
      <c r="EZ39" s="165" t="str">
        <f>IF(Tabla590191[[#This Row],[Equipo ]]="","",Tabla590191[[#This Row],[Valor mensual]]+Tabla590191[[#This Row],[Combustible Hora ]]*Tabla590191[[#This Row],[Valor galon]]*Tabla590191[[#This Row],[Horas mes]])</f>
        <v/>
      </c>
      <c r="FA39" s="168" t="str">
        <f>IF(Tabla590191[[#This Row],[Valor mensual + Combustible]]="","",Tabla590191[[#This Row],[Valor mensual + Combustible]]*Tabla590191[[#This Row],[Cantidad]])</f>
        <v/>
      </c>
      <c r="FD39" s="9"/>
      <c r="FE39" s="10"/>
      <c r="FF39" s="165" t="str">
        <f>IF(Tabla593194[[#This Row],[Equipo ]]="","",INDEX(V_MENSUAL,MATCH(Tabla593194[[#This Row],[Equipo ]],LISTA_MAQUINARIA,0)))</f>
        <v/>
      </c>
      <c r="FG39" s="12" t="str">
        <f>IF(Tabla593194[[#This Row],[Equipo ]]="","",INDEX(CONSUMO_COMBUSTIBLE_H,MATCH(Tabla593194[[#This Row],[Equipo ]],LISTA_MAQUINARIA,0)))</f>
        <v/>
      </c>
      <c r="FH39" s="166" t="str">
        <f>IF(Tabla593194[[#This Row],[Equipo ]]="","",INDEX(V_GALON,MATCH(Tabla593194[[#This Row],[Equipo ]],LISTA_MAQUINARIA,0)))</f>
        <v/>
      </c>
      <c r="FI39" s="10"/>
      <c r="FJ39" s="165" t="str">
        <f>IF(Tabla593194[[#This Row],[Equipo ]]="","",Tabla593194[[#This Row],[Valor mensual]]+Tabla593194[[#This Row],[Combustible Hora ]]*Tabla593194[[#This Row],[Valor galon]]*Tabla593194[[#This Row],[Horas mes]])</f>
        <v/>
      </c>
      <c r="FK39" s="168" t="str">
        <f>IF(Tabla593194[[#This Row],[Valor mensual + Combustible]]="","",Tabla593194[[#This Row],[Valor mensual + Combustible]]*Tabla593194[[#This Row],[Cantidad]])</f>
        <v/>
      </c>
      <c r="FN39" s="9"/>
      <c r="FO39" s="10"/>
      <c r="FP39" s="165" t="str">
        <f>IF(Tabla596197[[#This Row],[Equipo ]]="","",INDEX(V_MENSUAL,MATCH(Tabla596197[[#This Row],[Equipo ]],LISTA_MAQUINARIA,0)))</f>
        <v/>
      </c>
      <c r="FQ39" s="12" t="str">
        <f>IF(Tabla596197[[#This Row],[Equipo ]]="","",INDEX(CONSUMO_COMBUSTIBLE_H,MATCH(Tabla596197[[#This Row],[Equipo ]],LISTA_MAQUINARIA,0)))</f>
        <v/>
      </c>
      <c r="FR39" s="166" t="str">
        <f>IF(Tabla596197[[#This Row],[Equipo ]]="","",INDEX(V_GALON,MATCH(Tabla596197[[#This Row],[Equipo ]],LISTA_MAQUINARIA,0)))</f>
        <v/>
      </c>
      <c r="FS39" s="10"/>
      <c r="FT39" s="165" t="str">
        <f>IF(Tabla596197[[#This Row],[Equipo ]]="","",Tabla596197[[#This Row],[Valor mensual]]+Tabla596197[[#This Row],[Combustible Hora ]]*Tabla596197[[#This Row],[Valor galon]]*Tabla596197[[#This Row],[Horas mes]])</f>
        <v/>
      </c>
      <c r="FU39" s="168" t="str">
        <f>IF(Tabla596197[[#This Row],[Valor mensual + Combustible]]="","",Tabla596197[[#This Row],[Valor mensual + Combustible]]*Tabla596197[[#This Row],[Cantidad]])</f>
        <v/>
      </c>
    </row>
    <row r="40" spans="1:177" x14ac:dyDescent="0.3">
      <c r="A40" s="9" t="s">
        <v>497</v>
      </c>
      <c r="B40" s="10">
        <v>1</v>
      </c>
      <c r="C40" s="165">
        <f>IF(Tabla511[[#This Row],[Equipo ]]="","",INDEX(V_MENSUAL,MATCH(Tabla511[[#This Row],[Equipo ]],LISTA_MAQUINARIA,0)))</f>
        <v>1200000</v>
      </c>
      <c r="D40" s="12">
        <f>IF(Tabla511[[#This Row],[Equipo ]]="","",INDEX(CONSUMO_COMBUSTIBLE_H,MATCH(Tabla511[[#This Row],[Equipo ]],LISTA_MAQUINARIA,0)))</f>
        <v>0</v>
      </c>
      <c r="E40" s="166">
        <f>IF(Tabla511[[#This Row],[Equipo ]]="","",INDEX(V_GALON,MATCH(Tabla511[[#This Row],[Equipo ]],LISTA_MAQUINARIA,0)))</f>
        <v>10800</v>
      </c>
      <c r="F40" s="10"/>
      <c r="G40" s="165">
        <f>IF(Tabla511[[#This Row],[Equipo ]]="","",Tabla511[[#This Row],[Valor mensual]]+Tabla511[[#This Row],[Combustible Hora ]]*Tabla511[[#This Row],[Valor galon]]*Tabla511[[#This Row],[Horas mes]])</f>
        <v>1200000</v>
      </c>
      <c r="H40" s="168">
        <f>IF(Tabla511[[#This Row],[Valor mensual + Combustible]]="","",Tabla511[[#This Row],[Valor mensual + Combustible]]*Tabla511[[#This Row],[Cantidad]])</f>
        <v>1200000</v>
      </c>
      <c r="K40" s="9" t="s">
        <v>497</v>
      </c>
      <c r="L40" s="10">
        <v>1</v>
      </c>
      <c r="M40" s="165" cm="1">
        <f t="array" ref="M40">IF(Tabla54814[[#This Row],[Equipo ]]="","",INDEX(V_MENSUAL,MATCH(Tabla54814[[#This Row],[Equipo ]],LISTA_MAQUINARIA,0)))</f>
        <v>1200000</v>
      </c>
      <c r="N40" s="12">
        <f>IF(Tabla54814[[#This Row],[Equipo ]]="","",INDEX(CONSUMO_COMBUSTIBLE_H,MATCH(Tabla54814[[#This Row],[Equipo ]],LISTA_MAQUINARIA,0)))</f>
        <v>0</v>
      </c>
      <c r="O40" s="166">
        <f>IF(Tabla54814[[#This Row],[Equipo ]]="","",INDEX(V_GALON,MATCH(Tabla54814[[#This Row],[Equipo ]],LISTA_MAQUINARIA,0)))</f>
        <v>10800</v>
      </c>
      <c r="P40" s="10"/>
      <c r="Q40" s="165">
        <f>IF(Tabla54814[[#This Row],[Equipo ]]="","",Tabla54814[[#This Row],[Valor mensual]]+Tabla54814[[#This Row],[Combustible Hora ]]*Tabla54814[[#This Row],[Valor galon]]*Tabla54814[[#This Row],[Horas mes]])</f>
        <v>1200000</v>
      </c>
      <c r="R40" s="168">
        <f>IF(Tabla54814[[#This Row],[Valor mensual + Combustible]]="","",Tabla54814[[#This Row],[Valor mensual + Combustible]]*Tabla54814[[#This Row],[Cantidad]])</f>
        <v>1200000</v>
      </c>
      <c r="U40" s="9" t="s">
        <v>497</v>
      </c>
      <c r="V40" s="10">
        <v>1</v>
      </c>
      <c r="W40" s="165">
        <f>IF(Tabla55117[[#This Row],[Equipo ]]="","",INDEX(V_MENSUAL,MATCH(Tabla55117[[#This Row],[Equipo ]],LISTA_MAQUINARIA,0)))</f>
        <v>1200000</v>
      </c>
      <c r="X40" s="12">
        <f>IF(Tabla55117[[#This Row],[Equipo ]]="","",INDEX(CONSUMO_COMBUSTIBLE_H,MATCH(Tabla55117[[#This Row],[Equipo ]],LISTA_MAQUINARIA,0)))</f>
        <v>0</v>
      </c>
      <c r="Y40" s="166">
        <f>IF(Tabla55117[[#This Row],[Equipo ]]="","",INDEX(V_GALON,MATCH(Tabla55117[[#This Row],[Equipo ]],LISTA_MAQUINARIA,0)))</f>
        <v>10800</v>
      </c>
      <c r="Z40" s="10"/>
      <c r="AA40" s="165">
        <f>IF(Tabla55117[[#This Row],[Equipo ]]="","",Tabla55117[[#This Row],[Valor mensual]]+Tabla55117[[#This Row],[Combustible Hora ]]*Tabla55117[[#This Row],[Valor galon]]*Tabla55117[[#This Row],[Horas mes]])</f>
        <v>1200000</v>
      </c>
      <c r="AB40" s="168">
        <f>IF(Tabla55117[[#This Row],[Valor mensual + Combustible]]="","",Tabla55117[[#This Row],[Valor mensual + Combustible]]*Tabla55117[[#This Row],[Cantidad]])</f>
        <v>1200000</v>
      </c>
      <c r="AD40" s="9" t="s">
        <v>497</v>
      </c>
      <c r="AE40" s="10">
        <v>1</v>
      </c>
      <c r="AF40" s="165">
        <f>IF(Tabla55420[[#This Row],[Equipo ]]="","",INDEX(V_MENSUAL,MATCH(Tabla55420[[#This Row],[Equipo ]],LISTA_MAQUINARIA,0)))</f>
        <v>1200000</v>
      </c>
      <c r="AG40" s="12">
        <f>IF(Tabla55420[[#This Row],[Equipo ]]="","",INDEX(CONSUMO_COMBUSTIBLE_H,MATCH(Tabla55420[[#This Row],[Equipo ]],LISTA_MAQUINARIA,0)))</f>
        <v>0</v>
      </c>
      <c r="AH40" s="166">
        <f>IF(Tabla55420[[#This Row],[Equipo ]]="","",INDEX(V_GALON,MATCH(Tabla55420[[#This Row],[Equipo ]],LISTA_MAQUINARIA,0)))</f>
        <v>10800</v>
      </c>
      <c r="AI40" s="10"/>
      <c r="AJ40" s="165">
        <f>IF(Tabla55420[[#This Row],[Equipo ]]="","",Tabla55420[[#This Row],[Valor mensual]]+Tabla55420[[#This Row],[Combustible Hora ]]*Tabla55420[[#This Row],[Valor galon]]*Tabla55420[[#This Row],[Horas mes]])</f>
        <v>1200000</v>
      </c>
      <c r="AK40" s="168">
        <f>IF(Tabla55420[[#This Row],[Valor mensual + Combustible]]="","",Tabla55420[[#This Row],[Valor mensual + Combustible]]*Tabla55420[[#This Row],[Cantidad]])</f>
        <v>1200000</v>
      </c>
      <c r="AN40" s="9"/>
      <c r="AO40" s="10"/>
      <c r="AP40" s="165" t="str">
        <f>IF(Tabla55724[[#This Row],[Equipo ]]="","",INDEX(V_MENSUAL,MATCH(Tabla55724[[#This Row],[Equipo ]],LISTA_MAQUINARIA,0)))</f>
        <v/>
      </c>
      <c r="AQ40" s="12" t="str">
        <f>IF(Tabla55724[[#This Row],[Equipo ]]="","",INDEX(CONSUMO_COMBUSTIBLE_H,MATCH(Tabla55724[[#This Row],[Equipo ]],LISTA_MAQUINARIA,0)))</f>
        <v/>
      </c>
      <c r="AR40" s="166" t="str">
        <f>IF(Tabla55724[[#This Row],[Equipo ]]="","",INDEX(V_GALON,MATCH(Tabla55724[[#This Row],[Equipo ]],LISTA_MAQUINARIA,0)))</f>
        <v/>
      </c>
      <c r="AS40" s="10"/>
      <c r="AT40" s="165" t="str">
        <f>IF(Tabla55724[[#This Row],[Equipo ]]="","",Tabla55724[[#This Row],[Valor mensual]]+Tabla55724[[#This Row],[Combustible Hora ]]*Tabla55724[[#This Row],[Valor galon]]*Tabla55724[[#This Row],[Horas mes]])</f>
        <v/>
      </c>
      <c r="AU40" s="168" t="str">
        <f>IF(Tabla55724[[#This Row],[Valor mensual + Combustible]]="","",Tabla55724[[#This Row],[Valor mensual + Combustible]]*Tabla55724[[#This Row],[Cantidad]])</f>
        <v/>
      </c>
      <c r="AX40" s="9"/>
      <c r="AY40" s="10"/>
      <c r="AZ40" s="165" t="str">
        <f>IF(Tabla560121[[#This Row],[Equipo ]]="","",INDEX(V_MENSUAL,MATCH(Tabla560121[[#This Row],[Equipo ]],LISTA_MAQUINARIA,0)))</f>
        <v/>
      </c>
      <c r="BA40" s="12" t="str">
        <f>IF(Tabla560121[[#This Row],[Equipo ]]="","",INDEX(CONSUMO_COMBUSTIBLE_H,MATCH(Tabla560121[[#This Row],[Equipo ]],LISTA_MAQUINARIA,0)))</f>
        <v/>
      </c>
      <c r="BB40" s="166" t="str">
        <f>IF(Tabla560121[[#This Row],[Equipo ]]="","",INDEX(V_GALON,MATCH(Tabla560121[[#This Row],[Equipo ]],LISTA_MAQUINARIA,0)))</f>
        <v/>
      </c>
      <c r="BC40" s="10"/>
      <c r="BD40" s="165" t="str">
        <f>IF(Tabla560121[[#This Row],[Equipo ]]="","",Tabla560121[[#This Row],[Valor mensual]]+Tabla560121[[#This Row],[Combustible Hora ]]*Tabla560121[[#This Row],[Valor galon]]*Tabla560121[[#This Row],[Horas mes]])</f>
        <v/>
      </c>
      <c r="BE40" s="168" t="str">
        <f>IF(Tabla560121[[#This Row],[Valor mensual + Combustible]]="","",Tabla560121[[#This Row],[Valor mensual + Combustible]]*Tabla560121[[#This Row],[Cantidad]])</f>
        <v/>
      </c>
      <c r="BH40" s="9"/>
      <c r="BI40" s="10"/>
      <c r="BJ40" s="165" t="str">
        <f>IF(Tabla563164[[#This Row],[Equipo ]]="","",INDEX(V_MENSUAL,MATCH(Tabla563164[[#This Row],[Equipo ]],LISTA_MAQUINARIA,0)))</f>
        <v/>
      </c>
      <c r="BK40" s="12" t="str">
        <f>IF(Tabla563164[[#This Row],[Equipo ]]="","",INDEX(CONSUMO_COMBUSTIBLE_H,MATCH(Tabla563164[[#This Row],[Equipo ]],LISTA_MAQUINARIA,0)))</f>
        <v/>
      </c>
      <c r="BL40" s="166" t="str">
        <f>IF(Tabla563164[[#This Row],[Equipo ]]="","",INDEX(V_GALON,MATCH(Tabla563164[[#This Row],[Equipo ]],LISTA_MAQUINARIA,0)))</f>
        <v/>
      </c>
      <c r="BM40" s="10"/>
      <c r="BN40" s="165" t="str">
        <f>IF(Tabla563164[[#This Row],[Equipo ]]="","",Tabla563164[[#This Row],[Valor mensual]]+Tabla563164[[#This Row],[Combustible Hora ]]*Tabla563164[[#This Row],[Valor galon]]*Tabla563164[[#This Row],[Horas mes]])</f>
        <v/>
      </c>
      <c r="BO40" s="168" t="str">
        <f>IF(Tabla563164[[#This Row],[Valor mensual + Combustible]]="","",Tabla563164[[#This Row],[Valor mensual + Combustible]]*Tabla563164[[#This Row],[Cantidad]])</f>
        <v/>
      </c>
      <c r="BR40" s="9"/>
      <c r="BS40" s="10"/>
      <c r="BT40" s="165" t="str">
        <f>IF(Tabla566167[[#This Row],[Equipo ]]="","",INDEX(V_MENSUAL,MATCH(Tabla566167[[#This Row],[Equipo ]],LISTA_MAQUINARIA,0)))</f>
        <v/>
      </c>
      <c r="BU40" s="12" t="str">
        <f>IF(Tabla566167[[#This Row],[Equipo ]]="","",INDEX(CONSUMO_COMBUSTIBLE_H,MATCH(Tabla566167[[#This Row],[Equipo ]],LISTA_MAQUINARIA,0)))</f>
        <v/>
      </c>
      <c r="BV40" s="166" t="str">
        <f>IF(Tabla566167[[#This Row],[Equipo ]]="","",INDEX(V_GALON,MATCH(Tabla566167[[#This Row],[Equipo ]],LISTA_MAQUINARIA,0)))</f>
        <v/>
      </c>
      <c r="BW40" s="10"/>
      <c r="BX40" s="165" t="str">
        <f>IF(Tabla566167[[#This Row],[Equipo ]]="","",Tabla566167[[#This Row],[Valor mensual]]+Tabla566167[[#This Row],[Combustible Hora ]]*Tabla566167[[#This Row],[Valor galon]]*Tabla566167[[#This Row],[Horas mes]])</f>
        <v/>
      </c>
      <c r="BY40" s="168" t="str">
        <f>IF(Tabla566167[[#This Row],[Valor mensual + Combustible]]="","",Tabla566167[[#This Row],[Valor mensual + Combustible]]*Tabla566167[[#This Row],[Cantidad]])</f>
        <v/>
      </c>
      <c r="CB40" s="9"/>
      <c r="CC40" s="10"/>
      <c r="CD40" s="165" t="str">
        <f>IF(Tabla569170[[#This Row],[Equipo ]]="","",INDEX(V_MENSUAL,MATCH(Tabla569170[[#This Row],[Equipo ]],LISTA_MAQUINARIA,0)))</f>
        <v/>
      </c>
      <c r="CE40" s="12" t="str">
        <f>IF(Tabla569170[[#This Row],[Equipo ]]="","",INDEX(CONSUMO_COMBUSTIBLE_H,MATCH(Tabla569170[[#This Row],[Equipo ]],LISTA_MAQUINARIA,0)))</f>
        <v/>
      </c>
      <c r="CF40" s="166" t="str">
        <f>IF(Tabla569170[[#This Row],[Equipo ]]="","",INDEX(V_GALON,MATCH(Tabla569170[[#This Row],[Equipo ]],LISTA_MAQUINARIA,0)))</f>
        <v/>
      </c>
      <c r="CG40" s="10"/>
      <c r="CH40" s="165" t="str">
        <f>IF(Tabla569170[[#This Row],[Equipo ]]="","",Tabla569170[[#This Row],[Valor mensual]]+Tabla569170[[#This Row],[Combustible Hora ]]*Tabla569170[[#This Row],[Valor galon]]*Tabla569170[[#This Row],[Horas mes]])</f>
        <v/>
      </c>
      <c r="CI40" s="168" t="str">
        <f>IF(Tabla569170[[#This Row],[Valor mensual + Combustible]]="","",Tabla569170[[#This Row],[Valor mensual + Combustible]]*Tabla569170[[#This Row],[Cantidad]])</f>
        <v/>
      </c>
      <c r="CL40" s="9"/>
      <c r="CM40" s="10"/>
      <c r="CN40" s="165" t="str">
        <f>IF(Tabla572173[[#This Row],[Equipo ]]="","",INDEX(V_MENSUAL,MATCH(Tabla572173[[#This Row],[Equipo ]],LISTA_MAQUINARIA,0)))</f>
        <v/>
      </c>
      <c r="CO40" s="12" t="str">
        <f>IF(Tabla572173[[#This Row],[Equipo ]]="","",INDEX(CONSUMO_COMBUSTIBLE_H,MATCH(Tabla572173[[#This Row],[Equipo ]],LISTA_MAQUINARIA,0)))</f>
        <v/>
      </c>
      <c r="CP40" s="166" t="str">
        <f>IF(Tabla572173[[#This Row],[Equipo ]]="","",INDEX(V_GALON,MATCH(Tabla572173[[#This Row],[Equipo ]],LISTA_MAQUINARIA,0)))</f>
        <v/>
      </c>
      <c r="CQ40" s="10"/>
      <c r="CR40" s="165" t="str">
        <f>IF(Tabla572173[[#This Row],[Equipo ]]="","",Tabla572173[[#This Row],[Valor mensual]]+Tabla572173[[#This Row],[Combustible Hora ]]*Tabla572173[[#This Row],[Valor galon]]*Tabla572173[[#This Row],[Horas mes]])</f>
        <v/>
      </c>
      <c r="CS40" s="168" t="str">
        <f>IF(Tabla572173[[#This Row],[Valor mensual + Combustible]]="","",Tabla572173[[#This Row],[Valor mensual + Combustible]]*Tabla572173[[#This Row],[Cantidad]])</f>
        <v/>
      </c>
      <c r="CV40" s="9"/>
      <c r="CW40" s="10"/>
      <c r="CX40" s="165" t="str">
        <f>IF(Tabla575176[[#This Row],[Equipo ]]="","",INDEX(V_MENSUAL,MATCH(Tabla575176[[#This Row],[Equipo ]],LISTA_MAQUINARIA,0)))</f>
        <v/>
      </c>
      <c r="CY40" s="12" t="str">
        <f>IF(Tabla575176[[#This Row],[Equipo ]]="","",INDEX(CONSUMO_COMBUSTIBLE_H,MATCH(Tabla575176[[#This Row],[Equipo ]],LISTA_MAQUINARIA,0)))</f>
        <v/>
      </c>
      <c r="CZ40" s="166" t="str">
        <f>IF(Tabla575176[[#This Row],[Equipo ]]="","",INDEX(V_GALON,MATCH(Tabla575176[[#This Row],[Equipo ]],LISTA_MAQUINARIA,0)))</f>
        <v/>
      </c>
      <c r="DA40" s="10"/>
      <c r="DB40" s="165" t="str">
        <f>IF(Tabla575176[[#This Row],[Equipo ]]="","",Tabla575176[[#This Row],[Valor mensual]]+Tabla575176[[#This Row],[Combustible Hora ]]*Tabla575176[[#This Row],[Valor galon]]*Tabla575176[[#This Row],[Horas mes]])</f>
        <v/>
      </c>
      <c r="DC40" s="168" t="str">
        <f>IF(Tabla575176[[#This Row],[Valor mensual + Combustible]]="","",Tabla575176[[#This Row],[Valor mensual + Combustible]]*Tabla575176[[#This Row],[Cantidad]])</f>
        <v/>
      </c>
      <c r="DF40" s="9"/>
      <c r="DG40" s="10"/>
      <c r="DH40" s="165" t="str">
        <f>IF(Tabla578179[[#This Row],[Equipo ]]="","",INDEX(V_MENSUAL,MATCH(Tabla578179[[#This Row],[Equipo ]],LISTA_MAQUINARIA,0)))</f>
        <v/>
      </c>
      <c r="DI40" s="12" t="str">
        <f>IF(Tabla578179[[#This Row],[Equipo ]]="","",INDEX(CONSUMO_COMBUSTIBLE_H,MATCH(Tabla578179[[#This Row],[Equipo ]],LISTA_MAQUINARIA,0)))</f>
        <v/>
      </c>
      <c r="DJ40" s="166" t="str">
        <f>IF(Tabla578179[[#This Row],[Equipo ]]="","",INDEX(V_GALON,MATCH(Tabla578179[[#This Row],[Equipo ]],LISTA_MAQUINARIA,0)))</f>
        <v/>
      </c>
      <c r="DK40" s="10"/>
      <c r="DL40" s="165" t="str">
        <f>IF(Tabla578179[[#This Row],[Equipo ]]="","",Tabla578179[[#This Row],[Valor mensual]]+Tabla578179[[#This Row],[Combustible Hora ]]*Tabla578179[[#This Row],[Valor galon]]*Tabla578179[[#This Row],[Horas mes]])</f>
        <v/>
      </c>
      <c r="DM40" s="168" t="str">
        <f>IF(Tabla578179[[#This Row],[Valor mensual + Combustible]]="","",Tabla578179[[#This Row],[Valor mensual + Combustible]]*Tabla578179[[#This Row],[Cantidad]])</f>
        <v/>
      </c>
      <c r="DP40" s="9"/>
      <c r="DQ40" s="10"/>
      <c r="DR40" s="165" t="str">
        <f>IF(Tabla581182[[#This Row],[Equipo ]]="","",INDEX(V_MENSUAL,MATCH(Tabla581182[[#This Row],[Equipo ]],LISTA_MAQUINARIA,0)))</f>
        <v/>
      </c>
      <c r="DS40" s="12" t="str">
        <f>IF(Tabla581182[[#This Row],[Equipo ]]="","",INDEX(CONSUMO_COMBUSTIBLE_H,MATCH(Tabla581182[[#This Row],[Equipo ]],LISTA_MAQUINARIA,0)))</f>
        <v/>
      </c>
      <c r="DT40" s="166" t="str">
        <f>IF(Tabla581182[[#This Row],[Equipo ]]="","",INDEX(V_GALON,MATCH(Tabla581182[[#This Row],[Equipo ]],LISTA_MAQUINARIA,0)))</f>
        <v/>
      </c>
      <c r="DU40" s="10"/>
      <c r="DV40" s="165" t="str">
        <f>IF(Tabla581182[[#This Row],[Equipo ]]="","",Tabla581182[[#This Row],[Valor mensual]]+Tabla581182[[#This Row],[Combustible Hora ]]*Tabla581182[[#This Row],[Valor galon]]*Tabla581182[[#This Row],[Horas mes]])</f>
        <v/>
      </c>
      <c r="DW40" s="168" t="str">
        <f>IF(Tabla581182[[#This Row],[Valor mensual + Combustible]]="","",Tabla581182[[#This Row],[Valor mensual + Combustible]]*Tabla581182[[#This Row],[Cantidad]])</f>
        <v/>
      </c>
      <c r="DZ40" s="9"/>
      <c r="EA40" s="10"/>
      <c r="EB40" s="165" t="str">
        <f>IF(Tabla584185[[#This Row],[Equipo ]]="","",INDEX(V_MENSUAL,MATCH(Tabla584185[[#This Row],[Equipo ]],LISTA_MAQUINARIA,0)))</f>
        <v/>
      </c>
      <c r="EC40" s="12" t="str">
        <f>IF(Tabla584185[[#This Row],[Equipo ]]="","",INDEX(CONSUMO_COMBUSTIBLE_H,MATCH(Tabla584185[[#This Row],[Equipo ]],LISTA_MAQUINARIA,0)))</f>
        <v/>
      </c>
      <c r="ED40" s="166" t="str">
        <f>IF(Tabla584185[[#This Row],[Equipo ]]="","",INDEX(V_GALON,MATCH(Tabla584185[[#This Row],[Equipo ]],LISTA_MAQUINARIA,0)))</f>
        <v/>
      </c>
      <c r="EE40" s="10"/>
      <c r="EF40" s="165" t="str">
        <f>IF(Tabla584185[[#This Row],[Equipo ]]="","",Tabla584185[[#This Row],[Valor mensual]]+Tabla584185[[#This Row],[Combustible Hora ]]*Tabla584185[[#This Row],[Valor galon]]*Tabla584185[[#This Row],[Horas mes]])</f>
        <v/>
      </c>
      <c r="EG40" s="168" t="str">
        <f>IF(Tabla584185[[#This Row],[Valor mensual + Combustible]]="","",Tabla584185[[#This Row],[Valor mensual + Combustible]]*Tabla584185[[#This Row],[Cantidad]])</f>
        <v/>
      </c>
      <c r="EJ40" s="9"/>
      <c r="EK40" s="10"/>
      <c r="EL40" s="165" t="str">
        <f>IF(Tabla587188[[#This Row],[Equipo ]]="","",INDEX(V_MENSUAL,MATCH(Tabla587188[[#This Row],[Equipo ]],LISTA_MAQUINARIA,0)))</f>
        <v/>
      </c>
      <c r="EM40" s="12" t="str">
        <f>IF(Tabla587188[[#This Row],[Equipo ]]="","",INDEX(CONSUMO_COMBUSTIBLE_H,MATCH(Tabla587188[[#This Row],[Equipo ]],LISTA_MAQUINARIA,0)))</f>
        <v/>
      </c>
      <c r="EN40" s="166" t="str">
        <f>IF(Tabla587188[[#This Row],[Equipo ]]="","",INDEX(V_GALON,MATCH(Tabla587188[[#This Row],[Equipo ]],LISTA_MAQUINARIA,0)))</f>
        <v/>
      </c>
      <c r="EO40" s="10"/>
      <c r="EP40" s="165" t="str">
        <f>IF(Tabla587188[[#This Row],[Equipo ]]="","",Tabla587188[[#This Row],[Valor mensual]]+Tabla587188[[#This Row],[Combustible Hora ]]*Tabla587188[[#This Row],[Valor galon]]*Tabla587188[[#This Row],[Horas mes]])</f>
        <v/>
      </c>
      <c r="EQ40" s="168" t="str">
        <f>IF(Tabla587188[[#This Row],[Valor mensual + Combustible]]="","",Tabla587188[[#This Row],[Valor mensual + Combustible]]*Tabla587188[[#This Row],[Cantidad]])</f>
        <v/>
      </c>
      <c r="ET40" s="9"/>
      <c r="EU40" s="10"/>
      <c r="EV40" s="165" t="str">
        <f>IF(Tabla590191[[#This Row],[Equipo ]]="","",INDEX(V_MENSUAL,MATCH(Tabla590191[[#This Row],[Equipo ]],LISTA_MAQUINARIA,0)))</f>
        <v/>
      </c>
      <c r="EW40" s="12" t="str">
        <f>IF(Tabla590191[[#This Row],[Equipo ]]="","",INDEX(CONSUMO_COMBUSTIBLE_H,MATCH(Tabla590191[[#This Row],[Equipo ]],LISTA_MAQUINARIA,0)))</f>
        <v/>
      </c>
      <c r="EX40" s="166" t="str">
        <f>IF(Tabla590191[[#This Row],[Equipo ]]="","",INDEX(V_GALON,MATCH(Tabla590191[[#This Row],[Equipo ]],LISTA_MAQUINARIA,0)))</f>
        <v/>
      </c>
      <c r="EY40" s="10"/>
      <c r="EZ40" s="165" t="str">
        <f>IF(Tabla590191[[#This Row],[Equipo ]]="","",Tabla590191[[#This Row],[Valor mensual]]+Tabla590191[[#This Row],[Combustible Hora ]]*Tabla590191[[#This Row],[Valor galon]]*Tabla590191[[#This Row],[Horas mes]])</f>
        <v/>
      </c>
      <c r="FA40" s="168" t="str">
        <f>IF(Tabla590191[[#This Row],[Valor mensual + Combustible]]="","",Tabla590191[[#This Row],[Valor mensual + Combustible]]*Tabla590191[[#This Row],[Cantidad]])</f>
        <v/>
      </c>
      <c r="FD40" s="9"/>
      <c r="FE40" s="10"/>
      <c r="FF40" s="165" t="str">
        <f>IF(Tabla593194[[#This Row],[Equipo ]]="","",INDEX(V_MENSUAL,MATCH(Tabla593194[[#This Row],[Equipo ]],LISTA_MAQUINARIA,0)))</f>
        <v/>
      </c>
      <c r="FG40" s="12" t="str">
        <f>IF(Tabla593194[[#This Row],[Equipo ]]="","",INDEX(CONSUMO_COMBUSTIBLE_H,MATCH(Tabla593194[[#This Row],[Equipo ]],LISTA_MAQUINARIA,0)))</f>
        <v/>
      </c>
      <c r="FH40" s="166" t="str">
        <f>IF(Tabla593194[[#This Row],[Equipo ]]="","",INDEX(V_GALON,MATCH(Tabla593194[[#This Row],[Equipo ]],LISTA_MAQUINARIA,0)))</f>
        <v/>
      </c>
      <c r="FI40" s="10"/>
      <c r="FJ40" s="165" t="str">
        <f>IF(Tabla593194[[#This Row],[Equipo ]]="","",Tabla593194[[#This Row],[Valor mensual]]+Tabla593194[[#This Row],[Combustible Hora ]]*Tabla593194[[#This Row],[Valor galon]]*Tabla593194[[#This Row],[Horas mes]])</f>
        <v/>
      </c>
      <c r="FK40" s="168" t="str">
        <f>IF(Tabla593194[[#This Row],[Valor mensual + Combustible]]="","",Tabla593194[[#This Row],[Valor mensual + Combustible]]*Tabla593194[[#This Row],[Cantidad]])</f>
        <v/>
      </c>
      <c r="FN40" s="9"/>
      <c r="FO40" s="10"/>
      <c r="FP40" s="165" t="str">
        <f>IF(Tabla596197[[#This Row],[Equipo ]]="","",INDEX(V_MENSUAL,MATCH(Tabla596197[[#This Row],[Equipo ]],LISTA_MAQUINARIA,0)))</f>
        <v/>
      </c>
      <c r="FQ40" s="12" t="str">
        <f>IF(Tabla596197[[#This Row],[Equipo ]]="","",INDEX(CONSUMO_COMBUSTIBLE_H,MATCH(Tabla596197[[#This Row],[Equipo ]],LISTA_MAQUINARIA,0)))</f>
        <v/>
      </c>
      <c r="FR40" s="166" t="str">
        <f>IF(Tabla596197[[#This Row],[Equipo ]]="","",INDEX(V_GALON,MATCH(Tabla596197[[#This Row],[Equipo ]],LISTA_MAQUINARIA,0)))</f>
        <v/>
      </c>
      <c r="FS40" s="10"/>
      <c r="FT40" s="165" t="str">
        <f>IF(Tabla596197[[#This Row],[Equipo ]]="","",Tabla596197[[#This Row],[Valor mensual]]+Tabla596197[[#This Row],[Combustible Hora ]]*Tabla596197[[#This Row],[Valor galon]]*Tabla596197[[#This Row],[Horas mes]])</f>
        <v/>
      </c>
      <c r="FU40" s="168" t="str">
        <f>IF(Tabla596197[[#This Row],[Valor mensual + Combustible]]="","",Tabla596197[[#This Row],[Valor mensual + Combustible]]*Tabla596197[[#This Row],[Cantidad]])</f>
        <v/>
      </c>
    </row>
    <row r="41" spans="1:177" x14ac:dyDescent="0.3">
      <c r="A41" s="9" t="s">
        <v>498</v>
      </c>
      <c r="B41" s="10">
        <v>1</v>
      </c>
      <c r="C41" s="165">
        <f>IF(Tabla511[[#This Row],[Equipo ]]="","",INDEX(V_MENSUAL,MATCH(Tabla511[[#This Row],[Equipo ]],LISTA_MAQUINARIA,0)))</f>
        <v>5800000</v>
      </c>
      <c r="D41" s="12">
        <f>IF(Tabla511[[#This Row],[Equipo ]]="","",INDEX(CONSUMO_COMBUSTIBLE_H,MATCH(Tabla511[[#This Row],[Equipo ]],LISTA_MAQUINARIA,0)))</f>
        <v>0</v>
      </c>
      <c r="E41" s="166">
        <f>IF(Tabla511[[#This Row],[Equipo ]]="","",INDEX(V_GALON,MATCH(Tabla511[[#This Row],[Equipo ]],LISTA_MAQUINARIA,0)))</f>
        <v>10800</v>
      </c>
      <c r="F41" s="10"/>
      <c r="G41" s="165">
        <f>IF(Tabla511[[#This Row],[Equipo ]]="","",Tabla511[[#This Row],[Valor mensual]]+Tabla511[[#This Row],[Combustible Hora ]]*Tabla511[[#This Row],[Valor galon]]*Tabla511[[#This Row],[Horas mes]])</f>
        <v>5800000</v>
      </c>
      <c r="H41" s="168">
        <f>IF(Tabla511[[#This Row],[Valor mensual + Combustible]]="","",Tabla511[[#This Row],[Valor mensual + Combustible]]*Tabla511[[#This Row],[Cantidad]])</f>
        <v>5800000</v>
      </c>
      <c r="K41" s="9" t="s">
        <v>498</v>
      </c>
      <c r="L41" s="10">
        <v>1</v>
      </c>
      <c r="M41" s="165" cm="1">
        <f t="array" ref="M41">IF(Tabla54814[[#This Row],[Equipo ]]="","",INDEX(V_MENSUAL,MATCH(Tabla54814[[#This Row],[Equipo ]],LISTA_MAQUINARIA,0)))</f>
        <v>5800000</v>
      </c>
      <c r="N41" s="12">
        <f>IF(Tabla54814[[#This Row],[Equipo ]]="","",INDEX(CONSUMO_COMBUSTIBLE_H,MATCH(Tabla54814[[#This Row],[Equipo ]],LISTA_MAQUINARIA,0)))</f>
        <v>0</v>
      </c>
      <c r="O41" s="166">
        <f>IF(Tabla54814[[#This Row],[Equipo ]]="","",INDEX(V_GALON,MATCH(Tabla54814[[#This Row],[Equipo ]],LISTA_MAQUINARIA,0)))</f>
        <v>10800</v>
      </c>
      <c r="P41" s="10"/>
      <c r="Q41" s="165">
        <f>IF(Tabla54814[[#This Row],[Equipo ]]="","",Tabla54814[[#This Row],[Valor mensual]]+Tabla54814[[#This Row],[Combustible Hora ]]*Tabla54814[[#This Row],[Valor galon]]*Tabla54814[[#This Row],[Horas mes]])</f>
        <v>5800000</v>
      </c>
      <c r="R41" s="168">
        <f>IF(Tabla54814[[#This Row],[Valor mensual + Combustible]]="","",Tabla54814[[#This Row],[Valor mensual + Combustible]]*Tabla54814[[#This Row],[Cantidad]])</f>
        <v>5800000</v>
      </c>
      <c r="U41" s="9"/>
      <c r="V41" s="10"/>
      <c r="W41" s="165" t="str">
        <f>IF(Tabla55117[[#This Row],[Equipo ]]="","",INDEX(V_MENSUAL,MATCH(Tabla55117[[#This Row],[Equipo ]],LISTA_MAQUINARIA,0)))</f>
        <v/>
      </c>
      <c r="X41" s="12" t="str">
        <f>IF(Tabla55117[[#This Row],[Equipo ]]="","",INDEX(CONSUMO_COMBUSTIBLE_H,MATCH(Tabla55117[[#This Row],[Equipo ]],LISTA_MAQUINARIA,0)))</f>
        <v/>
      </c>
      <c r="Y41" s="166" t="str">
        <f>IF(Tabla55117[[#This Row],[Equipo ]]="","",INDEX(V_GALON,MATCH(Tabla55117[[#This Row],[Equipo ]],LISTA_MAQUINARIA,0)))</f>
        <v/>
      </c>
      <c r="Z41" s="10"/>
      <c r="AA41" s="165" t="str">
        <f>IF(Tabla55117[[#This Row],[Equipo ]]="","",Tabla55117[[#This Row],[Valor mensual]]+Tabla55117[[#This Row],[Combustible Hora ]]*Tabla55117[[#This Row],[Valor galon]]*Tabla55117[[#This Row],[Horas mes]])</f>
        <v/>
      </c>
      <c r="AB41" s="168" t="str">
        <f>IF(Tabla55117[[#This Row],[Valor mensual + Combustible]]="","",Tabla55117[[#This Row],[Valor mensual + Combustible]]*Tabla55117[[#This Row],[Cantidad]])</f>
        <v/>
      </c>
      <c r="AD41" s="9"/>
      <c r="AE41" s="10"/>
      <c r="AF41" s="165" t="str">
        <f>IF(Tabla55420[[#This Row],[Equipo ]]="","",INDEX(V_MENSUAL,MATCH(Tabla55420[[#This Row],[Equipo ]],LISTA_MAQUINARIA,0)))</f>
        <v/>
      </c>
      <c r="AG41" s="12" t="str">
        <f>IF(Tabla55420[[#This Row],[Equipo ]]="","",INDEX(CONSUMO_COMBUSTIBLE_H,MATCH(Tabla55420[[#This Row],[Equipo ]],LISTA_MAQUINARIA,0)))</f>
        <v/>
      </c>
      <c r="AH41" s="166" t="str">
        <f>IF(Tabla55420[[#This Row],[Equipo ]]="","",INDEX(V_GALON,MATCH(Tabla55420[[#This Row],[Equipo ]],LISTA_MAQUINARIA,0)))</f>
        <v/>
      </c>
      <c r="AI41" s="10"/>
      <c r="AJ41" s="165" t="str">
        <f>IF(Tabla55420[[#This Row],[Equipo ]]="","",Tabla55420[[#This Row],[Valor mensual]]+Tabla55420[[#This Row],[Combustible Hora ]]*Tabla55420[[#This Row],[Valor galon]]*Tabla55420[[#This Row],[Horas mes]])</f>
        <v/>
      </c>
      <c r="AK41" s="168" t="str">
        <f>IF(Tabla55420[[#This Row],[Valor mensual + Combustible]]="","",Tabla55420[[#This Row],[Valor mensual + Combustible]]*Tabla55420[[#This Row],[Cantidad]])</f>
        <v/>
      </c>
      <c r="AN41" s="9"/>
      <c r="AO41" s="10"/>
      <c r="AP41" s="165" t="str">
        <f>IF(Tabla55724[[#This Row],[Equipo ]]="","",INDEX(V_MENSUAL,MATCH(Tabla55724[[#This Row],[Equipo ]],LISTA_MAQUINARIA,0)))</f>
        <v/>
      </c>
      <c r="AQ41" s="12" t="str">
        <f>IF(Tabla55724[[#This Row],[Equipo ]]="","",INDEX(CONSUMO_COMBUSTIBLE_H,MATCH(Tabla55724[[#This Row],[Equipo ]],LISTA_MAQUINARIA,0)))</f>
        <v/>
      </c>
      <c r="AR41" s="166" t="str">
        <f>IF(Tabla55724[[#This Row],[Equipo ]]="","",INDEX(V_GALON,MATCH(Tabla55724[[#This Row],[Equipo ]],LISTA_MAQUINARIA,0)))</f>
        <v/>
      </c>
      <c r="AS41" s="10"/>
      <c r="AT41" s="165" t="str">
        <f>IF(Tabla55724[[#This Row],[Equipo ]]="","",Tabla55724[[#This Row],[Valor mensual]]+Tabla55724[[#This Row],[Combustible Hora ]]*Tabla55724[[#This Row],[Valor galon]]*Tabla55724[[#This Row],[Horas mes]])</f>
        <v/>
      </c>
      <c r="AU41" s="168" t="str">
        <f>IF(Tabla55724[[#This Row],[Valor mensual + Combustible]]="","",Tabla55724[[#This Row],[Valor mensual + Combustible]]*Tabla55724[[#This Row],[Cantidad]])</f>
        <v/>
      </c>
      <c r="AX41" s="9"/>
      <c r="AY41" s="10"/>
      <c r="AZ41" s="165" t="str">
        <f>IF(Tabla560121[[#This Row],[Equipo ]]="","",INDEX(V_MENSUAL,MATCH(Tabla560121[[#This Row],[Equipo ]],LISTA_MAQUINARIA,0)))</f>
        <v/>
      </c>
      <c r="BA41" s="12" t="str">
        <f>IF(Tabla560121[[#This Row],[Equipo ]]="","",INDEX(CONSUMO_COMBUSTIBLE_H,MATCH(Tabla560121[[#This Row],[Equipo ]],LISTA_MAQUINARIA,0)))</f>
        <v/>
      </c>
      <c r="BB41" s="166" t="str">
        <f>IF(Tabla560121[[#This Row],[Equipo ]]="","",INDEX(V_GALON,MATCH(Tabla560121[[#This Row],[Equipo ]],LISTA_MAQUINARIA,0)))</f>
        <v/>
      </c>
      <c r="BC41" s="10"/>
      <c r="BD41" s="165" t="str">
        <f>IF(Tabla560121[[#This Row],[Equipo ]]="","",Tabla560121[[#This Row],[Valor mensual]]+Tabla560121[[#This Row],[Combustible Hora ]]*Tabla560121[[#This Row],[Valor galon]]*Tabla560121[[#This Row],[Horas mes]])</f>
        <v/>
      </c>
      <c r="BE41" s="168" t="str">
        <f>IF(Tabla560121[[#This Row],[Valor mensual + Combustible]]="","",Tabla560121[[#This Row],[Valor mensual + Combustible]]*Tabla560121[[#This Row],[Cantidad]])</f>
        <v/>
      </c>
      <c r="BH41" s="9"/>
      <c r="BI41" s="10"/>
      <c r="BJ41" s="165" t="str">
        <f>IF(Tabla563164[[#This Row],[Equipo ]]="","",INDEX(V_MENSUAL,MATCH(Tabla563164[[#This Row],[Equipo ]],LISTA_MAQUINARIA,0)))</f>
        <v/>
      </c>
      <c r="BK41" s="12" t="str">
        <f>IF(Tabla563164[[#This Row],[Equipo ]]="","",INDEX(CONSUMO_COMBUSTIBLE_H,MATCH(Tabla563164[[#This Row],[Equipo ]],LISTA_MAQUINARIA,0)))</f>
        <v/>
      </c>
      <c r="BL41" s="166" t="str">
        <f>IF(Tabla563164[[#This Row],[Equipo ]]="","",INDEX(V_GALON,MATCH(Tabla563164[[#This Row],[Equipo ]],LISTA_MAQUINARIA,0)))</f>
        <v/>
      </c>
      <c r="BM41" s="10"/>
      <c r="BN41" s="165" t="str">
        <f>IF(Tabla563164[[#This Row],[Equipo ]]="","",Tabla563164[[#This Row],[Valor mensual]]+Tabla563164[[#This Row],[Combustible Hora ]]*Tabla563164[[#This Row],[Valor galon]]*Tabla563164[[#This Row],[Horas mes]])</f>
        <v/>
      </c>
      <c r="BO41" s="168" t="str">
        <f>IF(Tabla563164[[#This Row],[Valor mensual + Combustible]]="","",Tabla563164[[#This Row],[Valor mensual + Combustible]]*Tabla563164[[#This Row],[Cantidad]])</f>
        <v/>
      </c>
      <c r="BR41" s="9"/>
      <c r="BS41" s="10"/>
      <c r="BT41" s="165" t="str">
        <f>IF(Tabla566167[[#This Row],[Equipo ]]="","",INDEX(V_MENSUAL,MATCH(Tabla566167[[#This Row],[Equipo ]],LISTA_MAQUINARIA,0)))</f>
        <v/>
      </c>
      <c r="BU41" s="12" t="str">
        <f>IF(Tabla566167[[#This Row],[Equipo ]]="","",INDEX(CONSUMO_COMBUSTIBLE_H,MATCH(Tabla566167[[#This Row],[Equipo ]],LISTA_MAQUINARIA,0)))</f>
        <v/>
      </c>
      <c r="BV41" s="166" t="str">
        <f>IF(Tabla566167[[#This Row],[Equipo ]]="","",INDEX(V_GALON,MATCH(Tabla566167[[#This Row],[Equipo ]],LISTA_MAQUINARIA,0)))</f>
        <v/>
      </c>
      <c r="BW41" s="10"/>
      <c r="BX41" s="165" t="str">
        <f>IF(Tabla566167[[#This Row],[Equipo ]]="","",Tabla566167[[#This Row],[Valor mensual]]+Tabla566167[[#This Row],[Combustible Hora ]]*Tabla566167[[#This Row],[Valor galon]]*Tabla566167[[#This Row],[Horas mes]])</f>
        <v/>
      </c>
      <c r="BY41" s="168" t="str">
        <f>IF(Tabla566167[[#This Row],[Valor mensual + Combustible]]="","",Tabla566167[[#This Row],[Valor mensual + Combustible]]*Tabla566167[[#This Row],[Cantidad]])</f>
        <v/>
      </c>
      <c r="CB41" s="9"/>
      <c r="CC41" s="10"/>
      <c r="CD41" s="165" t="str">
        <f>IF(Tabla569170[[#This Row],[Equipo ]]="","",INDEX(V_MENSUAL,MATCH(Tabla569170[[#This Row],[Equipo ]],LISTA_MAQUINARIA,0)))</f>
        <v/>
      </c>
      <c r="CE41" s="12" t="str">
        <f>IF(Tabla569170[[#This Row],[Equipo ]]="","",INDEX(CONSUMO_COMBUSTIBLE_H,MATCH(Tabla569170[[#This Row],[Equipo ]],LISTA_MAQUINARIA,0)))</f>
        <v/>
      </c>
      <c r="CF41" s="166" t="str">
        <f>IF(Tabla569170[[#This Row],[Equipo ]]="","",INDEX(V_GALON,MATCH(Tabla569170[[#This Row],[Equipo ]],LISTA_MAQUINARIA,0)))</f>
        <v/>
      </c>
      <c r="CG41" s="10"/>
      <c r="CH41" s="165" t="str">
        <f>IF(Tabla569170[[#This Row],[Equipo ]]="","",Tabla569170[[#This Row],[Valor mensual]]+Tabla569170[[#This Row],[Combustible Hora ]]*Tabla569170[[#This Row],[Valor galon]]*Tabla569170[[#This Row],[Horas mes]])</f>
        <v/>
      </c>
      <c r="CI41" s="168" t="str">
        <f>IF(Tabla569170[[#This Row],[Valor mensual + Combustible]]="","",Tabla569170[[#This Row],[Valor mensual + Combustible]]*Tabla569170[[#This Row],[Cantidad]])</f>
        <v/>
      </c>
      <c r="CL41" s="9"/>
      <c r="CM41" s="10"/>
      <c r="CN41" s="165" t="str">
        <f>IF(Tabla572173[[#This Row],[Equipo ]]="","",INDEX(V_MENSUAL,MATCH(Tabla572173[[#This Row],[Equipo ]],LISTA_MAQUINARIA,0)))</f>
        <v/>
      </c>
      <c r="CO41" s="12" t="str">
        <f>IF(Tabla572173[[#This Row],[Equipo ]]="","",INDEX(CONSUMO_COMBUSTIBLE_H,MATCH(Tabla572173[[#This Row],[Equipo ]],LISTA_MAQUINARIA,0)))</f>
        <v/>
      </c>
      <c r="CP41" s="166" t="str">
        <f>IF(Tabla572173[[#This Row],[Equipo ]]="","",INDEX(V_GALON,MATCH(Tabla572173[[#This Row],[Equipo ]],LISTA_MAQUINARIA,0)))</f>
        <v/>
      </c>
      <c r="CQ41" s="10"/>
      <c r="CR41" s="165" t="str">
        <f>IF(Tabla572173[[#This Row],[Equipo ]]="","",Tabla572173[[#This Row],[Valor mensual]]+Tabla572173[[#This Row],[Combustible Hora ]]*Tabla572173[[#This Row],[Valor galon]]*Tabla572173[[#This Row],[Horas mes]])</f>
        <v/>
      </c>
      <c r="CS41" s="168" t="str">
        <f>IF(Tabla572173[[#This Row],[Valor mensual + Combustible]]="","",Tabla572173[[#This Row],[Valor mensual + Combustible]]*Tabla572173[[#This Row],[Cantidad]])</f>
        <v/>
      </c>
      <c r="CV41" s="9"/>
      <c r="CW41" s="10"/>
      <c r="CX41" s="165" t="str">
        <f>IF(Tabla575176[[#This Row],[Equipo ]]="","",INDEX(V_MENSUAL,MATCH(Tabla575176[[#This Row],[Equipo ]],LISTA_MAQUINARIA,0)))</f>
        <v/>
      </c>
      <c r="CY41" s="12" t="str">
        <f>IF(Tabla575176[[#This Row],[Equipo ]]="","",INDEX(CONSUMO_COMBUSTIBLE_H,MATCH(Tabla575176[[#This Row],[Equipo ]],LISTA_MAQUINARIA,0)))</f>
        <v/>
      </c>
      <c r="CZ41" s="166" t="str">
        <f>IF(Tabla575176[[#This Row],[Equipo ]]="","",INDEX(V_GALON,MATCH(Tabla575176[[#This Row],[Equipo ]],LISTA_MAQUINARIA,0)))</f>
        <v/>
      </c>
      <c r="DA41" s="10"/>
      <c r="DB41" s="165" t="str">
        <f>IF(Tabla575176[[#This Row],[Equipo ]]="","",Tabla575176[[#This Row],[Valor mensual]]+Tabla575176[[#This Row],[Combustible Hora ]]*Tabla575176[[#This Row],[Valor galon]]*Tabla575176[[#This Row],[Horas mes]])</f>
        <v/>
      </c>
      <c r="DC41" s="168" t="str">
        <f>IF(Tabla575176[[#This Row],[Valor mensual + Combustible]]="","",Tabla575176[[#This Row],[Valor mensual + Combustible]]*Tabla575176[[#This Row],[Cantidad]])</f>
        <v/>
      </c>
      <c r="DF41" s="9"/>
      <c r="DG41" s="10"/>
      <c r="DH41" s="165" t="str">
        <f>IF(Tabla578179[[#This Row],[Equipo ]]="","",INDEX(V_MENSUAL,MATCH(Tabla578179[[#This Row],[Equipo ]],LISTA_MAQUINARIA,0)))</f>
        <v/>
      </c>
      <c r="DI41" s="12" t="str">
        <f>IF(Tabla578179[[#This Row],[Equipo ]]="","",INDEX(CONSUMO_COMBUSTIBLE_H,MATCH(Tabla578179[[#This Row],[Equipo ]],LISTA_MAQUINARIA,0)))</f>
        <v/>
      </c>
      <c r="DJ41" s="166" t="str">
        <f>IF(Tabla578179[[#This Row],[Equipo ]]="","",INDEX(V_GALON,MATCH(Tabla578179[[#This Row],[Equipo ]],LISTA_MAQUINARIA,0)))</f>
        <v/>
      </c>
      <c r="DK41" s="10"/>
      <c r="DL41" s="165" t="str">
        <f>IF(Tabla578179[[#This Row],[Equipo ]]="","",Tabla578179[[#This Row],[Valor mensual]]+Tabla578179[[#This Row],[Combustible Hora ]]*Tabla578179[[#This Row],[Valor galon]]*Tabla578179[[#This Row],[Horas mes]])</f>
        <v/>
      </c>
      <c r="DM41" s="168" t="str">
        <f>IF(Tabla578179[[#This Row],[Valor mensual + Combustible]]="","",Tabla578179[[#This Row],[Valor mensual + Combustible]]*Tabla578179[[#This Row],[Cantidad]])</f>
        <v/>
      </c>
      <c r="DP41" s="9"/>
      <c r="DQ41" s="10"/>
      <c r="DR41" s="165" t="str">
        <f>IF(Tabla581182[[#This Row],[Equipo ]]="","",INDEX(V_MENSUAL,MATCH(Tabla581182[[#This Row],[Equipo ]],LISTA_MAQUINARIA,0)))</f>
        <v/>
      </c>
      <c r="DS41" s="12" t="str">
        <f>IF(Tabla581182[[#This Row],[Equipo ]]="","",INDEX(CONSUMO_COMBUSTIBLE_H,MATCH(Tabla581182[[#This Row],[Equipo ]],LISTA_MAQUINARIA,0)))</f>
        <v/>
      </c>
      <c r="DT41" s="166" t="str">
        <f>IF(Tabla581182[[#This Row],[Equipo ]]="","",INDEX(V_GALON,MATCH(Tabla581182[[#This Row],[Equipo ]],LISTA_MAQUINARIA,0)))</f>
        <v/>
      </c>
      <c r="DU41" s="10"/>
      <c r="DV41" s="165" t="str">
        <f>IF(Tabla581182[[#This Row],[Equipo ]]="","",Tabla581182[[#This Row],[Valor mensual]]+Tabla581182[[#This Row],[Combustible Hora ]]*Tabla581182[[#This Row],[Valor galon]]*Tabla581182[[#This Row],[Horas mes]])</f>
        <v/>
      </c>
      <c r="DW41" s="168" t="str">
        <f>IF(Tabla581182[[#This Row],[Valor mensual + Combustible]]="","",Tabla581182[[#This Row],[Valor mensual + Combustible]]*Tabla581182[[#This Row],[Cantidad]])</f>
        <v/>
      </c>
      <c r="DZ41" s="9"/>
      <c r="EA41" s="10"/>
      <c r="EB41" s="165" t="str">
        <f>IF(Tabla584185[[#This Row],[Equipo ]]="","",INDEX(V_MENSUAL,MATCH(Tabla584185[[#This Row],[Equipo ]],LISTA_MAQUINARIA,0)))</f>
        <v/>
      </c>
      <c r="EC41" s="12" t="str">
        <f>IF(Tabla584185[[#This Row],[Equipo ]]="","",INDEX(CONSUMO_COMBUSTIBLE_H,MATCH(Tabla584185[[#This Row],[Equipo ]],LISTA_MAQUINARIA,0)))</f>
        <v/>
      </c>
      <c r="ED41" s="166" t="str">
        <f>IF(Tabla584185[[#This Row],[Equipo ]]="","",INDEX(V_GALON,MATCH(Tabla584185[[#This Row],[Equipo ]],LISTA_MAQUINARIA,0)))</f>
        <v/>
      </c>
      <c r="EE41" s="10"/>
      <c r="EF41" s="165" t="str">
        <f>IF(Tabla584185[[#This Row],[Equipo ]]="","",Tabla584185[[#This Row],[Valor mensual]]+Tabla584185[[#This Row],[Combustible Hora ]]*Tabla584185[[#This Row],[Valor galon]]*Tabla584185[[#This Row],[Horas mes]])</f>
        <v/>
      </c>
      <c r="EG41" s="168" t="str">
        <f>IF(Tabla584185[[#This Row],[Valor mensual + Combustible]]="","",Tabla584185[[#This Row],[Valor mensual + Combustible]]*Tabla584185[[#This Row],[Cantidad]])</f>
        <v/>
      </c>
      <c r="EJ41" s="9"/>
      <c r="EK41" s="10"/>
      <c r="EL41" s="165" t="str">
        <f>IF(Tabla587188[[#This Row],[Equipo ]]="","",INDEX(V_MENSUAL,MATCH(Tabla587188[[#This Row],[Equipo ]],LISTA_MAQUINARIA,0)))</f>
        <v/>
      </c>
      <c r="EM41" s="12" t="str">
        <f>IF(Tabla587188[[#This Row],[Equipo ]]="","",INDEX(CONSUMO_COMBUSTIBLE_H,MATCH(Tabla587188[[#This Row],[Equipo ]],LISTA_MAQUINARIA,0)))</f>
        <v/>
      </c>
      <c r="EN41" s="166" t="str">
        <f>IF(Tabla587188[[#This Row],[Equipo ]]="","",INDEX(V_GALON,MATCH(Tabla587188[[#This Row],[Equipo ]],LISTA_MAQUINARIA,0)))</f>
        <v/>
      </c>
      <c r="EO41" s="10"/>
      <c r="EP41" s="165" t="str">
        <f>IF(Tabla587188[[#This Row],[Equipo ]]="","",Tabla587188[[#This Row],[Valor mensual]]+Tabla587188[[#This Row],[Combustible Hora ]]*Tabla587188[[#This Row],[Valor galon]]*Tabla587188[[#This Row],[Horas mes]])</f>
        <v/>
      </c>
      <c r="EQ41" s="168" t="str">
        <f>IF(Tabla587188[[#This Row],[Valor mensual + Combustible]]="","",Tabla587188[[#This Row],[Valor mensual + Combustible]]*Tabla587188[[#This Row],[Cantidad]])</f>
        <v/>
      </c>
      <c r="ET41" s="9"/>
      <c r="EU41" s="10"/>
      <c r="EV41" s="165" t="str">
        <f>IF(Tabla590191[[#This Row],[Equipo ]]="","",INDEX(V_MENSUAL,MATCH(Tabla590191[[#This Row],[Equipo ]],LISTA_MAQUINARIA,0)))</f>
        <v/>
      </c>
      <c r="EW41" s="12" t="str">
        <f>IF(Tabla590191[[#This Row],[Equipo ]]="","",INDEX(CONSUMO_COMBUSTIBLE_H,MATCH(Tabla590191[[#This Row],[Equipo ]],LISTA_MAQUINARIA,0)))</f>
        <v/>
      </c>
      <c r="EX41" s="166" t="str">
        <f>IF(Tabla590191[[#This Row],[Equipo ]]="","",INDEX(V_GALON,MATCH(Tabla590191[[#This Row],[Equipo ]],LISTA_MAQUINARIA,0)))</f>
        <v/>
      </c>
      <c r="EY41" s="10"/>
      <c r="EZ41" s="165" t="str">
        <f>IF(Tabla590191[[#This Row],[Equipo ]]="","",Tabla590191[[#This Row],[Valor mensual]]+Tabla590191[[#This Row],[Combustible Hora ]]*Tabla590191[[#This Row],[Valor galon]]*Tabla590191[[#This Row],[Horas mes]])</f>
        <v/>
      </c>
      <c r="FA41" s="168" t="str">
        <f>IF(Tabla590191[[#This Row],[Valor mensual + Combustible]]="","",Tabla590191[[#This Row],[Valor mensual + Combustible]]*Tabla590191[[#This Row],[Cantidad]])</f>
        <v/>
      </c>
      <c r="FD41" s="9"/>
      <c r="FE41" s="10"/>
      <c r="FF41" s="165" t="str">
        <f>IF(Tabla593194[[#This Row],[Equipo ]]="","",INDEX(V_MENSUAL,MATCH(Tabla593194[[#This Row],[Equipo ]],LISTA_MAQUINARIA,0)))</f>
        <v/>
      </c>
      <c r="FG41" s="12" t="str">
        <f>IF(Tabla593194[[#This Row],[Equipo ]]="","",INDEX(CONSUMO_COMBUSTIBLE_H,MATCH(Tabla593194[[#This Row],[Equipo ]],LISTA_MAQUINARIA,0)))</f>
        <v/>
      </c>
      <c r="FH41" s="166" t="str">
        <f>IF(Tabla593194[[#This Row],[Equipo ]]="","",INDEX(V_GALON,MATCH(Tabla593194[[#This Row],[Equipo ]],LISTA_MAQUINARIA,0)))</f>
        <v/>
      </c>
      <c r="FI41" s="10"/>
      <c r="FJ41" s="165" t="str">
        <f>IF(Tabla593194[[#This Row],[Equipo ]]="","",Tabla593194[[#This Row],[Valor mensual]]+Tabla593194[[#This Row],[Combustible Hora ]]*Tabla593194[[#This Row],[Valor galon]]*Tabla593194[[#This Row],[Horas mes]])</f>
        <v/>
      </c>
      <c r="FK41" s="168" t="str">
        <f>IF(Tabla593194[[#This Row],[Valor mensual + Combustible]]="","",Tabla593194[[#This Row],[Valor mensual + Combustible]]*Tabla593194[[#This Row],[Cantidad]])</f>
        <v/>
      </c>
      <c r="FN41" s="9"/>
      <c r="FO41" s="10"/>
      <c r="FP41" s="165" t="str">
        <f>IF(Tabla596197[[#This Row],[Equipo ]]="","",INDEX(V_MENSUAL,MATCH(Tabla596197[[#This Row],[Equipo ]],LISTA_MAQUINARIA,0)))</f>
        <v/>
      </c>
      <c r="FQ41" s="12" t="str">
        <f>IF(Tabla596197[[#This Row],[Equipo ]]="","",INDEX(CONSUMO_COMBUSTIBLE_H,MATCH(Tabla596197[[#This Row],[Equipo ]],LISTA_MAQUINARIA,0)))</f>
        <v/>
      </c>
      <c r="FR41" s="166" t="str">
        <f>IF(Tabla596197[[#This Row],[Equipo ]]="","",INDEX(V_GALON,MATCH(Tabla596197[[#This Row],[Equipo ]],LISTA_MAQUINARIA,0)))</f>
        <v/>
      </c>
      <c r="FS41" s="10"/>
      <c r="FT41" s="165" t="str">
        <f>IF(Tabla596197[[#This Row],[Equipo ]]="","",Tabla596197[[#This Row],[Valor mensual]]+Tabla596197[[#This Row],[Combustible Hora ]]*Tabla596197[[#This Row],[Valor galon]]*Tabla596197[[#This Row],[Horas mes]])</f>
        <v/>
      </c>
      <c r="FU41" s="168" t="str">
        <f>IF(Tabla596197[[#This Row],[Valor mensual + Combustible]]="","",Tabla596197[[#This Row],[Valor mensual + Combustible]]*Tabla596197[[#This Row],[Cantidad]])</f>
        <v/>
      </c>
    </row>
    <row r="42" spans="1:177" x14ac:dyDescent="0.3">
      <c r="A42" s="9" t="s">
        <v>499</v>
      </c>
      <c r="B42" s="10">
        <v>2</v>
      </c>
      <c r="C42" s="165">
        <f>IF(Tabla511[[#This Row],[Equipo ]]="","",INDEX(V_MENSUAL,MATCH(Tabla511[[#This Row],[Equipo ]],LISTA_MAQUINARIA,0)))</f>
        <v>1400000</v>
      </c>
      <c r="D42" s="12">
        <f>IF(Tabla511[[#This Row],[Equipo ]]="","",INDEX(CONSUMO_COMBUSTIBLE_H,MATCH(Tabla511[[#This Row],[Equipo ]],LISTA_MAQUINARIA,0)))</f>
        <v>0</v>
      </c>
      <c r="E42" s="166">
        <f>IF(Tabla511[[#This Row],[Equipo ]]="","",INDEX(V_GALON,MATCH(Tabla511[[#This Row],[Equipo ]],LISTA_MAQUINARIA,0)))</f>
        <v>10800</v>
      </c>
      <c r="F42" s="10"/>
      <c r="G42" s="165">
        <f>IF(Tabla511[[#This Row],[Equipo ]]="","",Tabla511[[#This Row],[Valor mensual]]+Tabla511[[#This Row],[Combustible Hora ]]*Tabla511[[#This Row],[Valor galon]]*Tabla511[[#This Row],[Horas mes]])</f>
        <v>1400000</v>
      </c>
      <c r="H42" s="168">
        <f>IF(Tabla511[[#This Row],[Valor mensual + Combustible]]="","",Tabla511[[#This Row],[Valor mensual + Combustible]]*Tabla511[[#This Row],[Cantidad]])</f>
        <v>2800000</v>
      </c>
      <c r="K42" s="9" t="s">
        <v>499</v>
      </c>
      <c r="L42" s="10">
        <v>2</v>
      </c>
      <c r="M42" s="165" cm="1">
        <f t="array" ref="M42">IF(Tabla54814[[#This Row],[Equipo ]]="","",INDEX(V_MENSUAL,MATCH(Tabla54814[[#This Row],[Equipo ]],LISTA_MAQUINARIA,0)))</f>
        <v>1400000</v>
      </c>
      <c r="N42" s="12">
        <f>IF(Tabla54814[[#This Row],[Equipo ]]="","",INDEX(CONSUMO_COMBUSTIBLE_H,MATCH(Tabla54814[[#This Row],[Equipo ]],LISTA_MAQUINARIA,0)))</f>
        <v>0</v>
      </c>
      <c r="O42" s="166">
        <f>IF(Tabla54814[[#This Row],[Equipo ]]="","",INDEX(V_GALON,MATCH(Tabla54814[[#This Row],[Equipo ]],LISTA_MAQUINARIA,0)))</f>
        <v>10800</v>
      </c>
      <c r="P42" s="10"/>
      <c r="Q42" s="165">
        <f>IF(Tabla54814[[#This Row],[Equipo ]]="","",Tabla54814[[#This Row],[Valor mensual]]+Tabla54814[[#This Row],[Combustible Hora ]]*Tabla54814[[#This Row],[Valor galon]]*Tabla54814[[#This Row],[Horas mes]])</f>
        <v>1400000</v>
      </c>
      <c r="R42" s="168">
        <f>IF(Tabla54814[[#This Row],[Valor mensual + Combustible]]="","",Tabla54814[[#This Row],[Valor mensual + Combustible]]*Tabla54814[[#This Row],[Cantidad]])</f>
        <v>2800000</v>
      </c>
      <c r="U42" s="9" t="s">
        <v>499</v>
      </c>
      <c r="V42" s="10">
        <v>2</v>
      </c>
      <c r="W42" s="165">
        <f>IF(Tabla55117[[#This Row],[Equipo ]]="","",INDEX(V_MENSUAL,MATCH(Tabla55117[[#This Row],[Equipo ]],LISTA_MAQUINARIA,0)))</f>
        <v>1400000</v>
      </c>
      <c r="X42" s="12">
        <f>IF(Tabla55117[[#This Row],[Equipo ]]="","",INDEX(CONSUMO_COMBUSTIBLE_H,MATCH(Tabla55117[[#This Row],[Equipo ]],LISTA_MAQUINARIA,0)))</f>
        <v>0</v>
      </c>
      <c r="Y42" s="166">
        <f>IF(Tabla55117[[#This Row],[Equipo ]]="","",INDEX(V_GALON,MATCH(Tabla55117[[#This Row],[Equipo ]],LISTA_MAQUINARIA,0)))</f>
        <v>10800</v>
      </c>
      <c r="Z42" s="10"/>
      <c r="AA42" s="165">
        <f>IF(Tabla55117[[#This Row],[Equipo ]]="","",Tabla55117[[#This Row],[Valor mensual]]+Tabla55117[[#This Row],[Combustible Hora ]]*Tabla55117[[#This Row],[Valor galon]]*Tabla55117[[#This Row],[Horas mes]])</f>
        <v>1400000</v>
      </c>
      <c r="AB42" s="168">
        <f>IF(Tabla55117[[#This Row],[Valor mensual + Combustible]]="","",Tabla55117[[#This Row],[Valor mensual + Combustible]]*Tabla55117[[#This Row],[Cantidad]])</f>
        <v>2800000</v>
      </c>
      <c r="AD42" s="9" t="s">
        <v>499</v>
      </c>
      <c r="AE42" s="10">
        <v>2</v>
      </c>
      <c r="AF42" s="165">
        <f>IF(Tabla55420[[#This Row],[Equipo ]]="","",INDEX(V_MENSUAL,MATCH(Tabla55420[[#This Row],[Equipo ]],LISTA_MAQUINARIA,0)))</f>
        <v>1400000</v>
      </c>
      <c r="AG42" s="12">
        <f>IF(Tabla55420[[#This Row],[Equipo ]]="","",INDEX(CONSUMO_COMBUSTIBLE_H,MATCH(Tabla55420[[#This Row],[Equipo ]],LISTA_MAQUINARIA,0)))</f>
        <v>0</v>
      </c>
      <c r="AH42" s="166">
        <f>IF(Tabla55420[[#This Row],[Equipo ]]="","",INDEX(V_GALON,MATCH(Tabla55420[[#This Row],[Equipo ]],LISTA_MAQUINARIA,0)))</f>
        <v>10800</v>
      </c>
      <c r="AI42" s="10"/>
      <c r="AJ42" s="165">
        <f>IF(Tabla55420[[#This Row],[Equipo ]]="","",Tabla55420[[#This Row],[Valor mensual]]+Tabla55420[[#This Row],[Combustible Hora ]]*Tabla55420[[#This Row],[Valor galon]]*Tabla55420[[#This Row],[Horas mes]])</f>
        <v>1400000</v>
      </c>
      <c r="AK42" s="168">
        <f>IF(Tabla55420[[#This Row],[Valor mensual + Combustible]]="","",Tabla55420[[#This Row],[Valor mensual + Combustible]]*Tabla55420[[#This Row],[Cantidad]])</f>
        <v>2800000</v>
      </c>
      <c r="AN42" s="9"/>
      <c r="AO42" s="10"/>
      <c r="AP42" s="165" t="str">
        <f>IF(Tabla55724[[#This Row],[Equipo ]]="","",INDEX(V_MENSUAL,MATCH(Tabla55724[[#This Row],[Equipo ]],LISTA_MAQUINARIA,0)))</f>
        <v/>
      </c>
      <c r="AQ42" s="12" t="str">
        <f>IF(Tabla55724[[#This Row],[Equipo ]]="","",INDEX(CONSUMO_COMBUSTIBLE_H,MATCH(Tabla55724[[#This Row],[Equipo ]],LISTA_MAQUINARIA,0)))</f>
        <v/>
      </c>
      <c r="AR42" s="166" t="str">
        <f>IF(Tabla55724[[#This Row],[Equipo ]]="","",INDEX(V_GALON,MATCH(Tabla55724[[#This Row],[Equipo ]],LISTA_MAQUINARIA,0)))</f>
        <v/>
      </c>
      <c r="AS42" s="10"/>
      <c r="AT42" s="165" t="str">
        <f>IF(Tabla55724[[#This Row],[Equipo ]]="","",Tabla55724[[#This Row],[Valor mensual]]+Tabla55724[[#This Row],[Combustible Hora ]]*Tabla55724[[#This Row],[Valor galon]]*Tabla55724[[#This Row],[Horas mes]])</f>
        <v/>
      </c>
      <c r="AU42" s="168" t="str">
        <f>IF(Tabla55724[[#This Row],[Valor mensual + Combustible]]="","",Tabla55724[[#This Row],[Valor mensual + Combustible]]*Tabla55724[[#This Row],[Cantidad]])</f>
        <v/>
      </c>
      <c r="AX42" s="9"/>
      <c r="AY42" s="10"/>
      <c r="AZ42" s="165" t="str">
        <f>IF(Tabla560121[[#This Row],[Equipo ]]="","",INDEX(V_MENSUAL,MATCH(Tabla560121[[#This Row],[Equipo ]],LISTA_MAQUINARIA,0)))</f>
        <v/>
      </c>
      <c r="BA42" s="12" t="str">
        <f>IF(Tabla560121[[#This Row],[Equipo ]]="","",INDEX(CONSUMO_COMBUSTIBLE_H,MATCH(Tabla560121[[#This Row],[Equipo ]],LISTA_MAQUINARIA,0)))</f>
        <v/>
      </c>
      <c r="BB42" s="166" t="str">
        <f>IF(Tabla560121[[#This Row],[Equipo ]]="","",INDEX(V_GALON,MATCH(Tabla560121[[#This Row],[Equipo ]],LISTA_MAQUINARIA,0)))</f>
        <v/>
      </c>
      <c r="BC42" s="10"/>
      <c r="BD42" s="165" t="str">
        <f>IF(Tabla560121[[#This Row],[Equipo ]]="","",Tabla560121[[#This Row],[Valor mensual]]+Tabla560121[[#This Row],[Combustible Hora ]]*Tabla560121[[#This Row],[Valor galon]]*Tabla560121[[#This Row],[Horas mes]])</f>
        <v/>
      </c>
      <c r="BE42" s="168" t="str">
        <f>IF(Tabla560121[[#This Row],[Valor mensual + Combustible]]="","",Tabla560121[[#This Row],[Valor mensual + Combustible]]*Tabla560121[[#This Row],[Cantidad]])</f>
        <v/>
      </c>
      <c r="BH42" s="9"/>
      <c r="BI42" s="10"/>
      <c r="BJ42" s="165" t="str">
        <f>IF(Tabla563164[[#This Row],[Equipo ]]="","",INDEX(V_MENSUAL,MATCH(Tabla563164[[#This Row],[Equipo ]],LISTA_MAQUINARIA,0)))</f>
        <v/>
      </c>
      <c r="BK42" s="12" t="str">
        <f>IF(Tabla563164[[#This Row],[Equipo ]]="","",INDEX(CONSUMO_COMBUSTIBLE_H,MATCH(Tabla563164[[#This Row],[Equipo ]],LISTA_MAQUINARIA,0)))</f>
        <v/>
      </c>
      <c r="BL42" s="166" t="str">
        <f>IF(Tabla563164[[#This Row],[Equipo ]]="","",INDEX(V_GALON,MATCH(Tabla563164[[#This Row],[Equipo ]],LISTA_MAQUINARIA,0)))</f>
        <v/>
      </c>
      <c r="BM42" s="10"/>
      <c r="BN42" s="165" t="str">
        <f>IF(Tabla563164[[#This Row],[Equipo ]]="","",Tabla563164[[#This Row],[Valor mensual]]+Tabla563164[[#This Row],[Combustible Hora ]]*Tabla563164[[#This Row],[Valor galon]]*Tabla563164[[#This Row],[Horas mes]])</f>
        <v/>
      </c>
      <c r="BO42" s="168" t="str">
        <f>IF(Tabla563164[[#This Row],[Valor mensual + Combustible]]="","",Tabla563164[[#This Row],[Valor mensual + Combustible]]*Tabla563164[[#This Row],[Cantidad]])</f>
        <v/>
      </c>
      <c r="BR42" s="9"/>
      <c r="BS42" s="10"/>
      <c r="BT42" s="165" t="str">
        <f>IF(Tabla566167[[#This Row],[Equipo ]]="","",INDEX(V_MENSUAL,MATCH(Tabla566167[[#This Row],[Equipo ]],LISTA_MAQUINARIA,0)))</f>
        <v/>
      </c>
      <c r="BU42" s="12" t="str">
        <f>IF(Tabla566167[[#This Row],[Equipo ]]="","",INDEX(CONSUMO_COMBUSTIBLE_H,MATCH(Tabla566167[[#This Row],[Equipo ]],LISTA_MAQUINARIA,0)))</f>
        <v/>
      </c>
      <c r="BV42" s="166" t="str">
        <f>IF(Tabla566167[[#This Row],[Equipo ]]="","",INDEX(V_GALON,MATCH(Tabla566167[[#This Row],[Equipo ]],LISTA_MAQUINARIA,0)))</f>
        <v/>
      </c>
      <c r="BW42" s="10"/>
      <c r="BX42" s="165" t="str">
        <f>IF(Tabla566167[[#This Row],[Equipo ]]="","",Tabla566167[[#This Row],[Valor mensual]]+Tabla566167[[#This Row],[Combustible Hora ]]*Tabla566167[[#This Row],[Valor galon]]*Tabla566167[[#This Row],[Horas mes]])</f>
        <v/>
      </c>
      <c r="BY42" s="168" t="str">
        <f>IF(Tabla566167[[#This Row],[Valor mensual + Combustible]]="","",Tabla566167[[#This Row],[Valor mensual + Combustible]]*Tabla566167[[#This Row],[Cantidad]])</f>
        <v/>
      </c>
      <c r="CB42" s="9"/>
      <c r="CC42" s="10"/>
      <c r="CD42" s="165" t="str">
        <f>IF(Tabla569170[[#This Row],[Equipo ]]="","",INDEX(V_MENSUAL,MATCH(Tabla569170[[#This Row],[Equipo ]],LISTA_MAQUINARIA,0)))</f>
        <v/>
      </c>
      <c r="CE42" s="12" t="str">
        <f>IF(Tabla569170[[#This Row],[Equipo ]]="","",INDEX(CONSUMO_COMBUSTIBLE_H,MATCH(Tabla569170[[#This Row],[Equipo ]],LISTA_MAQUINARIA,0)))</f>
        <v/>
      </c>
      <c r="CF42" s="166" t="str">
        <f>IF(Tabla569170[[#This Row],[Equipo ]]="","",INDEX(V_GALON,MATCH(Tabla569170[[#This Row],[Equipo ]],LISTA_MAQUINARIA,0)))</f>
        <v/>
      </c>
      <c r="CG42" s="10"/>
      <c r="CH42" s="165" t="str">
        <f>IF(Tabla569170[[#This Row],[Equipo ]]="","",Tabla569170[[#This Row],[Valor mensual]]+Tabla569170[[#This Row],[Combustible Hora ]]*Tabla569170[[#This Row],[Valor galon]]*Tabla569170[[#This Row],[Horas mes]])</f>
        <v/>
      </c>
      <c r="CI42" s="168" t="str">
        <f>IF(Tabla569170[[#This Row],[Valor mensual + Combustible]]="","",Tabla569170[[#This Row],[Valor mensual + Combustible]]*Tabla569170[[#This Row],[Cantidad]])</f>
        <v/>
      </c>
      <c r="CL42" s="9"/>
      <c r="CM42" s="10"/>
      <c r="CN42" s="165" t="str">
        <f>IF(Tabla572173[[#This Row],[Equipo ]]="","",INDEX(V_MENSUAL,MATCH(Tabla572173[[#This Row],[Equipo ]],LISTA_MAQUINARIA,0)))</f>
        <v/>
      </c>
      <c r="CO42" s="12" t="str">
        <f>IF(Tabla572173[[#This Row],[Equipo ]]="","",INDEX(CONSUMO_COMBUSTIBLE_H,MATCH(Tabla572173[[#This Row],[Equipo ]],LISTA_MAQUINARIA,0)))</f>
        <v/>
      </c>
      <c r="CP42" s="166" t="str">
        <f>IF(Tabla572173[[#This Row],[Equipo ]]="","",INDEX(V_GALON,MATCH(Tabla572173[[#This Row],[Equipo ]],LISTA_MAQUINARIA,0)))</f>
        <v/>
      </c>
      <c r="CQ42" s="10"/>
      <c r="CR42" s="165" t="str">
        <f>IF(Tabla572173[[#This Row],[Equipo ]]="","",Tabla572173[[#This Row],[Valor mensual]]+Tabla572173[[#This Row],[Combustible Hora ]]*Tabla572173[[#This Row],[Valor galon]]*Tabla572173[[#This Row],[Horas mes]])</f>
        <v/>
      </c>
      <c r="CS42" s="168" t="str">
        <f>IF(Tabla572173[[#This Row],[Valor mensual + Combustible]]="","",Tabla572173[[#This Row],[Valor mensual + Combustible]]*Tabla572173[[#This Row],[Cantidad]])</f>
        <v/>
      </c>
      <c r="CV42" s="9"/>
      <c r="CW42" s="10"/>
      <c r="CX42" s="165" t="str">
        <f>IF(Tabla575176[[#This Row],[Equipo ]]="","",INDEX(V_MENSUAL,MATCH(Tabla575176[[#This Row],[Equipo ]],LISTA_MAQUINARIA,0)))</f>
        <v/>
      </c>
      <c r="CY42" s="12" t="str">
        <f>IF(Tabla575176[[#This Row],[Equipo ]]="","",INDEX(CONSUMO_COMBUSTIBLE_H,MATCH(Tabla575176[[#This Row],[Equipo ]],LISTA_MAQUINARIA,0)))</f>
        <v/>
      </c>
      <c r="CZ42" s="166" t="str">
        <f>IF(Tabla575176[[#This Row],[Equipo ]]="","",INDEX(V_GALON,MATCH(Tabla575176[[#This Row],[Equipo ]],LISTA_MAQUINARIA,0)))</f>
        <v/>
      </c>
      <c r="DA42" s="10"/>
      <c r="DB42" s="165" t="str">
        <f>IF(Tabla575176[[#This Row],[Equipo ]]="","",Tabla575176[[#This Row],[Valor mensual]]+Tabla575176[[#This Row],[Combustible Hora ]]*Tabla575176[[#This Row],[Valor galon]]*Tabla575176[[#This Row],[Horas mes]])</f>
        <v/>
      </c>
      <c r="DC42" s="168" t="str">
        <f>IF(Tabla575176[[#This Row],[Valor mensual + Combustible]]="","",Tabla575176[[#This Row],[Valor mensual + Combustible]]*Tabla575176[[#This Row],[Cantidad]])</f>
        <v/>
      </c>
      <c r="DF42" s="9"/>
      <c r="DG42" s="10"/>
      <c r="DH42" s="165" t="str">
        <f>IF(Tabla578179[[#This Row],[Equipo ]]="","",INDEX(V_MENSUAL,MATCH(Tabla578179[[#This Row],[Equipo ]],LISTA_MAQUINARIA,0)))</f>
        <v/>
      </c>
      <c r="DI42" s="12" t="str">
        <f>IF(Tabla578179[[#This Row],[Equipo ]]="","",INDEX(CONSUMO_COMBUSTIBLE_H,MATCH(Tabla578179[[#This Row],[Equipo ]],LISTA_MAQUINARIA,0)))</f>
        <v/>
      </c>
      <c r="DJ42" s="166" t="str">
        <f>IF(Tabla578179[[#This Row],[Equipo ]]="","",INDEX(V_GALON,MATCH(Tabla578179[[#This Row],[Equipo ]],LISTA_MAQUINARIA,0)))</f>
        <v/>
      </c>
      <c r="DK42" s="10"/>
      <c r="DL42" s="165" t="str">
        <f>IF(Tabla578179[[#This Row],[Equipo ]]="","",Tabla578179[[#This Row],[Valor mensual]]+Tabla578179[[#This Row],[Combustible Hora ]]*Tabla578179[[#This Row],[Valor galon]]*Tabla578179[[#This Row],[Horas mes]])</f>
        <v/>
      </c>
      <c r="DM42" s="168" t="str">
        <f>IF(Tabla578179[[#This Row],[Valor mensual + Combustible]]="","",Tabla578179[[#This Row],[Valor mensual + Combustible]]*Tabla578179[[#This Row],[Cantidad]])</f>
        <v/>
      </c>
      <c r="DP42" s="9"/>
      <c r="DQ42" s="10"/>
      <c r="DR42" s="165" t="str">
        <f>IF(Tabla581182[[#This Row],[Equipo ]]="","",INDEX(V_MENSUAL,MATCH(Tabla581182[[#This Row],[Equipo ]],LISTA_MAQUINARIA,0)))</f>
        <v/>
      </c>
      <c r="DS42" s="12" t="str">
        <f>IF(Tabla581182[[#This Row],[Equipo ]]="","",INDEX(CONSUMO_COMBUSTIBLE_H,MATCH(Tabla581182[[#This Row],[Equipo ]],LISTA_MAQUINARIA,0)))</f>
        <v/>
      </c>
      <c r="DT42" s="166" t="str">
        <f>IF(Tabla581182[[#This Row],[Equipo ]]="","",INDEX(V_GALON,MATCH(Tabla581182[[#This Row],[Equipo ]],LISTA_MAQUINARIA,0)))</f>
        <v/>
      </c>
      <c r="DU42" s="10"/>
      <c r="DV42" s="165" t="str">
        <f>IF(Tabla581182[[#This Row],[Equipo ]]="","",Tabla581182[[#This Row],[Valor mensual]]+Tabla581182[[#This Row],[Combustible Hora ]]*Tabla581182[[#This Row],[Valor galon]]*Tabla581182[[#This Row],[Horas mes]])</f>
        <v/>
      </c>
      <c r="DW42" s="168" t="str">
        <f>IF(Tabla581182[[#This Row],[Valor mensual + Combustible]]="","",Tabla581182[[#This Row],[Valor mensual + Combustible]]*Tabla581182[[#This Row],[Cantidad]])</f>
        <v/>
      </c>
      <c r="DZ42" s="9"/>
      <c r="EA42" s="10"/>
      <c r="EB42" s="165" t="str">
        <f>IF(Tabla584185[[#This Row],[Equipo ]]="","",INDEX(V_MENSUAL,MATCH(Tabla584185[[#This Row],[Equipo ]],LISTA_MAQUINARIA,0)))</f>
        <v/>
      </c>
      <c r="EC42" s="12" t="str">
        <f>IF(Tabla584185[[#This Row],[Equipo ]]="","",INDEX(CONSUMO_COMBUSTIBLE_H,MATCH(Tabla584185[[#This Row],[Equipo ]],LISTA_MAQUINARIA,0)))</f>
        <v/>
      </c>
      <c r="ED42" s="166" t="str">
        <f>IF(Tabla584185[[#This Row],[Equipo ]]="","",INDEX(V_GALON,MATCH(Tabla584185[[#This Row],[Equipo ]],LISTA_MAQUINARIA,0)))</f>
        <v/>
      </c>
      <c r="EE42" s="10"/>
      <c r="EF42" s="165" t="str">
        <f>IF(Tabla584185[[#This Row],[Equipo ]]="","",Tabla584185[[#This Row],[Valor mensual]]+Tabla584185[[#This Row],[Combustible Hora ]]*Tabla584185[[#This Row],[Valor galon]]*Tabla584185[[#This Row],[Horas mes]])</f>
        <v/>
      </c>
      <c r="EG42" s="168" t="str">
        <f>IF(Tabla584185[[#This Row],[Valor mensual + Combustible]]="","",Tabla584185[[#This Row],[Valor mensual + Combustible]]*Tabla584185[[#This Row],[Cantidad]])</f>
        <v/>
      </c>
      <c r="EJ42" s="9"/>
      <c r="EK42" s="10"/>
      <c r="EL42" s="165" t="str">
        <f>IF(Tabla587188[[#This Row],[Equipo ]]="","",INDEX(V_MENSUAL,MATCH(Tabla587188[[#This Row],[Equipo ]],LISTA_MAQUINARIA,0)))</f>
        <v/>
      </c>
      <c r="EM42" s="12" t="str">
        <f>IF(Tabla587188[[#This Row],[Equipo ]]="","",INDEX(CONSUMO_COMBUSTIBLE_H,MATCH(Tabla587188[[#This Row],[Equipo ]],LISTA_MAQUINARIA,0)))</f>
        <v/>
      </c>
      <c r="EN42" s="166" t="str">
        <f>IF(Tabla587188[[#This Row],[Equipo ]]="","",INDEX(V_GALON,MATCH(Tabla587188[[#This Row],[Equipo ]],LISTA_MAQUINARIA,0)))</f>
        <v/>
      </c>
      <c r="EO42" s="10"/>
      <c r="EP42" s="165" t="str">
        <f>IF(Tabla587188[[#This Row],[Equipo ]]="","",Tabla587188[[#This Row],[Valor mensual]]+Tabla587188[[#This Row],[Combustible Hora ]]*Tabla587188[[#This Row],[Valor galon]]*Tabla587188[[#This Row],[Horas mes]])</f>
        <v/>
      </c>
      <c r="EQ42" s="168" t="str">
        <f>IF(Tabla587188[[#This Row],[Valor mensual + Combustible]]="","",Tabla587188[[#This Row],[Valor mensual + Combustible]]*Tabla587188[[#This Row],[Cantidad]])</f>
        <v/>
      </c>
      <c r="ET42" s="9"/>
      <c r="EU42" s="10"/>
      <c r="EV42" s="165" t="str">
        <f>IF(Tabla590191[[#This Row],[Equipo ]]="","",INDEX(V_MENSUAL,MATCH(Tabla590191[[#This Row],[Equipo ]],LISTA_MAQUINARIA,0)))</f>
        <v/>
      </c>
      <c r="EW42" s="12" t="str">
        <f>IF(Tabla590191[[#This Row],[Equipo ]]="","",INDEX(CONSUMO_COMBUSTIBLE_H,MATCH(Tabla590191[[#This Row],[Equipo ]],LISTA_MAQUINARIA,0)))</f>
        <v/>
      </c>
      <c r="EX42" s="166" t="str">
        <f>IF(Tabla590191[[#This Row],[Equipo ]]="","",INDEX(V_GALON,MATCH(Tabla590191[[#This Row],[Equipo ]],LISTA_MAQUINARIA,0)))</f>
        <v/>
      </c>
      <c r="EY42" s="10"/>
      <c r="EZ42" s="165" t="str">
        <f>IF(Tabla590191[[#This Row],[Equipo ]]="","",Tabla590191[[#This Row],[Valor mensual]]+Tabla590191[[#This Row],[Combustible Hora ]]*Tabla590191[[#This Row],[Valor galon]]*Tabla590191[[#This Row],[Horas mes]])</f>
        <v/>
      </c>
      <c r="FA42" s="168" t="str">
        <f>IF(Tabla590191[[#This Row],[Valor mensual + Combustible]]="","",Tabla590191[[#This Row],[Valor mensual + Combustible]]*Tabla590191[[#This Row],[Cantidad]])</f>
        <v/>
      </c>
      <c r="FD42" s="9"/>
      <c r="FE42" s="10"/>
      <c r="FF42" s="165" t="str">
        <f>IF(Tabla593194[[#This Row],[Equipo ]]="","",INDEX(V_MENSUAL,MATCH(Tabla593194[[#This Row],[Equipo ]],LISTA_MAQUINARIA,0)))</f>
        <v/>
      </c>
      <c r="FG42" s="12" t="str">
        <f>IF(Tabla593194[[#This Row],[Equipo ]]="","",INDEX(CONSUMO_COMBUSTIBLE_H,MATCH(Tabla593194[[#This Row],[Equipo ]],LISTA_MAQUINARIA,0)))</f>
        <v/>
      </c>
      <c r="FH42" s="166" t="str">
        <f>IF(Tabla593194[[#This Row],[Equipo ]]="","",INDEX(V_GALON,MATCH(Tabla593194[[#This Row],[Equipo ]],LISTA_MAQUINARIA,0)))</f>
        <v/>
      </c>
      <c r="FI42" s="10"/>
      <c r="FJ42" s="165" t="str">
        <f>IF(Tabla593194[[#This Row],[Equipo ]]="","",Tabla593194[[#This Row],[Valor mensual]]+Tabla593194[[#This Row],[Combustible Hora ]]*Tabla593194[[#This Row],[Valor galon]]*Tabla593194[[#This Row],[Horas mes]])</f>
        <v/>
      </c>
      <c r="FK42" s="168" t="str">
        <f>IF(Tabla593194[[#This Row],[Valor mensual + Combustible]]="","",Tabla593194[[#This Row],[Valor mensual + Combustible]]*Tabla593194[[#This Row],[Cantidad]])</f>
        <v/>
      </c>
      <c r="FN42" s="9"/>
      <c r="FO42" s="10"/>
      <c r="FP42" s="165" t="str">
        <f>IF(Tabla596197[[#This Row],[Equipo ]]="","",INDEX(V_MENSUAL,MATCH(Tabla596197[[#This Row],[Equipo ]],LISTA_MAQUINARIA,0)))</f>
        <v/>
      </c>
      <c r="FQ42" s="12" t="str">
        <f>IF(Tabla596197[[#This Row],[Equipo ]]="","",INDEX(CONSUMO_COMBUSTIBLE_H,MATCH(Tabla596197[[#This Row],[Equipo ]],LISTA_MAQUINARIA,0)))</f>
        <v/>
      </c>
      <c r="FR42" s="166" t="str">
        <f>IF(Tabla596197[[#This Row],[Equipo ]]="","",INDEX(V_GALON,MATCH(Tabla596197[[#This Row],[Equipo ]],LISTA_MAQUINARIA,0)))</f>
        <v/>
      </c>
      <c r="FS42" s="10"/>
      <c r="FT42" s="165" t="str">
        <f>IF(Tabla596197[[#This Row],[Equipo ]]="","",Tabla596197[[#This Row],[Valor mensual]]+Tabla596197[[#This Row],[Combustible Hora ]]*Tabla596197[[#This Row],[Valor galon]]*Tabla596197[[#This Row],[Horas mes]])</f>
        <v/>
      </c>
      <c r="FU42" s="168" t="str">
        <f>IF(Tabla596197[[#This Row],[Valor mensual + Combustible]]="","",Tabla596197[[#This Row],[Valor mensual + Combustible]]*Tabla596197[[#This Row],[Cantidad]])</f>
        <v/>
      </c>
    </row>
    <row r="43" spans="1:177" x14ac:dyDescent="0.3">
      <c r="A43" s="9" t="s">
        <v>500</v>
      </c>
      <c r="B43" s="10">
        <v>1</v>
      </c>
      <c r="C43" s="165">
        <f>IF(Tabla511[[#This Row],[Equipo ]]="","",INDEX(V_MENSUAL,MATCH(Tabla511[[#This Row],[Equipo ]],LISTA_MAQUINARIA,0)))</f>
        <v>900000</v>
      </c>
      <c r="D43" s="12">
        <f>IF(Tabla511[[#This Row],[Equipo ]]="","",INDEX(CONSUMO_COMBUSTIBLE_H,MATCH(Tabla511[[#This Row],[Equipo ]],LISTA_MAQUINARIA,0)))</f>
        <v>0</v>
      </c>
      <c r="E43" s="166">
        <f>IF(Tabla511[[#This Row],[Equipo ]]="","",INDEX(V_GALON,MATCH(Tabla511[[#This Row],[Equipo ]],LISTA_MAQUINARIA,0)))</f>
        <v>10800</v>
      </c>
      <c r="F43" s="10"/>
      <c r="G43" s="165">
        <f>IF(Tabla511[[#This Row],[Equipo ]]="","",Tabla511[[#This Row],[Valor mensual]]+Tabla511[[#This Row],[Combustible Hora ]]*Tabla511[[#This Row],[Valor galon]]*Tabla511[[#This Row],[Horas mes]])</f>
        <v>900000</v>
      </c>
      <c r="H43" s="168">
        <f>IF(Tabla511[[#This Row],[Valor mensual + Combustible]]="","",Tabla511[[#This Row],[Valor mensual + Combustible]]*Tabla511[[#This Row],[Cantidad]])</f>
        <v>900000</v>
      </c>
      <c r="K43" s="9" t="s">
        <v>500</v>
      </c>
      <c r="L43" s="10">
        <v>1</v>
      </c>
      <c r="M43" s="165" cm="1">
        <f t="array" ref="M43">IF(Tabla54814[[#This Row],[Equipo ]]="","",INDEX(V_MENSUAL,MATCH(Tabla54814[[#This Row],[Equipo ]],LISTA_MAQUINARIA,0)))</f>
        <v>900000</v>
      </c>
      <c r="N43" s="12">
        <f>IF(Tabla54814[[#This Row],[Equipo ]]="","",INDEX(CONSUMO_COMBUSTIBLE_H,MATCH(Tabla54814[[#This Row],[Equipo ]],LISTA_MAQUINARIA,0)))</f>
        <v>0</v>
      </c>
      <c r="O43" s="166">
        <f>IF(Tabla54814[[#This Row],[Equipo ]]="","",INDEX(V_GALON,MATCH(Tabla54814[[#This Row],[Equipo ]],LISTA_MAQUINARIA,0)))</f>
        <v>10800</v>
      </c>
      <c r="P43" s="10"/>
      <c r="Q43" s="165">
        <f>IF(Tabla54814[[#This Row],[Equipo ]]="","",Tabla54814[[#This Row],[Valor mensual]]+Tabla54814[[#This Row],[Combustible Hora ]]*Tabla54814[[#This Row],[Valor galon]]*Tabla54814[[#This Row],[Horas mes]])</f>
        <v>900000</v>
      </c>
      <c r="R43" s="168">
        <f>IF(Tabla54814[[#This Row],[Valor mensual + Combustible]]="","",Tabla54814[[#This Row],[Valor mensual + Combustible]]*Tabla54814[[#This Row],[Cantidad]])</f>
        <v>900000</v>
      </c>
      <c r="U43" s="9" t="s">
        <v>500</v>
      </c>
      <c r="V43" s="10">
        <v>1</v>
      </c>
      <c r="W43" s="165">
        <f>IF(Tabla55117[[#This Row],[Equipo ]]="","",INDEX(V_MENSUAL,MATCH(Tabla55117[[#This Row],[Equipo ]],LISTA_MAQUINARIA,0)))</f>
        <v>900000</v>
      </c>
      <c r="X43" s="12">
        <f>IF(Tabla55117[[#This Row],[Equipo ]]="","",INDEX(CONSUMO_COMBUSTIBLE_H,MATCH(Tabla55117[[#This Row],[Equipo ]],LISTA_MAQUINARIA,0)))</f>
        <v>0</v>
      </c>
      <c r="Y43" s="166">
        <f>IF(Tabla55117[[#This Row],[Equipo ]]="","",INDEX(V_GALON,MATCH(Tabla55117[[#This Row],[Equipo ]],LISTA_MAQUINARIA,0)))</f>
        <v>10800</v>
      </c>
      <c r="Z43" s="10"/>
      <c r="AA43" s="165">
        <f>IF(Tabla55117[[#This Row],[Equipo ]]="","",Tabla55117[[#This Row],[Valor mensual]]+Tabla55117[[#This Row],[Combustible Hora ]]*Tabla55117[[#This Row],[Valor galon]]*Tabla55117[[#This Row],[Horas mes]])</f>
        <v>900000</v>
      </c>
      <c r="AB43" s="168">
        <f>IF(Tabla55117[[#This Row],[Valor mensual + Combustible]]="","",Tabla55117[[#This Row],[Valor mensual + Combustible]]*Tabla55117[[#This Row],[Cantidad]])</f>
        <v>900000</v>
      </c>
      <c r="AD43" s="9" t="s">
        <v>500</v>
      </c>
      <c r="AE43" s="10">
        <v>1</v>
      </c>
      <c r="AF43" s="165">
        <f>IF(Tabla55420[[#This Row],[Equipo ]]="","",INDEX(V_MENSUAL,MATCH(Tabla55420[[#This Row],[Equipo ]],LISTA_MAQUINARIA,0)))</f>
        <v>900000</v>
      </c>
      <c r="AG43" s="12">
        <f>IF(Tabla55420[[#This Row],[Equipo ]]="","",INDEX(CONSUMO_COMBUSTIBLE_H,MATCH(Tabla55420[[#This Row],[Equipo ]],LISTA_MAQUINARIA,0)))</f>
        <v>0</v>
      </c>
      <c r="AH43" s="166">
        <f>IF(Tabla55420[[#This Row],[Equipo ]]="","",INDEX(V_GALON,MATCH(Tabla55420[[#This Row],[Equipo ]],LISTA_MAQUINARIA,0)))</f>
        <v>10800</v>
      </c>
      <c r="AI43" s="10"/>
      <c r="AJ43" s="165">
        <f>IF(Tabla55420[[#This Row],[Equipo ]]="","",Tabla55420[[#This Row],[Valor mensual]]+Tabla55420[[#This Row],[Combustible Hora ]]*Tabla55420[[#This Row],[Valor galon]]*Tabla55420[[#This Row],[Horas mes]])</f>
        <v>900000</v>
      </c>
      <c r="AK43" s="168">
        <f>IF(Tabla55420[[#This Row],[Valor mensual + Combustible]]="","",Tabla55420[[#This Row],[Valor mensual + Combustible]]*Tabla55420[[#This Row],[Cantidad]])</f>
        <v>900000</v>
      </c>
      <c r="AN43" s="9"/>
      <c r="AO43" s="10"/>
      <c r="AP43" s="165" t="str">
        <f>IF(Tabla55724[[#This Row],[Equipo ]]="","",INDEX(V_MENSUAL,MATCH(Tabla55724[[#This Row],[Equipo ]],LISTA_MAQUINARIA,0)))</f>
        <v/>
      </c>
      <c r="AQ43" s="12" t="str">
        <f>IF(Tabla55724[[#This Row],[Equipo ]]="","",INDEX(CONSUMO_COMBUSTIBLE_H,MATCH(Tabla55724[[#This Row],[Equipo ]],LISTA_MAQUINARIA,0)))</f>
        <v/>
      </c>
      <c r="AR43" s="166" t="str">
        <f>IF(Tabla55724[[#This Row],[Equipo ]]="","",INDEX(V_GALON,MATCH(Tabla55724[[#This Row],[Equipo ]],LISTA_MAQUINARIA,0)))</f>
        <v/>
      </c>
      <c r="AS43" s="10"/>
      <c r="AT43" s="165" t="str">
        <f>IF(Tabla55724[[#This Row],[Equipo ]]="","",Tabla55724[[#This Row],[Valor mensual]]+Tabla55724[[#This Row],[Combustible Hora ]]*Tabla55724[[#This Row],[Valor galon]]*Tabla55724[[#This Row],[Horas mes]])</f>
        <v/>
      </c>
      <c r="AU43" s="168" t="str">
        <f>IF(Tabla55724[[#This Row],[Valor mensual + Combustible]]="","",Tabla55724[[#This Row],[Valor mensual + Combustible]]*Tabla55724[[#This Row],[Cantidad]])</f>
        <v/>
      </c>
      <c r="AX43" s="9"/>
      <c r="AY43" s="10"/>
      <c r="AZ43" s="165" t="str">
        <f>IF(Tabla560121[[#This Row],[Equipo ]]="","",INDEX(V_MENSUAL,MATCH(Tabla560121[[#This Row],[Equipo ]],LISTA_MAQUINARIA,0)))</f>
        <v/>
      </c>
      <c r="BA43" s="12" t="str">
        <f>IF(Tabla560121[[#This Row],[Equipo ]]="","",INDEX(CONSUMO_COMBUSTIBLE_H,MATCH(Tabla560121[[#This Row],[Equipo ]],LISTA_MAQUINARIA,0)))</f>
        <v/>
      </c>
      <c r="BB43" s="166" t="str">
        <f>IF(Tabla560121[[#This Row],[Equipo ]]="","",INDEX(V_GALON,MATCH(Tabla560121[[#This Row],[Equipo ]],LISTA_MAQUINARIA,0)))</f>
        <v/>
      </c>
      <c r="BC43" s="10"/>
      <c r="BD43" s="165" t="str">
        <f>IF(Tabla560121[[#This Row],[Equipo ]]="","",Tabla560121[[#This Row],[Valor mensual]]+Tabla560121[[#This Row],[Combustible Hora ]]*Tabla560121[[#This Row],[Valor galon]]*Tabla560121[[#This Row],[Horas mes]])</f>
        <v/>
      </c>
      <c r="BE43" s="168" t="str">
        <f>IF(Tabla560121[[#This Row],[Valor mensual + Combustible]]="","",Tabla560121[[#This Row],[Valor mensual + Combustible]]*Tabla560121[[#This Row],[Cantidad]])</f>
        <v/>
      </c>
      <c r="BH43" s="9"/>
      <c r="BI43" s="10"/>
      <c r="BJ43" s="165" t="str">
        <f>IF(Tabla563164[[#This Row],[Equipo ]]="","",INDEX(V_MENSUAL,MATCH(Tabla563164[[#This Row],[Equipo ]],LISTA_MAQUINARIA,0)))</f>
        <v/>
      </c>
      <c r="BK43" s="12" t="str">
        <f>IF(Tabla563164[[#This Row],[Equipo ]]="","",INDEX(CONSUMO_COMBUSTIBLE_H,MATCH(Tabla563164[[#This Row],[Equipo ]],LISTA_MAQUINARIA,0)))</f>
        <v/>
      </c>
      <c r="BL43" s="166" t="str">
        <f>IF(Tabla563164[[#This Row],[Equipo ]]="","",INDEX(V_GALON,MATCH(Tabla563164[[#This Row],[Equipo ]],LISTA_MAQUINARIA,0)))</f>
        <v/>
      </c>
      <c r="BM43" s="10"/>
      <c r="BN43" s="165" t="str">
        <f>IF(Tabla563164[[#This Row],[Equipo ]]="","",Tabla563164[[#This Row],[Valor mensual]]+Tabla563164[[#This Row],[Combustible Hora ]]*Tabla563164[[#This Row],[Valor galon]]*Tabla563164[[#This Row],[Horas mes]])</f>
        <v/>
      </c>
      <c r="BO43" s="168" t="str">
        <f>IF(Tabla563164[[#This Row],[Valor mensual + Combustible]]="","",Tabla563164[[#This Row],[Valor mensual + Combustible]]*Tabla563164[[#This Row],[Cantidad]])</f>
        <v/>
      </c>
      <c r="BR43" s="9"/>
      <c r="BS43" s="10"/>
      <c r="BT43" s="165" t="str">
        <f>IF(Tabla566167[[#This Row],[Equipo ]]="","",INDEX(V_MENSUAL,MATCH(Tabla566167[[#This Row],[Equipo ]],LISTA_MAQUINARIA,0)))</f>
        <v/>
      </c>
      <c r="BU43" s="12" t="str">
        <f>IF(Tabla566167[[#This Row],[Equipo ]]="","",INDEX(CONSUMO_COMBUSTIBLE_H,MATCH(Tabla566167[[#This Row],[Equipo ]],LISTA_MAQUINARIA,0)))</f>
        <v/>
      </c>
      <c r="BV43" s="166" t="str">
        <f>IF(Tabla566167[[#This Row],[Equipo ]]="","",INDEX(V_GALON,MATCH(Tabla566167[[#This Row],[Equipo ]],LISTA_MAQUINARIA,0)))</f>
        <v/>
      </c>
      <c r="BW43" s="10"/>
      <c r="BX43" s="165" t="str">
        <f>IF(Tabla566167[[#This Row],[Equipo ]]="","",Tabla566167[[#This Row],[Valor mensual]]+Tabla566167[[#This Row],[Combustible Hora ]]*Tabla566167[[#This Row],[Valor galon]]*Tabla566167[[#This Row],[Horas mes]])</f>
        <v/>
      </c>
      <c r="BY43" s="168" t="str">
        <f>IF(Tabla566167[[#This Row],[Valor mensual + Combustible]]="","",Tabla566167[[#This Row],[Valor mensual + Combustible]]*Tabla566167[[#This Row],[Cantidad]])</f>
        <v/>
      </c>
      <c r="CB43" s="9"/>
      <c r="CC43" s="10"/>
      <c r="CD43" s="165" t="str">
        <f>IF(Tabla569170[[#This Row],[Equipo ]]="","",INDEX(V_MENSUAL,MATCH(Tabla569170[[#This Row],[Equipo ]],LISTA_MAQUINARIA,0)))</f>
        <v/>
      </c>
      <c r="CE43" s="12" t="str">
        <f>IF(Tabla569170[[#This Row],[Equipo ]]="","",INDEX(CONSUMO_COMBUSTIBLE_H,MATCH(Tabla569170[[#This Row],[Equipo ]],LISTA_MAQUINARIA,0)))</f>
        <v/>
      </c>
      <c r="CF43" s="166" t="str">
        <f>IF(Tabla569170[[#This Row],[Equipo ]]="","",INDEX(V_GALON,MATCH(Tabla569170[[#This Row],[Equipo ]],LISTA_MAQUINARIA,0)))</f>
        <v/>
      </c>
      <c r="CG43" s="10"/>
      <c r="CH43" s="165" t="str">
        <f>IF(Tabla569170[[#This Row],[Equipo ]]="","",Tabla569170[[#This Row],[Valor mensual]]+Tabla569170[[#This Row],[Combustible Hora ]]*Tabla569170[[#This Row],[Valor galon]]*Tabla569170[[#This Row],[Horas mes]])</f>
        <v/>
      </c>
      <c r="CI43" s="168" t="str">
        <f>IF(Tabla569170[[#This Row],[Valor mensual + Combustible]]="","",Tabla569170[[#This Row],[Valor mensual + Combustible]]*Tabla569170[[#This Row],[Cantidad]])</f>
        <v/>
      </c>
      <c r="CL43" s="9"/>
      <c r="CM43" s="10"/>
      <c r="CN43" s="165" t="str">
        <f>IF(Tabla572173[[#This Row],[Equipo ]]="","",INDEX(V_MENSUAL,MATCH(Tabla572173[[#This Row],[Equipo ]],LISTA_MAQUINARIA,0)))</f>
        <v/>
      </c>
      <c r="CO43" s="12" t="str">
        <f>IF(Tabla572173[[#This Row],[Equipo ]]="","",INDEX(CONSUMO_COMBUSTIBLE_H,MATCH(Tabla572173[[#This Row],[Equipo ]],LISTA_MAQUINARIA,0)))</f>
        <v/>
      </c>
      <c r="CP43" s="166" t="str">
        <f>IF(Tabla572173[[#This Row],[Equipo ]]="","",INDEX(V_GALON,MATCH(Tabla572173[[#This Row],[Equipo ]],LISTA_MAQUINARIA,0)))</f>
        <v/>
      </c>
      <c r="CQ43" s="10"/>
      <c r="CR43" s="165" t="str">
        <f>IF(Tabla572173[[#This Row],[Equipo ]]="","",Tabla572173[[#This Row],[Valor mensual]]+Tabla572173[[#This Row],[Combustible Hora ]]*Tabla572173[[#This Row],[Valor galon]]*Tabla572173[[#This Row],[Horas mes]])</f>
        <v/>
      </c>
      <c r="CS43" s="168" t="str">
        <f>IF(Tabla572173[[#This Row],[Valor mensual + Combustible]]="","",Tabla572173[[#This Row],[Valor mensual + Combustible]]*Tabla572173[[#This Row],[Cantidad]])</f>
        <v/>
      </c>
      <c r="CV43" s="9"/>
      <c r="CW43" s="10"/>
      <c r="CX43" s="165" t="str">
        <f>IF(Tabla575176[[#This Row],[Equipo ]]="","",INDEX(V_MENSUAL,MATCH(Tabla575176[[#This Row],[Equipo ]],LISTA_MAQUINARIA,0)))</f>
        <v/>
      </c>
      <c r="CY43" s="12" t="str">
        <f>IF(Tabla575176[[#This Row],[Equipo ]]="","",INDEX(CONSUMO_COMBUSTIBLE_H,MATCH(Tabla575176[[#This Row],[Equipo ]],LISTA_MAQUINARIA,0)))</f>
        <v/>
      </c>
      <c r="CZ43" s="166" t="str">
        <f>IF(Tabla575176[[#This Row],[Equipo ]]="","",INDEX(V_GALON,MATCH(Tabla575176[[#This Row],[Equipo ]],LISTA_MAQUINARIA,0)))</f>
        <v/>
      </c>
      <c r="DA43" s="10"/>
      <c r="DB43" s="165" t="str">
        <f>IF(Tabla575176[[#This Row],[Equipo ]]="","",Tabla575176[[#This Row],[Valor mensual]]+Tabla575176[[#This Row],[Combustible Hora ]]*Tabla575176[[#This Row],[Valor galon]]*Tabla575176[[#This Row],[Horas mes]])</f>
        <v/>
      </c>
      <c r="DC43" s="168" t="str">
        <f>IF(Tabla575176[[#This Row],[Valor mensual + Combustible]]="","",Tabla575176[[#This Row],[Valor mensual + Combustible]]*Tabla575176[[#This Row],[Cantidad]])</f>
        <v/>
      </c>
      <c r="DF43" s="9"/>
      <c r="DG43" s="10"/>
      <c r="DH43" s="165" t="str">
        <f>IF(Tabla578179[[#This Row],[Equipo ]]="","",INDEX(V_MENSUAL,MATCH(Tabla578179[[#This Row],[Equipo ]],LISTA_MAQUINARIA,0)))</f>
        <v/>
      </c>
      <c r="DI43" s="12" t="str">
        <f>IF(Tabla578179[[#This Row],[Equipo ]]="","",INDEX(CONSUMO_COMBUSTIBLE_H,MATCH(Tabla578179[[#This Row],[Equipo ]],LISTA_MAQUINARIA,0)))</f>
        <v/>
      </c>
      <c r="DJ43" s="166" t="str">
        <f>IF(Tabla578179[[#This Row],[Equipo ]]="","",INDEX(V_GALON,MATCH(Tabla578179[[#This Row],[Equipo ]],LISTA_MAQUINARIA,0)))</f>
        <v/>
      </c>
      <c r="DK43" s="10"/>
      <c r="DL43" s="165" t="str">
        <f>IF(Tabla578179[[#This Row],[Equipo ]]="","",Tabla578179[[#This Row],[Valor mensual]]+Tabla578179[[#This Row],[Combustible Hora ]]*Tabla578179[[#This Row],[Valor galon]]*Tabla578179[[#This Row],[Horas mes]])</f>
        <v/>
      </c>
      <c r="DM43" s="168" t="str">
        <f>IF(Tabla578179[[#This Row],[Valor mensual + Combustible]]="","",Tabla578179[[#This Row],[Valor mensual + Combustible]]*Tabla578179[[#This Row],[Cantidad]])</f>
        <v/>
      </c>
      <c r="DP43" s="9"/>
      <c r="DQ43" s="10"/>
      <c r="DR43" s="165" t="str">
        <f>IF(Tabla581182[[#This Row],[Equipo ]]="","",INDEX(V_MENSUAL,MATCH(Tabla581182[[#This Row],[Equipo ]],LISTA_MAQUINARIA,0)))</f>
        <v/>
      </c>
      <c r="DS43" s="12" t="str">
        <f>IF(Tabla581182[[#This Row],[Equipo ]]="","",INDEX(CONSUMO_COMBUSTIBLE_H,MATCH(Tabla581182[[#This Row],[Equipo ]],LISTA_MAQUINARIA,0)))</f>
        <v/>
      </c>
      <c r="DT43" s="166" t="str">
        <f>IF(Tabla581182[[#This Row],[Equipo ]]="","",INDEX(V_GALON,MATCH(Tabla581182[[#This Row],[Equipo ]],LISTA_MAQUINARIA,0)))</f>
        <v/>
      </c>
      <c r="DU43" s="10"/>
      <c r="DV43" s="165" t="str">
        <f>IF(Tabla581182[[#This Row],[Equipo ]]="","",Tabla581182[[#This Row],[Valor mensual]]+Tabla581182[[#This Row],[Combustible Hora ]]*Tabla581182[[#This Row],[Valor galon]]*Tabla581182[[#This Row],[Horas mes]])</f>
        <v/>
      </c>
      <c r="DW43" s="168" t="str">
        <f>IF(Tabla581182[[#This Row],[Valor mensual + Combustible]]="","",Tabla581182[[#This Row],[Valor mensual + Combustible]]*Tabla581182[[#This Row],[Cantidad]])</f>
        <v/>
      </c>
      <c r="DZ43" s="9"/>
      <c r="EA43" s="10"/>
      <c r="EB43" s="165" t="str">
        <f>IF(Tabla584185[[#This Row],[Equipo ]]="","",INDEX(V_MENSUAL,MATCH(Tabla584185[[#This Row],[Equipo ]],LISTA_MAQUINARIA,0)))</f>
        <v/>
      </c>
      <c r="EC43" s="12" t="str">
        <f>IF(Tabla584185[[#This Row],[Equipo ]]="","",INDEX(CONSUMO_COMBUSTIBLE_H,MATCH(Tabla584185[[#This Row],[Equipo ]],LISTA_MAQUINARIA,0)))</f>
        <v/>
      </c>
      <c r="ED43" s="166" t="str">
        <f>IF(Tabla584185[[#This Row],[Equipo ]]="","",INDEX(V_GALON,MATCH(Tabla584185[[#This Row],[Equipo ]],LISTA_MAQUINARIA,0)))</f>
        <v/>
      </c>
      <c r="EE43" s="10"/>
      <c r="EF43" s="165" t="str">
        <f>IF(Tabla584185[[#This Row],[Equipo ]]="","",Tabla584185[[#This Row],[Valor mensual]]+Tabla584185[[#This Row],[Combustible Hora ]]*Tabla584185[[#This Row],[Valor galon]]*Tabla584185[[#This Row],[Horas mes]])</f>
        <v/>
      </c>
      <c r="EG43" s="168" t="str">
        <f>IF(Tabla584185[[#This Row],[Valor mensual + Combustible]]="","",Tabla584185[[#This Row],[Valor mensual + Combustible]]*Tabla584185[[#This Row],[Cantidad]])</f>
        <v/>
      </c>
      <c r="EJ43" s="9"/>
      <c r="EK43" s="10"/>
      <c r="EL43" s="165" t="str">
        <f>IF(Tabla587188[[#This Row],[Equipo ]]="","",INDEX(V_MENSUAL,MATCH(Tabla587188[[#This Row],[Equipo ]],LISTA_MAQUINARIA,0)))</f>
        <v/>
      </c>
      <c r="EM43" s="12" t="str">
        <f>IF(Tabla587188[[#This Row],[Equipo ]]="","",INDEX(CONSUMO_COMBUSTIBLE_H,MATCH(Tabla587188[[#This Row],[Equipo ]],LISTA_MAQUINARIA,0)))</f>
        <v/>
      </c>
      <c r="EN43" s="166" t="str">
        <f>IF(Tabla587188[[#This Row],[Equipo ]]="","",INDEX(V_GALON,MATCH(Tabla587188[[#This Row],[Equipo ]],LISTA_MAQUINARIA,0)))</f>
        <v/>
      </c>
      <c r="EO43" s="10"/>
      <c r="EP43" s="165" t="str">
        <f>IF(Tabla587188[[#This Row],[Equipo ]]="","",Tabla587188[[#This Row],[Valor mensual]]+Tabla587188[[#This Row],[Combustible Hora ]]*Tabla587188[[#This Row],[Valor galon]]*Tabla587188[[#This Row],[Horas mes]])</f>
        <v/>
      </c>
      <c r="EQ43" s="168" t="str">
        <f>IF(Tabla587188[[#This Row],[Valor mensual + Combustible]]="","",Tabla587188[[#This Row],[Valor mensual + Combustible]]*Tabla587188[[#This Row],[Cantidad]])</f>
        <v/>
      </c>
      <c r="ET43" s="9"/>
      <c r="EU43" s="10"/>
      <c r="EV43" s="165" t="str">
        <f>IF(Tabla590191[[#This Row],[Equipo ]]="","",INDEX(V_MENSUAL,MATCH(Tabla590191[[#This Row],[Equipo ]],LISTA_MAQUINARIA,0)))</f>
        <v/>
      </c>
      <c r="EW43" s="12" t="str">
        <f>IF(Tabla590191[[#This Row],[Equipo ]]="","",INDEX(CONSUMO_COMBUSTIBLE_H,MATCH(Tabla590191[[#This Row],[Equipo ]],LISTA_MAQUINARIA,0)))</f>
        <v/>
      </c>
      <c r="EX43" s="166" t="str">
        <f>IF(Tabla590191[[#This Row],[Equipo ]]="","",INDEX(V_GALON,MATCH(Tabla590191[[#This Row],[Equipo ]],LISTA_MAQUINARIA,0)))</f>
        <v/>
      </c>
      <c r="EY43" s="10"/>
      <c r="EZ43" s="165" t="str">
        <f>IF(Tabla590191[[#This Row],[Equipo ]]="","",Tabla590191[[#This Row],[Valor mensual]]+Tabla590191[[#This Row],[Combustible Hora ]]*Tabla590191[[#This Row],[Valor galon]]*Tabla590191[[#This Row],[Horas mes]])</f>
        <v/>
      </c>
      <c r="FA43" s="168" t="str">
        <f>IF(Tabla590191[[#This Row],[Valor mensual + Combustible]]="","",Tabla590191[[#This Row],[Valor mensual + Combustible]]*Tabla590191[[#This Row],[Cantidad]])</f>
        <v/>
      </c>
      <c r="FD43" s="9"/>
      <c r="FE43" s="10"/>
      <c r="FF43" s="165" t="str">
        <f>IF(Tabla593194[[#This Row],[Equipo ]]="","",INDEX(V_MENSUAL,MATCH(Tabla593194[[#This Row],[Equipo ]],LISTA_MAQUINARIA,0)))</f>
        <v/>
      </c>
      <c r="FG43" s="12" t="str">
        <f>IF(Tabla593194[[#This Row],[Equipo ]]="","",INDEX(CONSUMO_COMBUSTIBLE_H,MATCH(Tabla593194[[#This Row],[Equipo ]],LISTA_MAQUINARIA,0)))</f>
        <v/>
      </c>
      <c r="FH43" s="166" t="str">
        <f>IF(Tabla593194[[#This Row],[Equipo ]]="","",INDEX(V_GALON,MATCH(Tabla593194[[#This Row],[Equipo ]],LISTA_MAQUINARIA,0)))</f>
        <v/>
      </c>
      <c r="FI43" s="10"/>
      <c r="FJ43" s="165" t="str">
        <f>IF(Tabla593194[[#This Row],[Equipo ]]="","",Tabla593194[[#This Row],[Valor mensual]]+Tabla593194[[#This Row],[Combustible Hora ]]*Tabla593194[[#This Row],[Valor galon]]*Tabla593194[[#This Row],[Horas mes]])</f>
        <v/>
      </c>
      <c r="FK43" s="168" t="str">
        <f>IF(Tabla593194[[#This Row],[Valor mensual + Combustible]]="","",Tabla593194[[#This Row],[Valor mensual + Combustible]]*Tabla593194[[#This Row],[Cantidad]])</f>
        <v/>
      </c>
      <c r="FN43" s="9"/>
      <c r="FO43" s="10"/>
      <c r="FP43" s="165" t="str">
        <f>IF(Tabla596197[[#This Row],[Equipo ]]="","",INDEX(V_MENSUAL,MATCH(Tabla596197[[#This Row],[Equipo ]],LISTA_MAQUINARIA,0)))</f>
        <v/>
      </c>
      <c r="FQ43" s="12" t="str">
        <f>IF(Tabla596197[[#This Row],[Equipo ]]="","",INDEX(CONSUMO_COMBUSTIBLE_H,MATCH(Tabla596197[[#This Row],[Equipo ]],LISTA_MAQUINARIA,0)))</f>
        <v/>
      </c>
      <c r="FR43" s="166" t="str">
        <f>IF(Tabla596197[[#This Row],[Equipo ]]="","",INDEX(V_GALON,MATCH(Tabla596197[[#This Row],[Equipo ]],LISTA_MAQUINARIA,0)))</f>
        <v/>
      </c>
      <c r="FS43" s="10"/>
      <c r="FT43" s="165" t="str">
        <f>IF(Tabla596197[[#This Row],[Equipo ]]="","",Tabla596197[[#This Row],[Valor mensual]]+Tabla596197[[#This Row],[Combustible Hora ]]*Tabla596197[[#This Row],[Valor galon]]*Tabla596197[[#This Row],[Horas mes]])</f>
        <v/>
      </c>
      <c r="FU43" s="168" t="str">
        <f>IF(Tabla596197[[#This Row],[Valor mensual + Combustible]]="","",Tabla596197[[#This Row],[Valor mensual + Combustible]]*Tabla596197[[#This Row],[Cantidad]])</f>
        <v/>
      </c>
    </row>
    <row r="44" spans="1:177" x14ac:dyDescent="0.3">
      <c r="A44" s="9" t="s">
        <v>501</v>
      </c>
      <c r="B44" s="10">
        <v>1</v>
      </c>
      <c r="C44" s="165">
        <f>IF(Tabla511[[#This Row],[Equipo ]]="","",INDEX(V_MENSUAL,MATCH(Tabla511[[#This Row],[Equipo ]],LISTA_MAQUINARIA,0)))</f>
        <v>1000000</v>
      </c>
      <c r="D44" s="12">
        <f>IF(Tabla511[[#This Row],[Equipo ]]="","",INDEX(CONSUMO_COMBUSTIBLE_H,MATCH(Tabla511[[#This Row],[Equipo ]],LISTA_MAQUINARIA,0)))</f>
        <v>0</v>
      </c>
      <c r="E44" s="166">
        <f>IF(Tabla511[[#This Row],[Equipo ]]="","",INDEX(V_GALON,MATCH(Tabla511[[#This Row],[Equipo ]],LISTA_MAQUINARIA,0)))</f>
        <v>10800</v>
      </c>
      <c r="F44" s="10"/>
      <c r="G44" s="165">
        <f>IF(Tabla511[[#This Row],[Equipo ]]="","",Tabla511[[#This Row],[Valor mensual]]+Tabla511[[#This Row],[Combustible Hora ]]*Tabla511[[#This Row],[Valor galon]]*Tabla511[[#This Row],[Horas mes]])</f>
        <v>1000000</v>
      </c>
      <c r="H44" s="168">
        <f>IF(Tabla511[[#This Row],[Valor mensual + Combustible]]="","",Tabla511[[#This Row],[Valor mensual + Combustible]]*Tabla511[[#This Row],[Cantidad]])</f>
        <v>1000000</v>
      </c>
      <c r="K44" s="9" t="s">
        <v>501</v>
      </c>
      <c r="L44" s="10">
        <v>1</v>
      </c>
      <c r="M44" s="165" cm="1">
        <f t="array" ref="M44">IF(Tabla54814[[#This Row],[Equipo ]]="","",INDEX(V_MENSUAL,MATCH(Tabla54814[[#This Row],[Equipo ]],LISTA_MAQUINARIA,0)))</f>
        <v>1000000</v>
      </c>
      <c r="N44" s="12">
        <f>IF(Tabla54814[[#This Row],[Equipo ]]="","",INDEX(CONSUMO_COMBUSTIBLE_H,MATCH(Tabla54814[[#This Row],[Equipo ]],LISTA_MAQUINARIA,0)))</f>
        <v>0</v>
      </c>
      <c r="O44" s="166">
        <f>IF(Tabla54814[[#This Row],[Equipo ]]="","",INDEX(V_GALON,MATCH(Tabla54814[[#This Row],[Equipo ]],LISTA_MAQUINARIA,0)))</f>
        <v>10800</v>
      </c>
      <c r="P44" s="10"/>
      <c r="Q44" s="165">
        <f>IF(Tabla54814[[#This Row],[Equipo ]]="","",Tabla54814[[#This Row],[Valor mensual]]+Tabla54814[[#This Row],[Combustible Hora ]]*Tabla54814[[#This Row],[Valor galon]]*Tabla54814[[#This Row],[Horas mes]])</f>
        <v>1000000</v>
      </c>
      <c r="R44" s="168">
        <f>IF(Tabla54814[[#This Row],[Valor mensual + Combustible]]="","",Tabla54814[[#This Row],[Valor mensual + Combustible]]*Tabla54814[[#This Row],[Cantidad]])</f>
        <v>1000000</v>
      </c>
      <c r="U44" s="9" t="s">
        <v>501</v>
      </c>
      <c r="V44" s="10">
        <v>1</v>
      </c>
      <c r="W44" s="165">
        <f>IF(Tabla55117[[#This Row],[Equipo ]]="","",INDEX(V_MENSUAL,MATCH(Tabla55117[[#This Row],[Equipo ]],LISTA_MAQUINARIA,0)))</f>
        <v>1000000</v>
      </c>
      <c r="X44" s="12">
        <f>IF(Tabla55117[[#This Row],[Equipo ]]="","",INDEX(CONSUMO_COMBUSTIBLE_H,MATCH(Tabla55117[[#This Row],[Equipo ]],LISTA_MAQUINARIA,0)))</f>
        <v>0</v>
      </c>
      <c r="Y44" s="166">
        <f>IF(Tabla55117[[#This Row],[Equipo ]]="","",INDEX(V_GALON,MATCH(Tabla55117[[#This Row],[Equipo ]],LISTA_MAQUINARIA,0)))</f>
        <v>10800</v>
      </c>
      <c r="Z44" s="10"/>
      <c r="AA44" s="165">
        <f>IF(Tabla55117[[#This Row],[Equipo ]]="","",Tabla55117[[#This Row],[Valor mensual]]+Tabla55117[[#This Row],[Combustible Hora ]]*Tabla55117[[#This Row],[Valor galon]]*Tabla55117[[#This Row],[Horas mes]])</f>
        <v>1000000</v>
      </c>
      <c r="AB44" s="168">
        <f>IF(Tabla55117[[#This Row],[Valor mensual + Combustible]]="","",Tabla55117[[#This Row],[Valor mensual + Combustible]]*Tabla55117[[#This Row],[Cantidad]])</f>
        <v>1000000</v>
      </c>
      <c r="AD44" s="9" t="s">
        <v>501</v>
      </c>
      <c r="AE44" s="10">
        <v>1</v>
      </c>
      <c r="AF44" s="165">
        <f>IF(Tabla55420[[#This Row],[Equipo ]]="","",INDEX(V_MENSUAL,MATCH(Tabla55420[[#This Row],[Equipo ]],LISTA_MAQUINARIA,0)))</f>
        <v>1000000</v>
      </c>
      <c r="AG44" s="12">
        <f>IF(Tabla55420[[#This Row],[Equipo ]]="","",INDEX(CONSUMO_COMBUSTIBLE_H,MATCH(Tabla55420[[#This Row],[Equipo ]],LISTA_MAQUINARIA,0)))</f>
        <v>0</v>
      </c>
      <c r="AH44" s="166">
        <f>IF(Tabla55420[[#This Row],[Equipo ]]="","",INDEX(V_GALON,MATCH(Tabla55420[[#This Row],[Equipo ]],LISTA_MAQUINARIA,0)))</f>
        <v>10800</v>
      </c>
      <c r="AI44" s="10"/>
      <c r="AJ44" s="165">
        <f>IF(Tabla55420[[#This Row],[Equipo ]]="","",Tabla55420[[#This Row],[Valor mensual]]+Tabla55420[[#This Row],[Combustible Hora ]]*Tabla55420[[#This Row],[Valor galon]]*Tabla55420[[#This Row],[Horas mes]])</f>
        <v>1000000</v>
      </c>
      <c r="AK44" s="168">
        <f>IF(Tabla55420[[#This Row],[Valor mensual + Combustible]]="","",Tabla55420[[#This Row],[Valor mensual + Combustible]]*Tabla55420[[#This Row],[Cantidad]])</f>
        <v>1000000</v>
      </c>
      <c r="AN44" s="9"/>
      <c r="AO44" s="10"/>
      <c r="AP44" s="165" t="str">
        <f>IF(Tabla55724[[#This Row],[Equipo ]]="","",INDEX(V_MENSUAL,MATCH(Tabla55724[[#This Row],[Equipo ]],LISTA_MAQUINARIA,0)))</f>
        <v/>
      </c>
      <c r="AQ44" s="12" t="str">
        <f>IF(Tabla55724[[#This Row],[Equipo ]]="","",INDEX(CONSUMO_COMBUSTIBLE_H,MATCH(Tabla55724[[#This Row],[Equipo ]],LISTA_MAQUINARIA,0)))</f>
        <v/>
      </c>
      <c r="AR44" s="166" t="str">
        <f>IF(Tabla55724[[#This Row],[Equipo ]]="","",INDEX(V_GALON,MATCH(Tabla55724[[#This Row],[Equipo ]],LISTA_MAQUINARIA,0)))</f>
        <v/>
      </c>
      <c r="AS44" s="10"/>
      <c r="AT44" s="165" t="str">
        <f>IF(Tabla55724[[#This Row],[Equipo ]]="","",Tabla55724[[#This Row],[Valor mensual]]+Tabla55724[[#This Row],[Combustible Hora ]]*Tabla55724[[#This Row],[Valor galon]]*Tabla55724[[#This Row],[Horas mes]])</f>
        <v/>
      </c>
      <c r="AU44" s="168" t="str">
        <f>IF(Tabla55724[[#This Row],[Valor mensual + Combustible]]="","",Tabla55724[[#This Row],[Valor mensual + Combustible]]*Tabla55724[[#This Row],[Cantidad]])</f>
        <v/>
      </c>
      <c r="AX44" s="9"/>
      <c r="AY44" s="10"/>
      <c r="AZ44" s="165" t="str">
        <f>IF(Tabla560121[[#This Row],[Equipo ]]="","",INDEX(V_MENSUAL,MATCH(Tabla560121[[#This Row],[Equipo ]],LISTA_MAQUINARIA,0)))</f>
        <v/>
      </c>
      <c r="BA44" s="12" t="str">
        <f>IF(Tabla560121[[#This Row],[Equipo ]]="","",INDEX(CONSUMO_COMBUSTIBLE_H,MATCH(Tabla560121[[#This Row],[Equipo ]],LISTA_MAQUINARIA,0)))</f>
        <v/>
      </c>
      <c r="BB44" s="166" t="str">
        <f>IF(Tabla560121[[#This Row],[Equipo ]]="","",INDEX(V_GALON,MATCH(Tabla560121[[#This Row],[Equipo ]],LISTA_MAQUINARIA,0)))</f>
        <v/>
      </c>
      <c r="BC44" s="10"/>
      <c r="BD44" s="165" t="str">
        <f>IF(Tabla560121[[#This Row],[Equipo ]]="","",Tabla560121[[#This Row],[Valor mensual]]+Tabla560121[[#This Row],[Combustible Hora ]]*Tabla560121[[#This Row],[Valor galon]]*Tabla560121[[#This Row],[Horas mes]])</f>
        <v/>
      </c>
      <c r="BE44" s="168" t="str">
        <f>IF(Tabla560121[[#This Row],[Valor mensual + Combustible]]="","",Tabla560121[[#This Row],[Valor mensual + Combustible]]*Tabla560121[[#This Row],[Cantidad]])</f>
        <v/>
      </c>
      <c r="BH44" s="9"/>
      <c r="BI44" s="10"/>
      <c r="BJ44" s="165" t="str">
        <f>IF(Tabla563164[[#This Row],[Equipo ]]="","",INDEX(V_MENSUAL,MATCH(Tabla563164[[#This Row],[Equipo ]],LISTA_MAQUINARIA,0)))</f>
        <v/>
      </c>
      <c r="BK44" s="12" t="str">
        <f>IF(Tabla563164[[#This Row],[Equipo ]]="","",INDEX(CONSUMO_COMBUSTIBLE_H,MATCH(Tabla563164[[#This Row],[Equipo ]],LISTA_MAQUINARIA,0)))</f>
        <v/>
      </c>
      <c r="BL44" s="166" t="str">
        <f>IF(Tabla563164[[#This Row],[Equipo ]]="","",INDEX(V_GALON,MATCH(Tabla563164[[#This Row],[Equipo ]],LISTA_MAQUINARIA,0)))</f>
        <v/>
      </c>
      <c r="BM44" s="10"/>
      <c r="BN44" s="165" t="str">
        <f>IF(Tabla563164[[#This Row],[Equipo ]]="","",Tabla563164[[#This Row],[Valor mensual]]+Tabla563164[[#This Row],[Combustible Hora ]]*Tabla563164[[#This Row],[Valor galon]]*Tabla563164[[#This Row],[Horas mes]])</f>
        <v/>
      </c>
      <c r="BO44" s="168" t="str">
        <f>IF(Tabla563164[[#This Row],[Valor mensual + Combustible]]="","",Tabla563164[[#This Row],[Valor mensual + Combustible]]*Tabla563164[[#This Row],[Cantidad]])</f>
        <v/>
      </c>
      <c r="BR44" s="9"/>
      <c r="BS44" s="10"/>
      <c r="BT44" s="165" t="str">
        <f>IF(Tabla566167[[#This Row],[Equipo ]]="","",INDEX(V_MENSUAL,MATCH(Tabla566167[[#This Row],[Equipo ]],LISTA_MAQUINARIA,0)))</f>
        <v/>
      </c>
      <c r="BU44" s="12" t="str">
        <f>IF(Tabla566167[[#This Row],[Equipo ]]="","",INDEX(CONSUMO_COMBUSTIBLE_H,MATCH(Tabla566167[[#This Row],[Equipo ]],LISTA_MAQUINARIA,0)))</f>
        <v/>
      </c>
      <c r="BV44" s="166" t="str">
        <f>IF(Tabla566167[[#This Row],[Equipo ]]="","",INDEX(V_GALON,MATCH(Tabla566167[[#This Row],[Equipo ]],LISTA_MAQUINARIA,0)))</f>
        <v/>
      </c>
      <c r="BW44" s="10"/>
      <c r="BX44" s="165" t="str">
        <f>IF(Tabla566167[[#This Row],[Equipo ]]="","",Tabla566167[[#This Row],[Valor mensual]]+Tabla566167[[#This Row],[Combustible Hora ]]*Tabla566167[[#This Row],[Valor galon]]*Tabla566167[[#This Row],[Horas mes]])</f>
        <v/>
      </c>
      <c r="BY44" s="168" t="str">
        <f>IF(Tabla566167[[#This Row],[Valor mensual + Combustible]]="","",Tabla566167[[#This Row],[Valor mensual + Combustible]]*Tabla566167[[#This Row],[Cantidad]])</f>
        <v/>
      </c>
      <c r="CB44" s="9"/>
      <c r="CC44" s="10"/>
      <c r="CD44" s="165" t="str">
        <f>IF(Tabla569170[[#This Row],[Equipo ]]="","",INDEX(V_MENSUAL,MATCH(Tabla569170[[#This Row],[Equipo ]],LISTA_MAQUINARIA,0)))</f>
        <v/>
      </c>
      <c r="CE44" s="12" t="str">
        <f>IF(Tabla569170[[#This Row],[Equipo ]]="","",INDEX(CONSUMO_COMBUSTIBLE_H,MATCH(Tabla569170[[#This Row],[Equipo ]],LISTA_MAQUINARIA,0)))</f>
        <v/>
      </c>
      <c r="CF44" s="166" t="str">
        <f>IF(Tabla569170[[#This Row],[Equipo ]]="","",INDEX(V_GALON,MATCH(Tabla569170[[#This Row],[Equipo ]],LISTA_MAQUINARIA,0)))</f>
        <v/>
      </c>
      <c r="CG44" s="10"/>
      <c r="CH44" s="165" t="str">
        <f>IF(Tabla569170[[#This Row],[Equipo ]]="","",Tabla569170[[#This Row],[Valor mensual]]+Tabla569170[[#This Row],[Combustible Hora ]]*Tabla569170[[#This Row],[Valor galon]]*Tabla569170[[#This Row],[Horas mes]])</f>
        <v/>
      </c>
      <c r="CI44" s="168" t="str">
        <f>IF(Tabla569170[[#This Row],[Valor mensual + Combustible]]="","",Tabla569170[[#This Row],[Valor mensual + Combustible]]*Tabla569170[[#This Row],[Cantidad]])</f>
        <v/>
      </c>
      <c r="CL44" s="9"/>
      <c r="CM44" s="10"/>
      <c r="CN44" s="165" t="str">
        <f>IF(Tabla572173[[#This Row],[Equipo ]]="","",INDEX(V_MENSUAL,MATCH(Tabla572173[[#This Row],[Equipo ]],LISTA_MAQUINARIA,0)))</f>
        <v/>
      </c>
      <c r="CO44" s="12" t="str">
        <f>IF(Tabla572173[[#This Row],[Equipo ]]="","",INDEX(CONSUMO_COMBUSTIBLE_H,MATCH(Tabla572173[[#This Row],[Equipo ]],LISTA_MAQUINARIA,0)))</f>
        <v/>
      </c>
      <c r="CP44" s="166" t="str">
        <f>IF(Tabla572173[[#This Row],[Equipo ]]="","",INDEX(V_GALON,MATCH(Tabla572173[[#This Row],[Equipo ]],LISTA_MAQUINARIA,0)))</f>
        <v/>
      </c>
      <c r="CQ44" s="10"/>
      <c r="CR44" s="165" t="str">
        <f>IF(Tabla572173[[#This Row],[Equipo ]]="","",Tabla572173[[#This Row],[Valor mensual]]+Tabla572173[[#This Row],[Combustible Hora ]]*Tabla572173[[#This Row],[Valor galon]]*Tabla572173[[#This Row],[Horas mes]])</f>
        <v/>
      </c>
      <c r="CS44" s="168" t="str">
        <f>IF(Tabla572173[[#This Row],[Valor mensual + Combustible]]="","",Tabla572173[[#This Row],[Valor mensual + Combustible]]*Tabla572173[[#This Row],[Cantidad]])</f>
        <v/>
      </c>
      <c r="CV44" s="9"/>
      <c r="CW44" s="10"/>
      <c r="CX44" s="165" t="str">
        <f>IF(Tabla575176[[#This Row],[Equipo ]]="","",INDEX(V_MENSUAL,MATCH(Tabla575176[[#This Row],[Equipo ]],LISTA_MAQUINARIA,0)))</f>
        <v/>
      </c>
      <c r="CY44" s="12" t="str">
        <f>IF(Tabla575176[[#This Row],[Equipo ]]="","",INDEX(CONSUMO_COMBUSTIBLE_H,MATCH(Tabla575176[[#This Row],[Equipo ]],LISTA_MAQUINARIA,0)))</f>
        <v/>
      </c>
      <c r="CZ44" s="166" t="str">
        <f>IF(Tabla575176[[#This Row],[Equipo ]]="","",INDEX(V_GALON,MATCH(Tabla575176[[#This Row],[Equipo ]],LISTA_MAQUINARIA,0)))</f>
        <v/>
      </c>
      <c r="DA44" s="10"/>
      <c r="DB44" s="165" t="str">
        <f>IF(Tabla575176[[#This Row],[Equipo ]]="","",Tabla575176[[#This Row],[Valor mensual]]+Tabla575176[[#This Row],[Combustible Hora ]]*Tabla575176[[#This Row],[Valor galon]]*Tabla575176[[#This Row],[Horas mes]])</f>
        <v/>
      </c>
      <c r="DC44" s="168" t="str">
        <f>IF(Tabla575176[[#This Row],[Valor mensual + Combustible]]="","",Tabla575176[[#This Row],[Valor mensual + Combustible]]*Tabla575176[[#This Row],[Cantidad]])</f>
        <v/>
      </c>
      <c r="DF44" s="9"/>
      <c r="DG44" s="10"/>
      <c r="DH44" s="165" t="str">
        <f>IF(Tabla578179[[#This Row],[Equipo ]]="","",INDEX(V_MENSUAL,MATCH(Tabla578179[[#This Row],[Equipo ]],LISTA_MAQUINARIA,0)))</f>
        <v/>
      </c>
      <c r="DI44" s="12" t="str">
        <f>IF(Tabla578179[[#This Row],[Equipo ]]="","",INDEX(CONSUMO_COMBUSTIBLE_H,MATCH(Tabla578179[[#This Row],[Equipo ]],LISTA_MAQUINARIA,0)))</f>
        <v/>
      </c>
      <c r="DJ44" s="166" t="str">
        <f>IF(Tabla578179[[#This Row],[Equipo ]]="","",INDEX(V_GALON,MATCH(Tabla578179[[#This Row],[Equipo ]],LISTA_MAQUINARIA,0)))</f>
        <v/>
      </c>
      <c r="DK44" s="10"/>
      <c r="DL44" s="165" t="str">
        <f>IF(Tabla578179[[#This Row],[Equipo ]]="","",Tabla578179[[#This Row],[Valor mensual]]+Tabla578179[[#This Row],[Combustible Hora ]]*Tabla578179[[#This Row],[Valor galon]]*Tabla578179[[#This Row],[Horas mes]])</f>
        <v/>
      </c>
      <c r="DM44" s="168" t="str">
        <f>IF(Tabla578179[[#This Row],[Valor mensual + Combustible]]="","",Tabla578179[[#This Row],[Valor mensual + Combustible]]*Tabla578179[[#This Row],[Cantidad]])</f>
        <v/>
      </c>
      <c r="DP44" s="9"/>
      <c r="DQ44" s="10"/>
      <c r="DR44" s="165" t="str">
        <f>IF(Tabla581182[[#This Row],[Equipo ]]="","",INDEX(V_MENSUAL,MATCH(Tabla581182[[#This Row],[Equipo ]],LISTA_MAQUINARIA,0)))</f>
        <v/>
      </c>
      <c r="DS44" s="12" t="str">
        <f>IF(Tabla581182[[#This Row],[Equipo ]]="","",INDEX(CONSUMO_COMBUSTIBLE_H,MATCH(Tabla581182[[#This Row],[Equipo ]],LISTA_MAQUINARIA,0)))</f>
        <v/>
      </c>
      <c r="DT44" s="166" t="str">
        <f>IF(Tabla581182[[#This Row],[Equipo ]]="","",INDEX(V_GALON,MATCH(Tabla581182[[#This Row],[Equipo ]],LISTA_MAQUINARIA,0)))</f>
        <v/>
      </c>
      <c r="DU44" s="10"/>
      <c r="DV44" s="165" t="str">
        <f>IF(Tabla581182[[#This Row],[Equipo ]]="","",Tabla581182[[#This Row],[Valor mensual]]+Tabla581182[[#This Row],[Combustible Hora ]]*Tabla581182[[#This Row],[Valor galon]]*Tabla581182[[#This Row],[Horas mes]])</f>
        <v/>
      </c>
      <c r="DW44" s="168" t="str">
        <f>IF(Tabla581182[[#This Row],[Valor mensual + Combustible]]="","",Tabla581182[[#This Row],[Valor mensual + Combustible]]*Tabla581182[[#This Row],[Cantidad]])</f>
        <v/>
      </c>
      <c r="DZ44" s="9"/>
      <c r="EA44" s="10"/>
      <c r="EB44" s="165" t="str">
        <f>IF(Tabla584185[[#This Row],[Equipo ]]="","",INDEX(V_MENSUAL,MATCH(Tabla584185[[#This Row],[Equipo ]],LISTA_MAQUINARIA,0)))</f>
        <v/>
      </c>
      <c r="EC44" s="12" t="str">
        <f>IF(Tabla584185[[#This Row],[Equipo ]]="","",INDEX(CONSUMO_COMBUSTIBLE_H,MATCH(Tabla584185[[#This Row],[Equipo ]],LISTA_MAQUINARIA,0)))</f>
        <v/>
      </c>
      <c r="ED44" s="166" t="str">
        <f>IF(Tabla584185[[#This Row],[Equipo ]]="","",INDEX(V_GALON,MATCH(Tabla584185[[#This Row],[Equipo ]],LISTA_MAQUINARIA,0)))</f>
        <v/>
      </c>
      <c r="EE44" s="10"/>
      <c r="EF44" s="165" t="str">
        <f>IF(Tabla584185[[#This Row],[Equipo ]]="","",Tabla584185[[#This Row],[Valor mensual]]+Tabla584185[[#This Row],[Combustible Hora ]]*Tabla584185[[#This Row],[Valor galon]]*Tabla584185[[#This Row],[Horas mes]])</f>
        <v/>
      </c>
      <c r="EG44" s="168" t="str">
        <f>IF(Tabla584185[[#This Row],[Valor mensual + Combustible]]="","",Tabla584185[[#This Row],[Valor mensual + Combustible]]*Tabla584185[[#This Row],[Cantidad]])</f>
        <v/>
      </c>
      <c r="EJ44" s="9"/>
      <c r="EK44" s="10"/>
      <c r="EL44" s="165" t="str">
        <f>IF(Tabla587188[[#This Row],[Equipo ]]="","",INDEX(V_MENSUAL,MATCH(Tabla587188[[#This Row],[Equipo ]],LISTA_MAQUINARIA,0)))</f>
        <v/>
      </c>
      <c r="EM44" s="12" t="str">
        <f>IF(Tabla587188[[#This Row],[Equipo ]]="","",INDEX(CONSUMO_COMBUSTIBLE_H,MATCH(Tabla587188[[#This Row],[Equipo ]],LISTA_MAQUINARIA,0)))</f>
        <v/>
      </c>
      <c r="EN44" s="166" t="str">
        <f>IF(Tabla587188[[#This Row],[Equipo ]]="","",INDEX(V_GALON,MATCH(Tabla587188[[#This Row],[Equipo ]],LISTA_MAQUINARIA,0)))</f>
        <v/>
      </c>
      <c r="EO44" s="10"/>
      <c r="EP44" s="165" t="str">
        <f>IF(Tabla587188[[#This Row],[Equipo ]]="","",Tabla587188[[#This Row],[Valor mensual]]+Tabla587188[[#This Row],[Combustible Hora ]]*Tabla587188[[#This Row],[Valor galon]]*Tabla587188[[#This Row],[Horas mes]])</f>
        <v/>
      </c>
      <c r="EQ44" s="168" t="str">
        <f>IF(Tabla587188[[#This Row],[Valor mensual + Combustible]]="","",Tabla587188[[#This Row],[Valor mensual + Combustible]]*Tabla587188[[#This Row],[Cantidad]])</f>
        <v/>
      </c>
      <c r="ET44" s="9"/>
      <c r="EU44" s="10"/>
      <c r="EV44" s="165" t="str">
        <f>IF(Tabla590191[[#This Row],[Equipo ]]="","",INDEX(V_MENSUAL,MATCH(Tabla590191[[#This Row],[Equipo ]],LISTA_MAQUINARIA,0)))</f>
        <v/>
      </c>
      <c r="EW44" s="12" t="str">
        <f>IF(Tabla590191[[#This Row],[Equipo ]]="","",INDEX(CONSUMO_COMBUSTIBLE_H,MATCH(Tabla590191[[#This Row],[Equipo ]],LISTA_MAQUINARIA,0)))</f>
        <v/>
      </c>
      <c r="EX44" s="166" t="str">
        <f>IF(Tabla590191[[#This Row],[Equipo ]]="","",INDEX(V_GALON,MATCH(Tabla590191[[#This Row],[Equipo ]],LISTA_MAQUINARIA,0)))</f>
        <v/>
      </c>
      <c r="EY44" s="10"/>
      <c r="EZ44" s="165" t="str">
        <f>IF(Tabla590191[[#This Row],[Equipo ]]="","",Tabla590191[[#This Row],[Valor mensual]]+Tabla590191[[#This Row],[Combustible Hora ]]*Tabla590191[[#This Row],[Valor galon]]*Tabla590191[[#This Row],[Horas mes]])</f>
        <v/>
      </c>
      <c r="FA44" s="168" t="str">
        <f>IF(Tabla590191[[#This Row],[Valor mensual + Combustible]]="","",Tabla590191[[#This Row],[Valor mensual + Combustible]]*Tabla590191[[#This Row],[Cantidad]])</f>
        <v/>
      </c>
      <c r="FD44" s="9"/>
      <c r="FE44" s="10"/>
      <c r="FF44" s="165" t="str">
        <f>IF(Tabla593194[[#This Row],[Equipo ]]="","",INDEX(V_MENSUAL,MATCH(Tabla593194[[#This Row],[Equipo ]],LISTA_MAQUINARIA,0)))</f>
        <v/>
      </c>
      <c r="FG44" s="12" t="str">
        <f>IF(Tabla593194[[#This Row],[Equipo ]]="","",INDEX(CONSUMO_COMBUSTIBLE_H,MATCH(Tabla593194[[#This Row],[Equipo ]],LISTA_MAQUINARIA,0)))</f>
        <v/>
      </c>
      <c r="FH44" s="166" t="str">
        <f>IF(Tabla593194[[#This Row],[Equipo ]]="","",INDEX(V_GALON,MATCH(Tabla593194[[#This Row],[Equipo ]],LISTA_MAQUINARIA,0)))</f>
        <v/>
      </c>
      <c r="FI44" s="10"/>
      <c r="FJ44" s="165" t="str">
        <f>IF(Tabla593194[[#This Row],[Equipo ]]="","",Tabla593194[[#This Row],[Valor mensual]]+Tabla593194[[#This Row],[Combustible Hora ]]*Tabla593194[[#This Row],[Valor galon]]*Tabla593194[[#This Row],[Horas mes]])</f>
        <v/>
      </c>
      <c r="FK44" s="168" t="str">
        <f>IF(Tabla593194[[#This Row],[Valor mensual + Combustible]]="","",Tabla593194[[#This Row],[Valor mensual + Combustible]]*Tabla593194[[#This Row],[Cantidad]])</f>
        <v/>
      </c>
      <c r="FN44" s="9"/>
      <c r="FO44" s="10"/>
      <c r="FP44" s="165" t="str">
        <f>IF(Tabla596197[[#This Row],[Equipo ]]="","",INDEX(V_MENSUAL,MATCH(Tabla596197[[#This Row],[Equipo ]],LISTA_MAQUINARIA,0)))</f>
        <v/>
      </c>
      <c r="FQ44" s="12" t="str">
        <f>IF(Tabla596197[[#This Row],[Equipo ]]="","",INDEX(CONSUMO_COMBUSTIBLE_H,MATCH(Tabla596197[[#This Row],[Equipo ]],LISTA_MAQUINARIA,0)))</f>
        <v/>
      </c>
      <c r="FR44" s="166" t="str">
        <f>IF(Tabla596197[[#This Row],[Equipo ]]="","",INDEX(V_GALON,MATCH(Tabla596197[[#This Row],[Equipo ]],LISTA_MAQUINARIA,0)))</f>
        <v/>
      </c>
      <c r="FS44" s="10"/>
      <c r="FT44" s="165" t="str">
        <f>IF(Tabla596197[[#This Row],[Equipo ]]="","",Tabla596197[[#This Row],[Valor mensual]]+Tabla596197[[#This Row],[Combustible Hora ]]*Tabla596197[[#This Row],[Valor galon]]*Tabla596197[[#This Row],[Horas mes]])</f>
        <v/>
      </c>
      <c r="FU44" s="168" t="str">
        <f>IF(Tabla596197[[#This Row],[Valor mensual + Combustible]]="","",Tabla596197[[#This Row],[Valor mensual + Combustible]]*Tabla596197[[#This Row],[Cantidad]])</f>
        <v/>
      </c>
    </row>
    <row r="45" spans="1:177" x14ac:dyDescent="0.3">
      <c r="A45" s="9" t="s">
        <v>502</v>
      </c>
      <c r="B45" s="10">
        <v>1</v>
      </c>
      <c r="C45" s="165">
        <f>IF(Tabla511[[#This Row],[Equipo ]]="","",INDEX(V_MENSUAL,MATCH(Tabla511[[#This Row],[Equipo ]],LISTA_MAQUINARIA,0)))</f>
        <v>3000000</v>
      </c>
      <c r="D45" s="12">
        <f>IF(Tabla511[[#This Row],[Equipo ]]="","",INDEX(CONSUMO_COMBUSTIBLE_H,MATCH(Tabla511[[#This Row],[Equipo ]],LISTA_MAQUINARIA,0)))</f>
        <v>0</v>
      </c>
      <c r="E45" s="166">
        <f>IF(Tabla511[[#This Row],[Equipo ]]="","",INDEX(V_GALON,MATCH(Tabla511[[#This Row],[Equipo ]],LISTA_MAQUINARIA,0)))</f>
        <v>10800</v>
      </c>
      <c r="F45" s="10"/>
      <c r="G45" s="165">
        <f>IF(Tabla511[[#This Row],[Equipo ]]="","",Tabla511[[#This Row],[Valor mensual]]+Tabla511[[#This Row],[Combustible Hora ]]*Tabla511[[#This Row],[Valor galon]]*Tabla511[[#This Row],[Horas mes]])</f>
        <v>3000000</v>
      </c>
      <c r="H45" s="168">
        <f>IF(Tabla511[[#This Row],[Valor mensual + Combustible]]="","",Tabla511[[#This Row],[Valor mensual + Combustible]]*Tabla511[[#This Row],[Cantidad]])</f>
        <v>3000000</v>
      </c>
      <c r="K45" s="9" t="s">
        <v>502</v>
      </c>
      <c r="L45" s="10">
        <v>1</v>
      </c>
      <c r="M45" s="165" cm="1">
        <f t="array" ref="M45">IF(Tabla54814[[#This Row],[Equipo ]]="","",INDEX(V_MENSUAL,MATCH(Tabla54814[[#This Row],[Equipo ]],LISTA_MAQUINARIA,0)))</f>
        <v>3000000</v>
      </c>
      <c r="N45" s="12">
        <f>IF(Tabla54814[[#This Row],[Equipo ]]="","",INDEX(CONSUMO_COMBUSTIBLE_H,MATCH(Tabla54814[[#This Row],[Equipo ]],LISTA_MAQUINARIA,0)))</f>
        <v>0</v>
      </c>
      <c r="O45" s="166">
        <f>IF(Tabla54814[[#This Row],[Equipo ]]="","",INDEX(V_GALON,MATCH(Tabla54814[[#This Row],[Equipo ]],LISTA_MAQUINARIA,0)))</f>
        <v>10800</v>
      </c>
      <c r="P45" s="10"/>
      <c r="Q45" s="165">
        <f>IF(Tabla54814[[#This Row],[Equipo ]]="","",Tabla54814[[#This Row],[Valor mensual]]+Tabla54814[[#This Row],[Combustible Hora ]]*Tabla54814[[#This Row],[Valor galon]]*Tabla54814[[#This Row],[Horas mes]])</f>
        <v>3000000</v>
      </c>
      <c r="R45" s="168">
        <f>IF(Tabla54814[[#This Row],[Valor mensual + Combustible]]="","",Tabla54814[[#This Row],[Valor mensual + Combustible]]*Tabla54814[[#This Row],[Cantidad]])</f>
        <v>3000000</v>
      </c>
      <c r="U45" s="9"/>
      <c r="V45" s="10"/>
      <c r="W45" s="165" t="str">
        <f>IF(Tabla55117[[#This Row],[Equipo ]]="","",INDEX(V_MENSUAL,MATCH(Tabla55117[[#This Row],[Equipo ]],LISTA_MAQUINARIA,0)))</f>
        <v/>
      </c>
      <c r="X45" s="12" t="str">
        <f>IF(Tabla55117[[#This Row],[Equipo ]]="","",INDEX(CONSUMO_COMBUSTIBLE_H,MATCH(Tabla55117[[#This Row],[Equipo ]],LISTA_MAQUINARIA,0)))</f>
        <v/>
      </c>
      <c r="Y45" s="166" t="str">
        <f>IF(Tabla55117[[#This Row],[Equipo ]]="","",INDEX(V_GALON,MATCH(Tabla55117[[#This Row],[Equipo ]],LISTA_MAQUINARIA,0)))</f>
        <v/>
      </c>
      <c r="Z45" s="10"/>
      <c r="AA45" s="165" t="str">
        <f>IF(Tabla55117[[#This Row],[Equipo ]]="","",Tabla55117[[#This Row],[Valor mensual]]+Tabla55117[[#This Row],[Combustible Hora ]]*Tabla55117[[#This Row],[Valor galon]]*Tabla55117[[#This Row],[Horas mes]])</f>
        <v/>
      </c>
      <c r="AB45" s="168" t="str">
        <f>IF(Tabla55117[[#This Row],[Valor mensual + Combustible]]="","",Tabla55117[[#This Row],[Valor mensual + Combustible]]*Tabla55117[[#This Row],[Cantidad]])</f>
        <v/>
      </c>
      <c r="AD45" s="9"/>
      <c r="AE45" s="10"/>
      <c r="AF45" s="165" t="str">
        <f>IF(Tabla55420[[#This Row],[Equipo ]]="","",INDEX(V_MENSUAL,MATCH(Tabla55420[[#This Row],[Equipo ]],LISTA_MAQUINARIA,0)))</f>
        <v/>
      </c>
      <c r="AG45" s="12" t="str">
        <f>IF(Tabla55420[[#This Row],[Equipo ]]="","",INDEX(CONSUMO_COMBUSTIBLE_H,MATCH(Tabla55420[[#This Row],[Equipo ]],LISTA_MAQUINARIA,0)))</f>
        <v/>
      </c>
      <c r="AH45" s="166" t="str">
        <f>IF(Tabla55420[[#This Row],[Equipo ]]="","",INDEX(V_GALON,MATCH(Tabla55420[[#This Row],[Equipo ]],LISTA_MAQUINARIA,0)))</f>
        <v/>
      </c>
      <c r="AI45" s="10"/>
      <c r="AJ45" s="165" t="str">
        <f>IF(Tabla55420[[#This Row],[Equipo ]]="","",Tabla55420[[#This Row],[Valor mensual]]+Tabla55420[[#This Row],[Combustible Hora ]]*Tabla55420[[#This Row],[Valor galon]]*Tabla55420[[#This Row],[Horas mes]])</f>
        <v/>
      </c>
      <c r="AK45" s="168" t="str">
        <f>IF(Tabla55420[[#This Row],[Valor mensual + Combustible]]="","",Tabla55420[[#This Row],[Valor mensual + Combustible]]*Tabla55420[[#This Row],[Cantidad]])</f>
        <v/>
      </c>
      <c r="AN45" s="9"/>
      <c r="AO45" s="10"/>
      <c r="AP45" s="165" t="str">
        <f>IF(Tabla55724[[#This Row],[Equipo ]]="","",INDEX(V_MENSUAL,MATCH(Tabla55724[[#This Row],[Equipo ]],LISTA_MAQUINARIA,0)))</f>
        <v/>
      </c>
      <c r="AQ45" s="12" t="str">
        <f>IF(Tabla55724[[#This Row],[Equipo ]]="","",INDEX(CONSUMO_COMBUSTIBLE_H,MATCH(Tabla55724[[#This Row],[Equipo ]],LISTA_MAQUINARIA,0)))</f>
        <v/>
      </c>
      <c r="AR45" s="166" t="str">
        <f>IF(Tabla55724[[#This Row],[Equipo ]]="","",INDEX(V_GALON,MATCH(Tabla55724[[#This Row],[Equipo ]],LISTA_MAQUINARIA,0)))</f>
        <v/>
      </c>
      <c r="AS45" s="10"/>
      <c r="AT45" s="165" t="str">
        <f>IF(Tabla55724[[#This Row],[Equipo ]]="","",Tabla55724[[#This Row],[Valor mensual]]+Tabla55724[[#This Row],[Combustible Hora ]]*Tabla55724[[#This Row],[Valor galon]]*Tabla55724[[#This Row],[Horas mes]])</f>
        <v/>
      </c>
      <c r="AU45" s="168" t="str">
        <f>IF(Tabla55724[[#This Row],[Valor mensual + Combustible]]="","",Tabla55724[[#This Row],[Valor mensual + Combustible]]*Tabla55724[[#This Row],[Cantidad]])</f>
        <v/>
      </c>
      <c r="AX45" s="9"/>
      <c r="AY45" s="10"/>
      <c r="AZ45" s="165" t="str">
        <f>IF(Tabla560121[[#This Row],[Equipo ]]="","",INDEX(V_MENSUAL,MATCH(Tabla560121[[#This Row],[Equipo ]],LISTA_MAQUINARIA,0)))</f>
        <v/>
      </c>
      <c r="BA45" s="12" t="str">
        <f>IF(Tabla560121[[#This Row],[Equipo ]]="","",INDEX(CONSUMO_COMBUSTIBLE_H,MATCH(Tabla560121[[#This Row],[Equipo ]],LISTA_MAQUINARIA,0)))</f>
        <v/>
      </c>
      <c r="BB45" s="166" t="str">
        <f>IF(Tabla560121[[#This Row],[Equipo ]]="","",INDEX(V_GALON,MATCH(Tabla560121[[#This Row],[Equipo ]],LISTA_MAQUINARIA,0)))</f>
        <v/>
      </c>
      <c r="BC45" s="10"/>
      <c r="BD45" s="165" t="str">
        <f>IF(Tabla560121[[#This Row],[Equipo ]]="","",Tabla560121[[#This Row],[Valor mensual]]+Tabla560121[[#This Row],[Combustible Hora ]]*Tabla560121[[#This Row],[Valor galon]]*Tabla560121[[#This Row],[Horas mes]])</f>
        <v/>
      </c>
      <c r="BE45" s="168" t="str">
        <f>IF(Tabla560121[[#This Row],[Valor mensual + Combustible]]="","",Tabla560121[[#This Row],[Valor mensual + Combustible]]*Tabla560121[[#This Row],[Cantidad]])</f>
        <v/>
      </c>
      <c r="BH45" s="9"/>
      <c r="BI45" s="10"/>
      <c r="BJ45" s="165" t="str">
        <f>IF(Tabla563164[[#This Row],[Equipo ]]="","",INDEX(V_MENSUAL,MATCH(Tabla563164[[#This Row],[Equipo ]],LISTA_MAQUINARIA,0)))</f>
        <v/>
      </c>
      <c r="BK45" s="12" t="str">
        <f>IF(Tabla563164[[#This Row],[Equipo ]]="","",INDEX(CONSUMO_COMBUSTIBLE_H,MATCH(Tabla563164[[#This Row],[Equipo ]],LISTA_MAQUINARIA,0)))</f>
        <v/>
      </c>
      <c r="BL45" s="166" t="str">
        <f>IF(Tabla563164[[#This Row],[Equipo ]]="","",INDEX(V_GALON,MATCH(Tabla563164[[#This Row],[Equipo ]],LISTA_MAQUINARIA,0)))</f>
        <v/>
      </c>
      <c r="BM45" s="10"/>
      <c r="BN45" s="165" t="str">
        <f>IF(Tabla563164[[#This Row],[Equipo ]]="","",Tabla563164[[#This Row],[Valor mensual]]+Tabla563164[[#This Row],[Combustible Hora ]]*Tabla563164[[#This Row],[Valor galon]]*Tabla563164[[#This Row],[Horas mes]])</f>
        <v/>
      </c>
      <c r="BO45" s="168" t="str">
        <f>IF(Tabla563164[[#This Row],[Valor mensual + Combustible]]="","",Tabla563164[[#This Row],[Valor mensual + Combustible]]*Tabla563164[[#This Row],[Cantidad]])</f>
        <v/>
      </c>
      <c r="BR45" s="9"/>
      <c r="BS45" s="10"/>
      <c r="BT45" s="165" t="str">
        <f>IF(Tabla566167[[#This Row],[Equipo ]]="","",INDEX(V_MENSUAL,MATCH(Tabla566167[[#This Row],[Equipo ]],LISTA_MAQUINARIA,0)))</f>
        <v/>
      </c>
      <c r="BU45" s="12" t="str">
        <f>IF(Tabla566167[[#This Row],[Equipo ]]="","",INDEX(CONSUMO_COMBUSTIBLE_H,MATCH(Tabla566167[[#This Row],[Equipo ]],LISTA_MAQUINARIA,0)))</f>
        <v/>
      </c>
      <c r="BV45" s="166" t="str">
        <f>IF(Tabla566167[[#This Row],[Equipo ]]="","",INDEX(V_GALON,MATCH(Tabla566167[[#This Row],[Equipo ]],LISTA_MAQUINARIA,0)))</f>
        <v/>
      </c>
      <c r="BW45" s="10"/>
      <c r="BX45" s="165" t="str">
        <f>IF(Tabla566167[[#This Row],[Equipo ]]="","",Tabla566167[[#This Row],[Valor mensual]]+Tabla566167[[#This Row],[Combustible Hora ]]*Tabla566167[[#This Row],[Valor galon]]*Tabla566167[[#This Row],[Horas mes]])</f>
        <v/>
      </c>
      <c r="BY45" s="168" t="str">
        <f>IF(Tabla566167[[#This Row],[Valor mensual + Combustible]]="","",Tabla566167[[#This Row],[Valor mensual + Combustible]]*Tabla566167[[#This Row],[Cantidad]])</f>
        <v/>
      </c>
      <c r="CB45" s="9"/>
      <c r="CC45" s="10"/>
      <c r="CD45" s="165" t="str">
        <f>IF(Tabla569170[[#This Row],[Equipo ]]="","",INDEX(V_MENSUAL,MATCH(Tabla569170[[#This Row],[Equipo ]],LISTA_MAQUINARIA,0)))</f>
        <v/>
      </c>
      <c r="CE45" s="12" t="str">
        <f>IF(Tabla569170[[#This Row],[Equipo ]]="","",INDEX(CONSUMO_COMBUSTIBLE_H,MATCH(Tabla569170[[#This Row],[Equipo ]],LISTA_MAQUINARIA,0)))</f>
        <v/>
      </c>
      <c r="CF45" s="166" t="str">
        <f>IF(Tabla569170[[#This Row],[Equipo ]]="","",INDEX(V_GALON,MATCH(Tabla569170[[#This Row],[Equipo ]],LISTA_MAQUINARIA,0)))</f>
        <v/>
      </c>
      <c r="CG45" s="10"/>
      <c r="CH45" s="165" t="str">
        <f>IF(Tabla569170[[#This Row],[Equipo ]]="","",Tabla569170[[#This Row],[Valor mensual]]+Tabla569170[[#This Row],[Combustible Hora ]]*Tabla569170[[#This Row],[Valor galon]]*Tabla569170[[#This Row],[Horas mes]])</f>
        <v/>
      </c>
      <c r="CI45" s="168" t="str">
        <f>IF(Tabla569170[[#This Row],[Valor mensual + Combustible]]="","",Tabla569170[[#This Row],[Valor mensual + Combustible]]*Tabla569170[[#This Row],[Cantidad]])</f>
        <v/>
      </c>
      <c r="CL45" s="9"/>
      <c r="CM45" s="10"/>
      <c r="CN45" s="165" t="str">
        <f>IF(Tabla572173[[#This Row],[Equipo ]]="","",INDEX(V_MENSUAL,MATCH(Tabla572173[[#This Row],[Equipo ]],LISTA_MAQUINARIA,0)))</f>
        <v/>
      </c>
      <c r="CO45" s="12" t="str">
        <f>IF(Tabla572173[[#This Row],[Equipo ]]="","",INDEX(CONSUMO_COMBUSTIBLE_H,MATCH(Tabla572173[[#This Row],[Equipo ]],LISTA_MAQUINARIA,0)))</f>
        <v/>
      </c>
      <c r="CP45" s="166" t="str">
        <f>IF(Tabla572173[[#This Row],[Equipo ]]="","",INDEX(V_GALON,MATCH(Tabla572173[[#This Row],[Equipo ]],LISTA_MAQUINARIA,0)))</f>
        <v/>
      </c>
      <c r="CQ45" s="10"/>
      <c r="CR45" s="165" t="str">
        <f>IF(Tabla572173[[#This Row],[Equipo ]]="","",Tabla572173[[#This Row],[Valor mensual]]+Tabla572173[[#This Row],[Combustible Hora ]]*Tabla572173[[#This Row],[Valor galon]]*Tabla572173[[#This Row],[Horas mes]])</f>
        <v/>
      </c>
      <c r="CS45" s="168" t="str">
        <f>IF(Tabla572173[[#This Row],[Valor mensual + Combustible]]="","",Tabla572173[[#This Row],[Valor mensual + Combustible]]*Tabla572173[[#This Row],[Cantidad]])</f>
        <v/>
      </c>
      <c r="CV45" s="9"/>
      <c r="CW45" s="10"/>
      <c r="CX45" s="165" t="str">
        <f>IF(Tabla575176[[#This Row],[Equipo ]]="","",INDEX(V_MENSUAL,MATCH(Tabla575176[[#This Row],[Equipo ]],LISTA_MAQUINARIA,0)))</f>
        <v/>
      </c>
      <c r="CY45" s="12" t="str">
        <f>IF(Tabla575176[[#This Row],[Equipo ]]="","",INDEX(CONSUMO_COMBUSTIBLE_H,MATCH(Tabla575176[[#This Row],[Equipo ]],LISTA_MAQUINARIA,0)))</f>
        <v/>
      </c>
      <c r="CZ45" s="166" t="str">
        <f>IF(Tabla575176[[#This Row],[Equipo ]]="","",INDEX(V_GALON,MATCH(Tabla575176[[#This Row],[Equipo ]],LISTA_MAQUINARIA,0)))</f>
        <v/>
      </c>
      <c r="DA45" s="10"/>
      <c r="DB45" s="165" t="str">
        <f>IF(Tabla575176[[#This Row],[Equipo ]]="","",Tabla575176[[#This Row],[Valor mensual]]+Tabla575176[[#This Row],[Combustible Hora ]]*Tabla575176[[#This Row],[Valor galon]]*Tabla575176[[#This Row],[Horas mes]])</f>
        <v/>
      </c>
      <c r="DC45" s="168" t="str">
        <f>IF(Tabla575176[[#This Row],[Valor mensual + Combustible]]="","",Tabla575176[[#This Row],[Valor mensual + Combustible]]*Tabla575176[[#This Row],[Cantidad]])</f>
        <v/>
      </c>
      <c r="DF45" s="9"/>
      <c r="DG45" s="10"/>
      <c r="DH45" s="165" t="str">
        <f>IF(Tabla578179[[#This Row],[Equipo ]]="","",INDEX(V_MENSUAL,MATCH(Tabla578179[[#This Row],[Equipo ]],LISTA_MAQUINARIA,0)))</f>
        <v/>
      </c>
      <c r="DI45" s="12" t="str">
        <f>IF(Tabla578179[[#This Row],[Equipo ]]="","",INDEX(CONSUMO_COMBUSTIBLE_H,MATCH(Tabla578179[[#This Row],[Equipo ]],LISTA_MAQUINARIA,0)))</f>
        <v/>
      </c>
      <c r="DJ45" s="166" t="str">
        <f>IF(Tabla578179[[#This Row],[Equipo ]]="","",INDEX(V_GALON,MATCH(Tabla578179[[#This Row],[Equipo ]],LISTA_MAQUINARIA,0)))</f>
        <v/>
      </c>
      <c r="DK45" s="10"/>
      <c r="DL45" s="165" t="str">
        <f>IF(Tabla578179[[#This Row],[Equipo ]]="","",Tabla578179[[#This Row],[Valor mensual]]+Tabla578179[[#This Row],[Combustible Hora ]]*Tabla578179[[#This Row],[Valor galon]]*Tabla578179[[#This Row],[Horas mes]])</f>
        <v/>
      </c>
      <c r="DM45" s="168" t="str">
        <f>IF(Tabla578179[[#This Row],[Valor mensual + Combustible]]="","",Tabla578179[[#This Row],[Valor mensual + Combustible]]*Tabla578179[[#This Row],[Cantidad]])</f>
        <v/>
      </c>
      <c r="DP45" s="9"/>
      <c r="DQ45" s="10"/>
      <c r="DR45" s="165" t="str">
        <f>IF(Tabla581182[[#This Row],[Equipo ]]="","",INDEX(V_MENSUAL,MATCH(Tabla581182[[#This Row],[Equipo ]],LISTA_MAQUINARIA,0)))</f>
        <v/>
      </c>
      <c r="DS45" s="12" t="str">
        <f>IF(Tabla581182[[#This Row],[Equipo ]]="","",INDEX(CONSUMO_COMBUSTIBLE_H,MATCH(Tabla581182[[#This Row],[Equipo ]],LISTA_MAQUINARIA,0)))</f>
        <v/>
      </c>
      <c r="DT45" s="166" t="str">
        <f>IF(Tabla581182[[#This Row],[Equipo ]]="","",INDEX(V_GALON,MATCH(Tabla581182[[#This Row],[Equipo ]],LISTA_MAQUINARIA,0)))</f>
        <v/>
      </c>
      <c r="DU45" s="10"/>
      <c r="DV45" s="165" t="str">
        <f>IF(Tabla581182[[#This Row],[Equipo ]]="","",Tabla581182[[#This Row],[Valor mensual]]+Tabla581182[[#This Row],[Combustible Hora ]]*Tabla581182[[#This Row],[Valor galon]]*Tabla581182[[#This Row],[Horas mes]])</f>
        <v/>
      </c>
      <c r="DW45" s="168" t="str">
        <f>IF(Tabla581182[[#This Row],[Valor mensual + Combustible]]="","",Tabla581182[[#This Row],[Valor mensual + Combustible]]*Tabla581182[[#This Row],[Cantidad]])</f>
        <v/>
      </c>
      <c r="DZ45" s="9"/>
      <c r="EA45" s="10"/>
      <c r="EB45" s="165" t="str">
        <f>IF(Tabla584185[[#This Row],[Equipo ]]="","",INDEX(V_MENSUAL,MATCH(Tabla584185[[#This Row],[Equipo ]],LISTA_MAQUINARIA,0)))</f>
        <v/>
      </c>
      <c r="EC45" s="12" t="str">
        <f>IF(Tabla584185[[#This Row],[Equipo ]]="","",INDEX(CONSUMO_COMBUSTIBLE_H,MATCH(Tabla584185[[#This Row],[Equipo ]],LISTA_MAQUINARIA,0)))</f>
        <v/>
      </c>
      <c r="ED45" s="166" t="str">
        <f>IF(Tabla584185[[#This Row],[Equipo ]]="","",INDEX(V_GALON,MATCH(Tabla584185[[#This Row],[Equipo ]],LISTA_MAQUINARIA,0)))</f>
        <v/>
      </c>
      <c r="EE45" s="10"/>
      <c r="EF45" s="165" t="str">
        <f>IF(Tabla584185[[#This Row],[Equipo ]]="","",Tabla584185[[#This Row],[Valor mensual]]+Tabla584185[[#This Row],[Combustible Hora ]]*Tabla584185[[#This Row],[Valor galon]]*Tabla584185[[#This Row],[Horas mes]])</f>
        <v/>
      </c>
      <c r="EG45" s="168" t="str">
        <f>IF(Tabla584185[[#This Row],[Valor mensual + Combustible]]="","",Tabla584185[[#This Row],[Valor mensual + Combustible]]*Tabla584185[[#This Row],[Cantidad]])</f>
        <v/>
      </c>
      <c r="EJ45" s="9"/>
      <c r="EK45" s="10"/>
      <c r="EL45" s="165" t="str">
        <f>IF(Tabla587188[[#This Row],[Equipo ]]="","",INDEX(V_MENSUAL,MATCH(Tabla587188[[#This Row],[Equipo ]],LISTA_MAQUINARIA,0)))</f>
        <v/>
      </c>
      <c r="EM45" s="12" t="str">
        <f>IF(Tabla587188[[#This Row],[Equipo ]]="","",INDEX(CONSUMO_COMBUSTIBLE_H,MATCH(Tabla587188[[#This Row],[Equipo ]],LISTA_MAQUINARIA,0)))</f>
        <v/>
      </c>
      <c r="EN45" s="166" t="str">
        <f>IF(Tabla587188[[#This Row],[Equipo ]]="","",INDEX(V_GALON,MATCH(Tabla587188[[#This Row],[Equipo ]],LISTA_MAQUINARIA,0)))</f>
        <v/>
      </c>
      <c r="EO45" s="10"/>
      <c r="EP45" s="165" t="str">
        <f>IF(Tabla587188[[#This Row],[Equipo ]]="","",Tabla587188[[#This Row],[Valor mensual]]+Tabla587188[[#This Row],[Combustible Hora ]]*Tabla587188[[#This Row],[Valor galon]]*Tabla587188[[#This Row],[Horas mes]])</f>
        <v/>
      </c>
      <c r="EQ45" s="168" t="str">
        <f>IF(Tabla587188[[#This Row],[Valor mensual + Combustible]]="","",Tabla587188[[#This Row],[Valor mensual + Combustible]]*Tabla587188[[#This Row],[Cantidad]])</f>
        <v/>
      </c>
      <c r="ET45" s="9"/>
      <c r="EU45" s="10"/>
      <c r="EV45" s="165" t="str">
        <f>IF(Tabla590191[[#This Row],[Equipo ]]="","",INDEX(V_MENSUAL,MATCH(Tabla590191[[#This Row],[Equipo ]],LISTA_MAQUINARIA,0)))</f>
        <v/>
      </c>
      <c r="EW45" s="12" t="str">
        <f>IF(Tabla590191[[#This Row],[Equipo ]]="","",INDEX(CONSUMO_COMBUSTIBLE_H,MATCH(Tabla590191[[#This Row],[Equipo ]],LISTA_MAQUINARIA,0)))</f>
        <v/>
      </c>
      <c r="EX45" s="166" t="str">
        <f>IF(Tabla590191[[#This Row],[Equipo ]]="","",INDEX(V_GALON,MATCH(Tabla590191[[#This Row],[Equipo ]],LISTA_MAQUINARIA,0)))</f>
        <v/>
      </c>
      <c r="EY45" s="10"/>
      <c r="EZ45" s="165" t="str">
        <f>IF(Tabla590191[[#This Row],[Equipo ]]="","",Tabla590191[[#This Row],[Valor mensual]]+Tabla590191[[#This Row],[Combustible Hora ]]*Tabla590191[[#This Row],[Valor galon]]*Tabla590191[[#This Row],[Horas mes]])</f>
        <v/>
      </c>
      <c r="FA45" s="168" t="str">
        <f>IF(Tabla590191[[#This Row],[Valor mensual + Combustible]]="","",Tabla590191[[#This Row],[Valor mensual + Combustible]]*Tabla590191[[#This Row],[Cantidad]])</f>
        <v/>
      </c>
      <c r="FD45" s="9"/>
      <c r="FE45" s="10"/>
      <c r="FF45" s="165" t="str">
        <f>IF(Tabla593194[[#This Row],[Equipo ]]="","",INDEX(V_MENSUAL,MATCH(Tabla593194[[#This Row],[Equipo ]],LISTA_MAQUINARIA,0)))</f>
        <v/>
      </c>
      <c r="FG45" s="12" t="str">
        <f>IF(Tabla593194[[#This Row],[Equipo ]]="","",INDEX(CONSUMO_COMBUSTIBLE_H,MATCH(Tabla593194[[#This Row],[Equipo ]],LISTA_MAQUINARIA,0)))</f>
        <v/>
      </c>
      <c r="FH45" s="166" t="str">
        <f>IF(Tabla593194[[#This Row],[Equipo ]]="","",INDEX(V_GALON,MATCH(Tabla593194[[#This Row],[Equipo ]],LISTA_MAQUINARIA,0)))</f>
        <v/>
      </c>
      <c r="FI45" s="10"/>
      <c r="FJ45" s="165" t="str">
        <f>IF(Tabla593194[[#This Row],[Equipo ]]="","",Tabla593194[[#This Row],[Valor mensual]]+Tabla593194[[#This Row],[Combustible Hora ]]*Tabla593194[[#This Row],[Valor galon]]*Tabla593194[[#This Row],[Horas mes]])</f>
        <v/>
      </c>
      <c r="FK45" s="168" t="str">
        <f>IF(Tabla593194[[#This Row],[Valor mensual + Combustible]]="","",Tabla593194[[#This Row],[Valor mensual + Combustible]]*Tabla593194[[#This Row],[Cantidad]])</f>
        <v/>
      </c>
      <c r="FN45" s="9"/>
      <c r="FO45" s="10"/>
      <c r="FP45" s="165" t="str">
        <f>IF(Tabla596197[[#This Row],[Equipo ]]="","",INDEX(V_MENSUAL,MATCH(Tabla596197[[#This Row],[Equipo ]],LISTA_MAQUINARIA,0)))</f>
        <v/>
      </c>
      <c r="FQ45" s="12" t="str">
        <f>IF(Tabla596197[[#This Row],[Equipo ]]="","",INDEX(CONSUMO_COMBUSTIBLE_H,MATCH(Tabla596197[[#This Row],[Equipo ]],LISTA_MAQUINARIA,0)))</f>
        <v/>
      </c>
      <c r="FR45" s="166" t="str">
        <f>IF(Tabla596197[[#This Row],[Equipo ]]="","",INDEX(V_GALON,MATCH(Tabla596197[[#This Row],[Equipo ]],LISTA_MAQUINARIA,0)))</f>
        <v/>
      </c>
      <c r="FS45" s="10"/>
      <c r="FT45" s="165" t="str">
        <f>IF(Tabla596197[[#This Row],[Equipo ]]="","",Tabla596197[[#This Row],[Valor mensual]]+Tabla596197[[#This Row],[Combustible Hora ]]*Tabla596197[[#This Row],[Valor galon]]*Tabla596197[[#This Row],[Horas mes]])</f>
        <v/>
      </c>
      <c r="FU45" s="168" t="str">
        <f>IF(Tabla596197[[#This Row],[Valor mensual + Combustible]]="","",Tabla596197[[#This Row],[Valor mensual + Combustible]]*Tabla596197[[#This Row],[Cantidad]])</f>
        <v/>
      </c>
    </row>
    <row r="46" spans="1:177" x14ac:dyDescent="0.3">
      <c r="A46" s="9" t="s">
        <v>503</v>
      </c>
      <c r="B46" s="10">
        <v>1</v>
      </c>
      <c r="C46" s="165">
        <f>IF(Tabla511[[#This Row],[Equipo ]]="","",INDEX(V_MENSUAL,MATCH(Tabla511[[#This Row],[Equipo ]],LISTA_MAQUINARIA,0)))</f>
        <v>6000000</v>
      </c>
      <c r="D46" s="12">
        <f>IF(Tabla511[[#This Row],[Equipo ]]="","",INDEX(CONSUMO_COMBUSTIBLE_H,MATCH(Tabla511[[#This Row],[Equipo ]],LISTA_MAQUINARIA,0)))</f>
        <v>0</v>
      </c>
      <c r="E46" s="166">
        <f>IF(Tabla511[[#This Row],[Equipo ]]="","",INDEX(V_GALON,MATCH(Tabla511[[#This Row],[Equipo ]],LISTA_MAQUINARIA,0)))</f>
        <v>10800</v>
      </c>
      <c r="F46" s="10"/>
      <c r="G46" s="165">
        <f>IF(Tabla511[[#This Row],[Equipo ]]="","",Tabla511[[#This Row],[Valor mensual]]+Tabla511[[#This Row],[Combustible Hora ]]*Tabla511[[#This Row],[Valor galon]]*Tabla511[[#This Row],[Horas mes]])</f>
        <v>6000000</v>
      </c>
      <c r="H46" s="168">
        <f>IF(Tabla511[[#This Row],[Valor mensual + Combustible]]="","",Tabla511[[#This Row],[Valor mensual + Combustible]]*Tabla511[[#This Row],[Cantidad]])</f>
        <v>6000000</v>
      </c>
      <c r="K46" s="9" t="s">
        <v>503</v>
      </c>
      <c r="L46" s="10">
        <v>1</v>
      </c>
      <c r="M46" s="165" cm="1">
        <f t="array" ref="M46">IF(Tabla54814[[#This Row],[Equipo ]]="","",INDEX(V_MENSUAL,MATCH(Tabla54814[[#This Row],[Equipo ]],LISTA_MAQUINARIA,0)))</f>
        <v>6000000</v>
      </c>
      <c r="N46" s="12">
        <f>IF(Tabla54814[[#This Row],[Equipo ]]="","",INDEX(CONSUMO_COMBUSTIBLE_H,MATCH(Tabla54814[[#This Row],[Equipo ]],LISTA_MAQUINARIA,0)))</f>
        <v>0</v>
      </c>
      <c r="O46" s="166">
        <f>IF(Tabla54814[[#This Row],[Equipo ]]="","",INDEX(V_GALON,MATCH(Tabla54814[[#This Row],[Equipo ]],LISTA_MAQUINARIA,0)))</f>
        <v>10800</v>
      </c>
      <c r="P46" s="10"/>
      <c r="Q46" s="165">
        <f>IF(Tabla54814[[#This Row],[Equipo ]]="","",Tabla54814[[#This Row],[Valor mensual]]+Tabla54814[[#This Row],[Combustible Hora ]]*Tabla54814[[#This Row],[Valor galon]]*Tabla54814[[#This Row],[Horas mes]])</f>
        <v>6000000</v>
      </c>
      <c r="R46" s="168">
        <f>IF(Tabla54814[[#This Row],[Valor mensual + Combustible]]="","",Tabla54814[[#This Row],[Valor mensual + Combustible]]*Tabla54814[[#This Row],[Cantidad]])</f>
        <v>6000000</v>
      </c>
      <c r="U46" s="9" t="s">
        <v>503</v>
      </c>
      <c r="V46" s="10">
        <v>1</v>
      </c>
      <c r="W46" s="165">
        <f>IF(Tabla55117[[#This Row],[Equipo ]]="","",INDEX(V_MENSUAL,MATCH(Tabla55117[[#This Row],[Equipo ]],LISTA_MAQUINARIA,0)))</f>
        <v>6000000</v>
      </c>
      <c r="X46" s="12">
        <f>IF(Tabla55117[[#This Row],[Equipo ]]="","",INDEX(CONSUMO_COMBUSTIBLE_H,MATCH(Tabla55117[[#This Row],[Equipo ]],LISTA_MAQUINARIA,0)))</f>
        <v>0</v>
      </c>
      <c r="Y46" s="166">
        <f>IF(Tabla55117[[#This Row],[Equipo ]]="","",INDEX(V_GALON,MATCH(Tabla55117[[#This Row],[Equipo ]],LISTA_MAQUINARIA,0)))</f>
        <v>10800</v>
      </c>
      <c r="Z46" s="10"/>
      <c r="AA46" s="165">
        <f>IF(Tabla55117[[#This Row],[Equipo ]]="","",Tabla55117[[#This Row],[Valor mensual]]+Tabla55117[[#This Row],[Combustible Hora ]]*Tabla55117[[#This Row],[Valor galon]]*Tabla55117[[#This Row],[Horas mes]])</f>
        <v>6000000</v>
      </c>
      <c r="AB46" s="168">
        <f>IF(Tabla55117[[#This Row],[Valor mensual + Combustible]]="","",Tabla55117[[#This Row],[Valor mensual + Combustible]]*Tabla55117[[#This Row],[Cantidad]])</f>
        <v>6000000</v>
      </c>
      <c r="AD46" s="9" t="s">
        <v>503</v>
      </c>
      <c r="AE46" s="10">
        <v>1</v>
      </c>
      <c r="AF46" s="165">
        <f>IF(Tabla55420[[#This Row],[Equipo ]]="","",INDEX(V_MENSUAL,MATCH(Tabla55420[[#This Row],[Equipo ]],LISTA_MAQUINARIA,0)))</f>
        <v>6000000</v>
      </c>
      <c r="AG46" s="12">
        <f>IF(Tabla55420[[#This Row],[Equipo ]]="","",INDEX(CONSUMO_COMBUSTIBLE_H,MATCH(Tabla55420[[#This Row],[Equipo ]],LISTA_MAQUINARIA,0)))</f>
        <v>0</v>
      </c>
      <c r="AH46" s="166">
        <f>IF(Tabla55420[[#This Row],[Equipo ]]="","",INDEX(V_GALON,MATCH(Tabla55420[[#This Row],[Equipo ]],LISTA_MAQUINARIA,0)))</f>
        <v>10800</v>
      </c>
      <c r="AI46" s="10"/>
      <c r="AJ46" s="165">
        <f>IF(Tabla55420[[#This Row],[Equipo ]]="","",Tabla55420[[#This Row],[Valor mensual]]+Tabla55420[[#This Row],[Combustible Hora ]]*Tabla55420[[#This Row],[Valor galon]]*Tabla55420[[#This Row],[Horas mes]])</f>
        <v>6000000</v>
      </c>
      <c r="AK46" s="168">
        <f>IF(Tabla55420[[#This Row],[Valor mensual + Combustible]]="","",Tabla55420[[#This Row],[Valor mensual + Combustible]]*Tabla55420[[#This Row],[Cantidad]])</f>
        <v>6000000</v>
      </c>
      <c r="AN46" s="9"/>
      <c r="AO46" s="10"/>
      <c r="AP46" s="165" t="str">
        <f>IF(Tabla55724[[#This Row],[Equipo ]]="","",INDEX(V_MENSUAL,MATCH(Tabla55724[[#This Row],[Equipo ]],LISTA_MAQUINARIA,0)))</f>
        <v/>
      </c>
      <c r="AQ46" s="12" t="str">
        <f>IF(Tabla55724[[#This Row],[Equipo ]]="","",INDEX(CONSUMO_COMBUSTIBLE_H,MATCH(Tabla55724[[#This Row],[Equipo ]],LISTA_MAQUINARIA,0)))</f>
        <v/>
      </c>
      <c r="AR46" s="166" t="str">
        <f>IF(Tabla55724[[#This Row],[Equipo ]]="","",INDEX(V_GALON,MATCH(Tabla55724[[#This Row],[Equipo ]],LISTA_MAQUINARIA,0)))</f>
        <v/>
      </c>
      <c r="AS46" s="10"/>
      <c r="AT46" s="165" t="str">
        <f>IF(Tabla55724[[#This Row],[Equipo ]]="","",Tabla55724[[#This Row],[Valor mensual]]+Tabla55724[[#This Row],[Combustible Hora ]]*Tabla55724[[#This Row],[Valor galon]]*Tabla55724[[#This Row],[Horas mes]])</f>
        <v/>
      </c>
      <c r="AU46" s="168" t="str">
        <f>IF(Tabla55724[[#This Row],[Valor mensual + Combustible]]="","",Tabla55724[[#This Row],[Valor mensual + Combustible]]*Tabla55724[[#This Row],[Cantidad]])</f>
        <v/>
      </c>
      <c r="AX46" s="9"/>
      <c r="AY46" s="10"/>
      <c r="AZ46" s="165" t="str">
        <f>IF(Tabla560121[[#This Row],[Equipo ]]="","",INDEX(V_MENSUAL,MATCH(Tabla560121[[#This Row],[Equipo ]],LISTA_MAQUINARIA,0)))</f>
        <v/>
      </c>
      <c r="BA46" s="12" t="str">
        <f>IF(Tabla560121[[#This Row],[Equipo ]]="","",INDEX(CONSUMO_COMBUSTIBLE_H,MATCH(Tabla560121[[#This Row],[Equipo ]],LISTA_MAQUINARIA,0)))</f>
        <v/>
      </c>
      <c r="BB46" s="166" t="str">
        <f>IF(Tabla560121[[#This Row],[Equipo ]]="","",INDEX(V_GALON,MATCH(Tabla560121[[#This Row],[Equipo ]],LISTA_MAQUINARIA,0)))</f>
        <v/>
      </c>
      <c r="BC46" s="10"/>
      <c r="BD46" s="165" t="str">
        <f>IF(Tabla560121[[#This Row],[Equipo ]]="","",Tabla560121[[#This Row],[Valor mensual]]+Tabla560121[[#This Row],[Combustible Hora ]]*Tabla560121[[#This Row],[Valor galon]]*Tabla560121[[#This Row],[Horas mes]])</f>
        <v/>
      </c>
      <c r="BE46" s="168" t="str">
        <f>IF(Tabla560121[[#This Row],[Valor mensual + Combustible]]="","",Tabla560121[[#This Row],[Valor mensual + Combustible]]*Tabla560121[[#This Row],[Cantidad]])</f>
        <v/>
      </c>
      <c r="BH46" s="9"/>
      <c r="BI46" s="10"/>
      <c r="BJ46" s="165" t="str">
        <f>IF(Tabla563164[[#This Row],[Equipo ]]="","",INDEX(V_MENSUAL,MATCH(Tabla563164[[#This Row],[Equipo ]],LISTA_MAQUINARIA,0)))</f>
        <v/>
      </c>
      <c r="BK46" s="12" t="str">
        <f>IF(Tabla563164[[#This Row],[Equipo ]]="","",INDEX(CONSUMO_COMBUSTIBLE_H,MATCH(Tabla563164[[#This Row],[Equipo ]],LISTA_MAQUINARIA,0)))</f>
        <v/>
      </c>
      <c r="BL46" s="166" t="str">
        <f>IF(Tabla563164[[#This Row],[Equipo ]]="","",INDEX(V_GALON,MATCH(Tabla563164[[#This Row],[Equipo ]],LISTA_MAQUINARIA,0)))</f>
        <v/>
      </c>
      <c r="BM46" s="10"/>
      <c r="BN46" s="165" t="str">
        <f>IF(Tabla563164[[#This Row],[Equipo ]]="","",Tabla563164[[#This Row],[Valor mensual]]+Tabla563164[[#This Row],[Combustible Hora ]]*Tabla563164[[#This Row],[Valor galon]]*Tabla563164[[#This Row],[Horas mes]])</f>
        <v/>
      </c>
      <c r="BO46" s="168" t="str">
        <f>IF(Tabla563164[[#This Row],[Valor mensual + Combustible]]="","",Tabla563164[[#This Row],[Valor mensual + Combustible]]*Tabla563164[[#This Row],[Cantidad]])</f>
        <v/>
      </c>
      <c r="BR46" s="9"/>
      <c r="BS46" s="10"/>
      <c r="BT46" s="165" t="str">
        <f>IF(Tabla566167[[#This Row],[Equipo ]]="","",INDEX(V_MENSUAL,MATCH(Tabla566167[[#This Row],[Equipo ]],LISTA_MAQUINARIA,0)))</f>
        <v/>
      </c>
      <c r="BU46" s="12" t="str">
        <f>IF(Tabla566167[[#This Row],[Equipo ]]="","",INDEX(CONSUMO_COMBUSTIBLE_H,MATCH(Tabla566167[[#This Row],[Equipo ]],LISTA_MAQUINARIA,0)))</f>
        <v/>
      </c>
      <c r="BV46" s="166" t="str">
        <f>IF(Tabla566167[[#This Row],[Equipo ]]="","",INDEX(V_GALON,MATCH(Tabla566167[[#This Row],[Equipo ]],LISTA_MAQUINARIA,0)))</f>
        <v/>
      </c>
      <c r="BW46" s="10"/>
      <c r="BX46" s="165" t="str">
        <f>IF(Tabla566167[[#This Row],[Equipo ]]="","",Tabla566167[[#This Row],[Valor mensual]]+Tabla566167[[#This Row],[Combustible Hora ]]*Tabla566167[[#This Row],[Valor galon]]*Tabla566167[[#This Row],[Horas mes]])</f>
        <v/>
      </c>
      <c r="BY46" s="168" t="str">
        <f>IF(Tabla566167[[#This Row],[Valor mensual + Combustible]]="","",Tabla566167[[#This Row],[Valor mensual + Combustible]]*Tabla566167[[#This Row],[Cantidad]])</f>
        <v/>
      </c>
      <c r="CB46" s="9"/>
      <c r="CC46" s="10"/>
      <c r="CD46" s="165" t="str">
        <f>IF(Tabla569170[[#This Row],[Equipo ]]="","",INDEX(V_MENSUAL,MATCH(Tabla569170[[#This Row],[Equipo ]],LISTA_MAQUINARIA,0)))</f>
        <v/>
      </c>
      <c r="CE46" s="12" t="str">
        <f>IF(Tabla569170[[#This Row],[Equipo ]]="","",INDEX(CONSUMO_COMBUSTIBLE_H,MATCH(Tabla569170[[#This Row],[Equipo ]],LISTA_MAQUINARIA,0)))</f>
        <v/>
      </c>
      <c r="CF46" s="166" t="str">
        <f>IF(Tabla569170[[#This Row],[Equipo ]]="","",INDEX(V_GALON,MATCH(Tabla569170[[#This Row],[Equipo ]],LISTA_MAQUINARIA,0)))</f>
        <v/>
      </c>
      <c r="CG46" s="10"/>
      <c r="CH46" s="165" t="str">
        <f>IF(Tabla569170[[#This Row],[Equipo ]]="","",Tabla569170[[#This Row],[Valor mensual]]+Tabla569170[[#This Row],[Combustible Hora ]]*Tabla569170[[#This Row],[Valor galon]]*Tabla569170[[#This Row],[Horas mes]])</f>
        <v/>
      </c>
      <c r="CI46" s="168" t="str">
        <f>IF(Tabla569170[[#This Row],[Valor mensual + Combustible]]="","",Tabla569170[[#This Row],[Valor mensual + Combustible]]*Tabla569170[[#This Row],[Cantidad]])</f>
        <v/>
      </c>
      <c r="CL46" s="9"/>
      <c r="CM46" s="10"/>
      <c r="CN46" s="165" t="str">
        <f>IF(Tabla572173[[#This Row],[Equipo ]]="","",INDEX(V_MENSUAL,MATCH(Tabla572173[[#This Row],[Equipo ]],LISTA_MAQUINARIA,0)))</f>
        <v/>
      </c>
      <c r="CO46" s="12" t="str">
        <f>IF(Tabla572173[[#This Row],[Equipo ]]="","",INDEX(CONSUMO_COMBUSTIBLE_H,MATCH(Tabla572173[[#This Row],[Equipo ]],LISTA_MAQUINARIA,0)))</f>
        <v/>
      </c>
      <c r="CP46" s="166" t="str">
        <f>IF(Tabla572173[[#This Row],[Equipo ]]="","",INDEX(V_GALON,MATCH(Tabla572173[[#This Row],[Equipo ]],LISTA_MAQUINARIA,0)))</f>
        <v/>
      </c>
      <c r="CQ46" s="10"/>
      <c r="CR46" s="165" t="str">
        <f>IF(Tabla572173[[#This Row],[Equipo ]]="","",Tabla572173[[#This Row],[Valor mensual]]+Tabla572173[[#This Row],[Combustible Hora ]]*Tabla572173[[#This Row],[Valor galon]]*Tabla572173[[#This Row],[Horas mes]])</f>
        <v/>
      </c>
      <c r="CS46" s="168" t="str">
        <f>IF(Tabla572173[[#This Row],[Valor mensual + Combustible]]="","",Tabla572173[[#This Row],[Valor mensual + Combustible]]*Tabla572173[[#This Row],[Cantidad]])</f>
        <v/>
      </c>
      <c r="CV46" s="9"/>
      <c r="CW46" s="10"/>
      <c r="CX46" s="165" t="str">
        <f>IF(Tabla575176[[#This Row],[Equipo ]]="","",INDEX(V_MENSUAL,MATCH(Tabla575176[[#This Row],[Equipo ]],LISTA_MAQUINARIA,0)))</f>
        <v/>
      </c>
      <c r="CY46" s="12" t="str">
        <f>IF(Tabla575176[[#This Row],[Equipo ]]="","",INDEX(CONSUMO_COMBUSTIBLE_H,MATCH(Tabla575176[[#This Row],[Equipo ]],LISTA_MAQUINARIA,0)))</f>
        <v/>
      </c>
      <c r="CZ46" s="166" t="str">
        <f>IF(Tabla575176[[#This Row],[Equipo ]]="","",INDEX(V_GALON,MATCH(Tabla575176[[#This Row],[Equipo ]],LISTA_MAQUINARIA,0)))</f>
        <v/>
      </c>
      <c r="DA46" s="10"/>
      <c r="DB46" s="165" t="str">
        <f>IF(Tabla575176[[#This Row],[Equipo ]]="","",Tabla575176[[#This Row],[Valor mensual]]+Tabla575176[[#This Row],[Combustible Hora ]]*Tabla575176[[#This Row],[Valor galon]]*Tabla575176[[#This Row],[Horas mes]])</f>
        <v/>
      </c>
      <c r="DC46" s="168" t="str">
        <f>IF(Tabla575176[[#This Row],[Valor mensual + Combustible]]="","",Tabla575176[[#This Row],[Valor mensual + Combustible]]*Tabla575176[[#This Row],[Cantidad]])</f>
        <v/>
      </c>
      <c r="DF46" s="9"/>
      <c r="DG46" s="10"/>
      <c r="DH46" s="165" t="str">
        <f>IF(Tabla578179[[#This Row],[Equipo ]]="","",INDEX(V_MENSUAL,MATCH(Tabla578179[[#This Row],[Equipo ]],LISTA_MAQUINARIA,0)))</f>
        <v/>
      </c>
      <c r="DI46" s="12" t="str">
        <f>IF(Tabla578179[[#This Row],[Equipo ]]="","",INDEX(CONSUMO_COMBUSTIBLE_H,MATCH(Tabla578179[[#This Row],[Equipo ]],LISTA_MAQUINARIA,0)))</f>
        <v/>
      </c>
      <c r="DJ46" s="166" t="str">
        <f>IF(Tabla578179[[#This Row],[Equipo ]]="","",INDEX(V_GALON,MATCH(Tabla578179[[#This Row],[Equipo ]],LISTA_MAQUINARIA,0)))</f>
        <v/>
      </c>
      <c r="DK46" s="10"/>
      <c r="DL46" s="165" t="str">
        <f>IF(Tabla578179[[#This Row],[Equipo ]]="","",Tabla578179[[#This Row],[Valor mensual]]+Tabla578179[[#This Row],[Combustible Hora ]]*Tabla578179[[#This Row],[Valor galon]]*Tabla578179[[#This Row],[Horas mes]])</f>
        <v/>
      </c>
      <c r="DM46" s="168" t="str">
        <f>IF(Tabla578179[[#This Row],[Valor mensual + Combustible]]="","",Tabla578179[[#This Row],[Valor mensual + Combustible]]*Tabla578179[[#This Row],[Cantidad]])</f>
        <v/>
      </c>
      <c r="DP46" s="9"/>
      <c r="DQ46" s="10"/>
      <c r="DR46" s="165" t="str">
        <f>IF(Tabla581182[[#This Row],[Equipo ]]="","",INDEX(V_MENSUAL,MATCH(Tabla581182[[#This Row],[Equipo ]],LISTA_MAQUINARIA,0)))</f>
        <v/>
      </c>
      <c r="DS46" s="12" t="str">
        <f>IF(Tabla581182[[#This Row],[Equipo ]]="","",INDEX(CONSUMO_COMBUSTIBLE_H,MATCH(Tabla581182[[#This Row],[Equipo ]],LISTA_MAQUINARIA,0)))</f>
        <v/>
      </c>
      <c r="DT46" s="166" t="str">
        <f>IF(Tabla581182[[#This Row],[Equipo ]]="","",INDEX(V_GALON,MATCH(Tabla581182[[#This Row],[Equipo ]],LISTA_MAQUINARIA,0)))</f>
        <v/>
      </c>
      <c r="DU46" s="10"/>
      <c r="DV46" s="165" t="str">
        <f>IF(Tabla581182[[#This Row],[Equipo ]]="","",Tabla581182[[#This Row],[Valor mensual]]+Tabla581182[[#This Row],[Combustible Hora ]]*Tabla581182[[#This Row],[Valor galon]]*Tabla581182[[#This Row],[Horas mes]])</f>
        <v/>
      </c>
      <c r="DW46" s="168" t="str">
        <f>IF(Tabla581182[[#This Row],[Valor mensual + Combustible]]="","",Tabla581182[[#This Row],[Valor mensual + Combustible]]*Tabla581182[[#This Row],[Cantidad]])</f>
        <v/>
      </c>
      <c r="DZ46" s="9"/>
      <c r="EA46" s="10"/>
      <c r="EB46" s="165" t="str">
        <f>IF(Tabla584185[[#This Row],[Equipo ]]="","",INDEX(V_MENSUAL,MATCH(Tabla584185[[#This Row],[Equipo ]],LISTA_MAQUINARIA,0)))</f>
        <v/>
      </c>
      <c r="EC46" s="12" t="str">
        <f>IF(Tabla584185[[#This Row],[Equipo ]]="","",INDEX(CONSUMO_COMBUSTIBLE_H,MATCH(Tabla584185[[#This Row],[Equipo ]],LISTA_MAQUINARIA,0)))</f>
        <v/>
      </c>
      <c r="ED46" s="166" t="str">
        <f>IF(Tabla584185[[#This Row],[Equipo ]]="","",INDEX(V_GALON,MATCH(Tabla584185[[#This Row],[Equipo ]],LISTA_MAQUINARIA,0)))</f>
        <v/>
      </c>
      <c r="EE46" s="10"/>
      <c r="EF46" s="165" t="str">
        <f>IF(Tabla584185[[#This Row],[Equipo ]]="","",Tabla584185[[#This Row],[Valor mensual]]+Tabla584185[[#This Row],[Combustible Hora ]]*Tabla584185[[#This Row],[Valor galon]]*Tabla584185[[#This Row],[Horas mes]])</f>
        <v/>
      </c>
      <c r="EG46" s="168" t="str">
        <f>IF(Tabla584185[[#This Row],[Valor mensual + Combustible]]="","",Tabla584185[[#This Row],[Valor mensual + Combustible]]*Tabla584185[[#This Row],[Cantidad]])</f>
        <v/>
      </c>
      <c r="EJ46" s="9"/>
      <c r="EK46" s="10"/>
      <c r="EL46" s="165" t="str">
        <f>IF(Tabla587188[[#This Row],[Equipo ]]="","",INDEX(V_MENSUAL,MATCH(Tabla587188[[#This Row],[Equipo ]],LISTA_MAQUINARIA,0)))</f>
        <v/>
      </c>
      <c r="EM46" s="12" t="str">
        <f>IF(Tabla587188[[#This Row],[Equipo ]]="","",INDEX(CONSUMO_COMBUSTIBLE_H,MATCH(Tabla587188[[#This Row],[Equipo ]],LISTA_MAQUINARIA,0)))</f>
        <v/>
      </c>
      <c r="EN46" s="166" t="str">
        <f>IF(Tabla587188[[#This Row],[Equipo ]]="","",INDEX(V_GALON,MATCH(Tabla587188[[#This Row],[Equipo ]],LISTA_MAQUINARIA,0)))</f>
        <v/>
      </c>
      <c r="EO46" s="10"/>
      <c r="EP46" s="165" t="str">
        <f>IF(Tabla587188[[#This Row],[Equipo ]]="","",Tabla587188[[#This Row],[Valor mensual]]+Tabla587188[[#This Row],[Combustible Hora ]]*Tabla587188[[#This Row],[Valor galon]]*Tabla587188[[#This Row],[Horas mes]])</f>
        <v/>
      </c>
      <c r="EQ46" s="168" t="str">
        <f>IF(Tabla587188[[#This Row],[Valor mensual + Combustible]]="","",Tabla587188[[#This Row],[Valor mensual + Combustible]]*Tabla587188[[#This Row],[Cantidad]])</f>
        <v/>
      </c>
      <c r="ET46" s="9"/>
      <c r="EU46" s="10"/>
      <c r="EV46" s="165" t="str">
        <f>IF(Tabla590191[[#This Row],[Equipo ]]="","",INDEX(V_MENSUAL,MATCH(Tabla590191[[#This Row],[Equipo ]],LISTA_MAQUINARIA,0)))</f>
        <v/>
      </c>
      <c r="EW46" s="12" t="str">
        <f>IF(Tabla590191[[#This Row],[Equipo ]]="","",INDEX(CONSUMO_COMBUSTIBLE_H,MATCH(Tabla590191[[#This Row],[Equipo ]],LISTA_MAQUINARIA,0)))</f>
        <v/>
      </c>
      <c r="EX46" s="166" t="str">
        <f>IF(Tabla590191[[#This Row],[Equipo ]]="","",INDEX(V_GALON,MATCH(Tabla590191[[#This Row],[Equipo ]],LISTA_MAQUINARIA,0)))</f>
        <v/>
      </c>
      <c r="EY46" s="10"/>
      <c r="EZ46" s="165" t="str">
        <f>IF(Tabla590191[[#This Row],[Equipo ]]="","",Tabla590191[[#This Row],[Valor mensual]]+Tabla590191[[#This Row],[Combustible Hora ]]*Tabla590191[[#This Row],[Valor galon]]*Tabla590191[[#This Row],[Horas mes]])</f>
        <v/>
      </c>
      <c r="FA46" s="168" t="str">
        <f>IF(Tabla590191[[#This Row],[Valor mensual + Combustible]]="","",Tabla590191[[#This Row],[Valor mensual + Combustible]]*Tabla590191[[#This Row],[Cantidad]])</f>
        <v/>
      </c>
      <c r="FD46" s="9"/>
      <c r="FE46" s="10"/>
      <c r="FF46" s="165" t="str">
        <f>IF(Tabla593194[[#This Row],[Equipo ]]="","",INDEX(V_MENSUAL,MATCH(Tabla593194[[#This Row],[Equipo ]],LISTA_MAQUINARIA,0)))</f>
        <v/>
      </c>
      <c r="FG46" s="12" t="str">
        <f>IF(Tabla593194[[#This Row],[Equipo ]]="","",INDEX(CONSUMO_COMBUSTIBLE_H,MATCH(Tabla593194[[#This Row],[Equipo ]],LISTA_MAQUINARIA,0)))</f>
        <v/>
      </c>
      <c r="FH46" s="166" t="str">
        <f>IF(Tabla593194[[#This Row],[Equipo ]]="","",INDEX(V_GALON,MATCH(Tabla593194[[#This Row],[Equipo ]],LISTA_MAQUINARIA,0)))</f>
        <v/>
      </c>
      <c r="FI46" s="10"/>
      <c r="FJ46" s="165" t="str">
        <f>IF(Tabla593194[[#This Row],[Equipo ]]="","",Tabla593194[[#This Row],[Valor mensual]]+Tabla593194[[#This Row],[Combustible Hora ]]*Tabla593194[[#This Row],[Valor galon]]*Tabla593194[[#This Row],[Horas mes]])</f>
        <v/>
      </c>
      <c r="FK46" s="168" t="str">
        <f>IF(Tabla593194[[#This Row],[Valor mensual + Combustible]]="","",Tabla593194[[#This Row],[Valor mensual + Combustible]]*Tabla593194[[#This Row],[Cantidad]])</f>
        <v/>
      </c>
      <c r="FN46" s="9"/>
      <c r="FO46" s="10"/>
      <c r="FP46" s="165" t="str">
        <f>IF(Tabla596197[[#This Row],[Equipo ]]="","",INDEX(V_MENSUAL,MATCH(Tabla596197[[#This Row],[Equipo ]],LISTA_MAQUINARIA,0)))</f>
        <v/>
      </c>
      <c r="FQ46" s="12" t="str">
        <f>IF(Tabla596197[[#This Row],[Equipo ]]="","",INDEX(CONSUMO_COMBUSTIBLE_H,MATCH(Tabla596197[[#This Row],[Equipo ]],LISTA_MAQUINARIA,0)))</f>
        <v/>
      </c>
      <c r="FR46" s="166" t="str">
        <f>IF(Tabla596197[[#This Row],[Equipo ]]="","",INDEX(V_GALON,MATCH(Tabla596197[[#This Row],[Equipo ]],LISTA_MAQUINARIA,0)))</f>
        <v/>
      </c>
      <c r="FS46" s="10"/>
      <c r="FT46" s="165" t="str">
        <f>IF(Tabla596197[[#This Row],[Equipo ]]="","",Tabla596197[[#This Row],[Valor mensual]]+Tabla596197[[#This Row],[Combustible Hora ]]*Tabla596197[[#This Row],[Valor galon]]*Tabla596197[[#This Row],[Horas mes]])</f>
        <v/>
      </c>
      <c r="FU46" s="168" t="str">
        <f>IF(Tabla596197[[#This Row],[Valor mensual + Combustible]]="","",Tabla596197[[#This Row],[Valor mensual + Combustible]]*Tabla596197[[#This Row],[Cantidad]])</f>
        <v/>
      </c>
    </row>
    <row r="47" spans="1:177" x14ac:dyDescent="0.3">
      <c r="A47" s="9" t="s">
        <v>504</v>
      </c>
      <c r="B47" s="10">
        <v>0.5</v>
      </c>
      <c r="C47" s="165">
        <f>IF(Tabla511[[#This Row],[Equipo ]]="","",INDEX(V_MENSUAL,MATCH(Tabla511[[#This Row],[Equipo ]],LISTA_MAQUINARIA,0)))</f>
        <v>1500000</v>
      </c>
      <c r="D47" s="12">
        <f>IF(Tabla511[[#This Row],[Equipo ]]="","",INDEX(CONSUMO_COMBUSTIBLE_H,MATCH(Tabla511[[#This Row],[Equipo ]],LISTA_MAQUINARIA,0)))</f>
        <v>0</v>
      </c>
      <c r="E47" s="166">
        <f>IF(Tabla511[[#This Row],[Equipo ]]="","",INDEX(V_GALON,MATCH(Tabla511[[#This Row],[Equipo ]],LISTA_MAQUINARIA,0)))</f>
        <v>10800</v>
      </c>
      <c r="F47" s="10"/>
      <c r="G47" s="165">
        <f>IF(Tabla511[[#This Row],[Equipo ]]="","",Tabla511[[#This Row],[Valor mensual]]+Tabla511[[#This Row],[Combustible Hora ]]*Tabla511[[#This Row],[Valor galon]]*Tabla511[[#This Row],[Horas mes]])</f>
        <v>1500000</v>
      </c>
      <c r="H47" s="168">
        <f>IF(Tabla511[[#This Row],[Valor mensual + Combustible]]="","",Tabla511[[#This Row],[Valor mensual + Combustible]]*Tabla511[[#This Row],[Cantidad]])</f>
        <v>750000</v>
      </c>
      <c r="K47" s="9" t="s">
        <v>504</v>
      </c>
      <c r="L47" s="10">
        <v>1</v>
      </c>
      <c r="M47" s="165" cm="1">
        <f t="array" ref="M47">IF(Tabla54814[[#This Row],[Equipo ]]="","",INDEX(V_MENSUAL,MATCH(Tabla54814[[#This Row],[Equipo ]],LISTA_MAQUINARIA,0)))</f>
        <v>1500000</v>
      </c>
      <c r="N47" s="12">
        <f>IF(Tabla54814[[#This Row],[Equipo ]]="","",INDEX(CONSUMO_COMBUSTIBLE_H,MATCH(Tabla54814[[#This Row],[Equipo ]],LISTA_MAQUINARIA,0)))</f>
        <v>0</v>
      </c>
      <c r="O47" s="166">
        <f>IF(Tabla54814[[#This Row],[Equipo ]]="","",INDEX(V_GALON,MATCH(Tabla54814[[#This Row],[Equipo ]],LISTA_MAQUINARIA,0)))</f>
        <v>10800</v>
      </c>
      <c r="P47" s="10"/>
      <c r="Q47" s="165">
        <f>IF(Tabla54814[[#This Row],[Equipo ]]="","",Tabla54814[[#This Row],[Valor mensual]]+Tabla54814[[#This Row],[Combustible Hora ]]*Tabla54814[[#This Row],[Valor galon]]*Tabla54814[[#This Row],[Horas mes]])</f>
        <v>1500000</v>
      </c>
      <c r="R47" s="168">
        <f>IF(Tabla54814[[#This Row],[Valor mensual + Combustible]]="","",Tabla54814[[#This Row],[Valor mensual + Combustible]]*Tabla54814[[#This Row],[Cantidad]])</f>
        <v>1500000</v>
      </c>
      <c r="U47" s="9" t="s">
        <v>504</v>
      </c>
      <c r="V47" s="10">
        <v>1</v>
      </c>
      <c r="W47" s="165">
        <f>IF(Tabla55117[[#This Row],[Equipo ]]="","",INDEX(V_MENSUAL,MATCH(Tabla55117[[#This Row],[Equipo ]],LISTA_MAQUINARIA,0)))</f>
        <v>1500000</v>
      </c>
      <c r="X47" s="12">
        <f>IF(Tabla55117[[#This Row],[Equipo ]]="","",INDEX(CONSUMO_COMBUSTIBLE_H,MATCH(Tabla55117[[#This Row],[Equipo ]],LISTA_MAQUINARIA,0)))</f>
        <v>0</v>
      </c>
      <c r="Y47" s="166">
        <f>IF(Tabla55117[[#This Row],[Equipo ]]="","",INDEX(V_GALON,MATCH(Tabla55117[[#This Row],[Equipo ]],LISTA_MAQUINARIA,0)))</f>
        <v>10800</v>
      </c>
      <c r="Z47" s="10"/>
      <c r="AA47" s="165">
        <f>IF(Tabla55117[[#This Row],[Equipo ]]="","",Tabla55117[[#This Row],[Valor mensual]]+Tabla55117[[#This Row],[Combustible Hora ]]*Tabla55117[[#This Row],[Valor galon]]*Tabla55117[[#This Row],[Horas mes]])</f>
        <v>1500000</v>
      </c>
      <c r="AB47" s="168">
        <f>IF(Tabla55117[[#This Row],[Valor mensual + Combustible]]="","",Tabla55117[[#This Row],[Valor mensual + Combustible]]*Tabla55117[[#This Row],[Cantidad]])</f>
        <v>1500000</v>
      </c>
      <c r="AD47" s="9" t="s">
        <v>504</v>
      </c>
      <c r="AE47" s="10">
        <v>1</v>
      </c>
      <c r="AF47" s="165">
        <f>IF(Tabla55420[[#This Row],[Equipo ]]="","",INDEX(V_MENSUAL,MATCH(Tabla55420[[#This Row],[Equipo ]],LISTA_MAQUINARIA,0)))</f>
        <v>1500000</v>
      </c>
      <c r="AG47" s="12">
        <f>IF(Tabla55420[[#This Row],[Equipo ]]="","",INDEX(CONSUMO_COMBUSTIBLE_H,MATCH(Tabla55420[[#This Row],[Equipo ]],LISTA_MAQUINARIA,0)))</f>
        <v>0</v>
      </c>
      <c r="AH47" s="166">
        <f>IF(Tabla55420[[#This Row],[Equipo ]]="","",INDEX(V_GALON,MATCH(Tabla55420[[#This Row],[Equipo ]],LISTA_MAQUINARIA,0)))</f>
        <v>10800</v>
      </c>
      <c r="AI47" s="10"/>
      <c r="AJ47" s="165">
        <f>IF(Tabla55420[[#This Row],[Equipo ]]="","",Tabla55420[[#This Row],[Valor mensual]]+Tabla55420[[#This Row],[Combustible Hora ]]*Tabla55420[[#This Row],[Valor galon]]*Tabla55420[[#This Row],[Horas mes]])</f>
        <v>1500000</v>
      </c>
      <c r="AK47" s="168">
        <f>IF(Tabla55420[[#This Row],[Valor mensual + Combustible]]="","",Tabla55420[[#This Row],[Valor mensual + Combustible]]*Tabla55420[[#This Row],[Cantidad]])</f>
        <v>1500000</v>
      </c>
      <c r="AN47" s="9"/>
      <c r="AO47" s="10"/>
      <c r="AP47" s="165" t="str">
        <f>IF(Tabla55724[[#This Row],[Equipo ]]="","",INDEX(V_MENSUAL,MATCH(Tabla55724[[#This Row],[Equipo ]],LISTA_MAQUINARIA,0)))</f>
        <v/>
      </c>
      <c r="AQ47" s="12" t="str">
        <f>IF(Tabla55724[[#This Row],[Equipo ]]="","",INDEX(CONSUMO_COMBUSTIBLE_H,MATCH(Tabla55724[[#This Row],[Equipo ]],LISTA_MAQUINARIA,0)))</f>
        <v/>
      </c>
      <c r="AR47" s="166" t="str">
        <f>IF(Tabla55724[[#This Row],[Equipo ]]="","",INDEX(V_GALON,MATCH(Tabla55724[[#This Row],[Equipo ]],LISTA_MAQUINARIA,0)))</f>
        <v/>
      </c>
      <c r="AS47" s="10"/>
      <c r="AT47" s="165" t="str">
        <f>IF(Tabla55724[[#This Row],[Equipo ]]="","",Tabla55724[[#This Row],[Valor mensual]]+Tabla55724[[#This Row],[Combustible Hora ]]*Tabla55724[[#This Row],[Valor galon]]*Tabla55724[[#This Row],[Horas mes]])</f>
        <v/>
      </c>
      <c r="AU47" s="168" t="str">
        <f>IF(Tabla55724[[#This Row],[Valor mensual + Combustible]]="","",Tabla55724[[#This Row],[Valor mensual + Combustible]]*Tabla55724[[#This Row],[Cantidad]])</f>
        <v/>
      </c>
      <c r="AX47" s="9"/>
      <c r="AY47" s="10"/>
      <c r="AZ47" s="165" t="str">
        <f>IF(Tabla560121[[#This Row],[Equipo ]]="","",INDEX(V_MENSUAL,MATCH(Tabla560121[[#This Row],[Equipo ]],LISTA_MAQUINARIA,0)))</f>
        <v/>
      </c>
      <c r="BA47" s="12" t="str">
        <f>IF(Tabla560121[[#This Row],[Equipo ]]="","",INDEX(CONSUMO_COMBUSTIBLE_H,MATCH(Tabla560121[[#This Row],[Equipo ]],LISTA_MAQUINARIA,0)))</f>
        <v/>
      </c>
      <c r="BB47" s="166" t="str">
        <f>IF(Tabla560121[[#This Row],[Equipo ]]="","",INDEX(V_GALON,MATCH(Tabla560121[[#This Row],[Equipo ]],LISTA_MAQUINARIA,0)))</f>
        <v/>
      </c>
      <c r="BC47" s="10"/>
      <c r="BD47" s="165" t="str">
        <f>IF(Tabla560121[[#This Row],[Equipo ]]="","",Tabla560121[[#This Row],[Valor mensual]]+Tabla560121[[#This Row],[Combustible Hora ]]*Tabla560121[[#This Row],[Valor galon]]*Tabla560121[[#This Row],[Horas mes]])</f>
        <v/>
      </c>
      <c r="BE47" s="168" t="str">
        <f>IF(Tabla560121[[#This Row],[Valor mensual + Combustible]]="","",Tabla560121[[#This Row],[Valor mensual + Combustible]]*Tabla560121[[#This Row],[Cantidad]])</f>
        <v/>
      </c>
      <c r="BH47" s="9"/>
      <c r="BI47" s="10"/>
      <c r="BJ47" s="165" t="str">
        <f>IF(Tabla563164[[#This Row],[Equipo ]]="","",INDEX(V_MENSUAL,MATCH(Tabla563164[[#This Row],[Equipo ]],LISTA_MAQUINARIA,0)))</f>
        <v/>
      </c>
      <c r="BK47" s="12" t="str">
        <f>IF(Tabla563164[[#This Row],[Equipo ]]="","",INDEX(CONSUMO_COMBUSTIBLE_H,MATCH(Tabla563164[[#This Row],[Equipo ]],LISTA_MAQUINARIA,0)))</f>
        <v/>
      </c>
      <c r="BL47" s="166" t="str">
        <f>IF(Tabla563164[[#This Row],[Equipo ]]="","",INDEX(V_GALON,MATCH(Tabla563164[[#This Row],[Equipo ]],LISTA_MAQUINARIA,0)))</f>
        <v/>
      </c>
      <c r="BM47" s="10"/>
      <c r="BN47" s="165" t="str">
        <f>IF(Tabla563164[[#This Row],[Equipo ]]="","",Tabla563164[[#This Row],[Valor mensual]]+Tabla563164[[#This Row],[Combustible Hora ]]*Tabla563164[[#This Row],[Valor galon]]*Tabla563164[[#This Row],[Horas mes]])</f>
        <v/>
      </c>
      <c r="BO47" s="168" t="str">
        <f>IF(Tabla563164[[#This Row],[Valor mensual + Combustible]]="","",Tabla563164[[#This Row],[Valor mensual + Combustible]]*Tabla563164[[#This Row],[Cantidad]])</f>
        <v/>
      </c>
      <c r="BR47" s="9"/>
      <c r="BS47" s="10"/>
      <c r="BT47" s="165" t="str">
        <f>IF(Tabla566167[[#This Row],[Equipo ]]="","",INDEX(V_MENSUAL,MATCH(Tabla566167[[#This Row],[Equipo ]],LISTA_MAQUINARIA,0)))</f>
        <v/>
      </c>
      <c r="BU47" s="12" t="str">
        <f>IF(Tabla566167[[#This Row],[Equipo ]]="","",INDEX(CONSUMO_COMBUSTIBLE_H,MATCH(Tabla566167[[#This Row],[Equipo ]],LISTA_MAQUINARIA,0)))</f>
        <v/>
      </c>
      <c r="BV47" s="166" t="str">
        <f>IF(Tabla566167[[#This Row],[Equipo ]]="","",INDEX(V_GALON,MATCH(Tabla566167[[#This Row],[Equipo ]],LISTA_MAQUINARIA,0)))</f>
        <v/>
      </c>
      <c r="BW47" s="10"/>
      <c r="BX47" s="165" t="str">
        <f>IF(Tabla566167[[#This Row],[Equipo ]]="","",Tabla566167[[#This Row],[Valor mensual]]+Tabla566167[[#This Row],[Combustible Hora ]]*Tabla566167[[#This Row],[Valor galon]]*Tabla566167[[#This Row],[Horas mes]])</f>
        <v/>
      </c>
      <c r="BY47" s="168" t="str">
        <f>IF(Tabla566167[[#This Row],[Valor mensual + Combustible]]="","",Tabla566167[[#This Row],[Valor mensual + Combustible]]*Tabla566167[[#This Row],[Cantidad]])</f>
        <v/>
      </c>
      <c r="CB47" s="9"/>
      <c r="CC47" s="10"/>
      <c r="CD47" s="165" t="str">
        <f>IF(Tabla569170[[#This Row],[Equipo ]]="","",INDEX(V_MENSUAL,MATCH(Tabla569170[[#This Row],[Equipo ]],LISTA_MAQUINARIA,0)))</f>
        <v/>
      </c>
      <c r="CE47" s="12" t="str">
        <f>IF(Tabla569170[[#This Row],[Equipo ]]="","",INDEX(CONSUMO_COMBUSTIBLE_H,MATCH(Tabla569170[[#This Row],[Equipo ]],LISTA_MAQUINARIA,0)))</f>
        <v/>
      </c>
      <c r="CF47" s="166" t="str">
        <f>IF(Tabla569170[[#This Row],[Equipo ]]="","",INDEX(V_GALON,MATCH(Tabla569170[[#This Row],[Equipo ]],LISTA_MAQUINARIA,0)))</f>
        <v/>
      </c>
      <c r="CG47" s="10"/>
      <c r="CH47" s="165" t="str">
        <f>IF(Tabla569170[[#This Row],[Equipo ]]="","",Tabla569170[[#This Row],[Valor mensual]]+Tabla569170[[#This Row],[Combustible Hora ]]*Tabla569170[[#This Row],[Valor galon]]*Tabla569170[[#This Row],[Horas mes]])</f>
        <v/>
      </c>
      <c r="CI47" s="168" t="str">
        <f>IF(Tabla569170[[#This Row],[Valor mensual + Combustible]]="","",Tabla569170[[#This Row],[Valor mensual + Combustible]]*Tabla569170[[#This Row],[Cantidad]])</f>
        <v/>
      </c>
      <c r="CL47" s="9"/>
      <c r="CM47" s="10"/>
      <c r="CN47" s="165" t="str">
        <f>IF(Tabla572173[[#This Row],[Equipo ]]="","",INDEX(V_MENSUAL,MATCH(Tabla572173[[#This Row],[Equipo ]],LISTA_MAQUINARIA,0)))</f>
        <v/>
      </c>
      <c r="CO47" s="12" t="str">
        <f>IF(Tabla572173[[#This Row],[Equipo ]]="","",INDEX(CONSUMO_COMBUSTIBLE_H,MATCH(Tabla572173[[#This Row],[Equipo ]],LISTA_MAQUINARIA,0)))</f>
        <v/>
      </c>
      <c r="CP47" s="166" t="str">
        <f>IF(Tabla572173[[#This Row],[Equipo ]]="","",INDEX(V_GALON,MATCH(Tabla572173[[#This Row],[Equipo ]],LISTA_MAQUINARIA,0)))</f>
        <v/>
      </c>
      <c r="CQ47" s="10"/>
      <c r="CR47" s="165" t="str">
        <f>IF(Tabla572173[[#This Row],[Equipo ]]="","",Tabla572173[[#This Row],[Valor mensual]]+Tabla572173[[#This Row],[Combustible Hora ]]*Tabla572173[[#This Row],[Valor galon]]*Tabla572173[[#This Row],[Horas mes]])</f>
        <v/>
      </c>
      <c r="CS47" s="168" t="str">
        <f>IF(Tabla572173[[#This Row],[Valor mensual + Combustible]]="","",Tabla572173[[#This Row],[Valor mensual + Combustible]]*Tabla572173[[#This Row],[Cantidad]])</f>
        <v/>
      </c>
      <c r="CV47" s="9"/>
      <c r="CW47" s="10"/>
      <c r="CX47" s="165" t="str">
        <f>IF(Tabla575176[[#This Row],[Equipo ]]="","",INDEX(V_MENSUAL,MATCH(Tabla575176[[#This Row],[Equipo ]],LISTA_MAQUINARIA,0)))</f>
        <v/>
      </c>
      <c r="CY47" s="12" t="str">
        <f>IF(Tabla575176[[#This Row],[Equipo ]]="","",INDEX(CONSUMO_COMBUSTIBLE_H,MATCH(Tabla575176[[#This Row],[Equipo ]],LISTA_MAQUINARIA,0)))</f>
        <v/>
      </c>
      <c r="CZ47" s="166" t="str">
        <f>IF(Tabla575176[[#This Row],[Equipo ]]="","",INDEX(V_GALON,MATCH(Tabla575176[[#This Row],[Equipo ]],LISTA_MAQUINARIA,0)))</f>
        <v/>
      </c>
      <c r="DA47" s="10"/>
      <c r="DB47" s="165" t="str">
        <f>IF(Tabla575176[[#This Row],[Equipo ]]="","",Tabla575176[[#This Row],[Valor mensual]]+Tabla575176[[#This Row],[Combustible Hora ]]*Tabla575176[[#This Row],[Valor galon]]*Tabla575176[[#This Row],[Horas mes]])</f>
        <v/>
      </c>
      <c r="DC47" s="168" t="str">
        <f>IF(Tabla575176[[#This Row],[Valor mensual + Combustible]]="","",Tabla575176[[#This Row],[Valor mensual + Combustible]]*Tabla575176[[#This Row],[Cantidad]])</f>
        <v/>
      </c>
      <c r="DF47" s="9"/>
      <c r="DG47" s="10"/>
      <c r="DH47" s="165" t="str">
        <f>IF(Tabla578179[[#This Row],[Equipo ]]="","",INDEX(V_MENSUAL,MATCH(Tabla578179[[#This Row],[Equipo ]],LISTA_MAQUINARIA,0)))</f>
        <v/>
      </c>
      <c r="DI47" s="12" t="str">
        <f>IF(Tabla578179[[#This Row],[Equipo ]]="","",INDEX(CONSUMO_COMBUSTIBLE_H,MATCH(Tabla578179[[#This Row],[Equipo ]],LISTA_MAQUINARIA,0)))</f>
        <v/>
      </c>
      <c r="DJ47" s="166" t="str">
        <f>IF(Tabla578179[[#This Row],[Equipo ]]="","",INDEX(V_GALON,MATCH(Tabla578179[[#This Row],[Equipo ]],LISTA_MAQUINARIA,0)))</f>
        <v/>
      </c>
      <c r="DK47" s="10"/>
      <c r="DL47" s="165" t="str">
        <f>IF(Tabla578179[[#This Row],[Equipo ]]="","",Tabla578179[[#This Row],[Valor mensual]]+Tabla578179[[#This Row],[Combustible Hora ]]*Tabla578179[[#This Row],[Valor galon]]*Tabla578179[[#This Row],[Horas mes]])</f>
        <v/>
      </c>
      <c r="DM47" s="168" t="str">
        <f>IF(Tabla578179[[#This Row],[Valor mensual + Combustible]]="","",Tabla578179[[#This Row],[Valor mensual + Combustible]]*Tabla578179[[#This Row],[Cantidad]])</f>
        <v/>
      </c>
      <c r="DP47" s="9"/>
      <c r="DQ47" s="10"/>
      <c r="DR47" s="165" t="str">
        <f>IF(Tabla581182[[#This Row],[Equipo ]]="","",INDEX(V_MENSUAL,MATCH(Tabla581182[[#This Row],[Equipo ]],LISTA_MAQUINARIA,0)))</f>
        <v/>
      </c>
      <c r="DS47" s="12" t="str">
        <f>IF(Tabla581182[[#This Row],[Equipo ]]="","",INDEX(CONSUMO_COMBUSTIBLE_H,MATCH(Tabla581182[[#This Row],[Equipo ]],LISTA_MAQUINARIA,0)))</f>
        <v/>
      </c>
      <c r="DT47" s="166" t="str">
        <f>IF(Tabla581182[[#This Row],[Equipo ]]="","",INDEX(V_GALON,MATCH(Tabla581182[[#This Row],[Equipo ]],LISTA_MAQUINARIA,0)))</f>
        <v/>
      </c>
      <c r="DU47" s="10"/>
      <c r="DV47" s="165" t="str">
        <f>IF(Tabla581182[[#This Row],[Equipo ]]="","",Tabla581182[[#This Row],[Valor mensual]]+Tabla581182[[#This Row],[Combustible Hora ]]*Tabla581182[[#This Row],[Valor galon]]*Tabla581182[[#This Row],[Horas mes]])</f>
        <v/>
      </c>
      <c r="DW47" s="168" t="str">
        <f>IF(Tabla581182[[#This Row],[Valor mensual + Combustible]]="","",Tabla581182[[#This Row],[Valor mensual + Combustible]]*Tabla581182[[#This Row],[Cantidad]])</f>
        <v/>
      </c>
      <c r="DZ47" s="9"/>
      <c r="EA47" s="10"/>
      <c r="EB47" s="165" t="str">
        <f>IF(Tabla584185[[#This Row],[Equipo ]]="","",INDEX(V_MENSUAL,MATCH(Tabla584185[[#This Row],[Equipo ]],LISTA_MAQUINARIA,0)))</f>
        <v/>
      </c>
      <c r="EC47" s="12" t="str">
        <f>IF(Tabla584185[[#This Row],[Equipo ]]="","",INDEX(CONSUMO_COMBUSTIBLE_H,MATCH(Tabla584185[[#This Row],[Equipo ]],LISTA_MAQUINARIA,0)))</f>
        <v/>
      </c>
      <c r="ED47" s="166" t="str">
        <f>IF(Tabla584185[[#This Row],[Equipo ]]="","",INDEX(V_GALON,MATCH(Tabla584185[[#This Row],[Equipo ]],LISTA_MAQUINARIA,0)))</f>
        <v/>
      </c>
      <c r="EE47" s="10"/>
      <c r="EF47" s="165" t="str">
        <f>IF(Tabla584185[[#This Row],[Equipo ]]="","",Tabla584185[[#This Row],[Valor mensual]]+Tabla584185[[#This Row],[Combustible Hora ]]*Tabla584185[[#This Row],[Valor galon]]*Tabla584185[[#This Row],[Horas mes]])</f>
        <v/>
      </c>
      <c r="EG47" s="168" t="str">
        <f>IF(Tabla584185[[#This Row],[Valor mensual + Combustible]]="","",Tabla584185[[#This Row],[Valor mensual + Combustible]]*Tabla584185[[#This Row],[Cantidad]])</f>
        <v/>
      </c>
      <c r="EJ47" s="9"/>
      <c r="EK47" s="10"/>
      <c r="EL47" s="165" t="str">
        <f>IF(Tabla587188[[#This Row],[Equipo ]]="","",INDEX(V_MENSUAL,MATCH(Tabla587188[[#This Row],[Equipo ]],LISTA_MAQUINARIA,0)))</f>
        <v/>
      </c>
      <c r="EM47" s="12" t="str">
        <f>IF(Tabla587188[[#This Row],[Equipo ]]="","",INDEX(CONSUMO_COMBUSTIBLE_H,MATCH(Tabla587188[[#This Row],[Equipo ]],LISTA_MAQUINARIA,0)))</f>
        <v/>
      </c>
      <c r="EN47" s="166" t="str">
        <f>IF(Tabla587188[[#This Row],[Equipo ]]="","",INDEX(V_GALON,MATCH(Tabla587188[[#This Row],[Equipo ]],LISTA_MAQUINARIA,0)))</f>
        <v/>
      </c>
      <c r="EO47" s="10"/>
      <c r="EP47" s="165" t="str">
        <f>IF(Tabla587188[[#This Row],[Equipo ]]="","",Tabla587188[[#This Row],[Valor mensual]]+Tabla587188[[#This Row],[Combustible Hora ]]*Tabla587188[[#This Row],[Valor galon]]*Tabla587188[[#This Row],[Horas mes]])</f>
        <v/>
      </c>
      <c r="EQ47" s="168" t="str">
        <f>IF(Tabla587188[[#This Row],[Valor mensual + Combustible]]="","",Tabla587188[[#This Row],[Valor mensual + Combustible]]*Tabla587188[[#This Row],[Cantidad]])</f>
        <v/>
      </c>
      <c r="ET47" s="9"/>
      <c r="EU47" s="10"/>
      <c r="EV47" s="165" t="str">
        <f>IF(Tabla590191[[#This Row],[Equipo ]]="","",INDEX(V_MENSUAL,MATCH(Tabla590191[[#This Row],[Equipo ]],LISTA_MAQUINARIA,0)))</f>
        <v/>
      </c>
      <c r="EW47" s="12" t="str">
        <f>IF(Tabla590191[[#This Row],[Equipo ]]="","",INDEX(CONSUMO_COMBUSTIBLE_H,MATCH(Tabla590191[[#This Row],[Equipo ]],LISTA_MAQUINARIA,0)))</f>
        <v/>
      </c>
      <c r="EX47" s="166" t="str">
        <f>IF(Tabla590191[[#This Row],[Equipo ]]="","",INDEX(V_GALON,MATCH(Tabla590191[[#This Row],[Equipo ]],LISTA_MAQUINARIA,0)))</f>
        <v/>
      </c>
      <c r="EY47" s="10"/>
      <c r="EZ47" s="165" t="str">
        <f>IF(Tabla590191[[#This Row],[Equipo ]]="","",Tabla590191[[#This Row],[Valor mensual]]+Tabla590191[[#This Row],[Combustible Hora ]]*Tabla590191[[#This Row],[Valor galon]]*Tabla590191[[#This Row],[Horas mes]])</f>
        <v/>
      </c>
      <c r="FA47" s="168" t="str">
        <f>IF(Tabla590191[[#This Row],[Valor mensual + Combustible]]="","",Tabla590191[[#This Row],[Valor mensual + Combustible]]*Tabla590191[[#This Row],[Cantidad]])</f>
        <v/>
      </c>
      <c r="FD47" s="9"/>
      <c r="FE47" s="10"/>
      <c r="FF47" s="165" t="str">
        <f>IF(Tabla593194[[#This Row],[Equipo ]]="","",INDEX(V_MENSUAL,MATCH(Tabla593194[[#This Row],[Equipo ]],LISTA_MAQUINARIA,0)))</f>
        <v/>
      </c>
      <c r="FG47" s="12" t="str">
        <f>IF(Tabla593194[[#This Row],[Equipo ]]="","",INDEX(CONSUMO_COMBUSTIBLE_H,MATCH(Tabla593194[[#This Row],[Equipo ]],LISTA_MAQUINARIA,0)))</f>
        <v/>
      </c>
      <c r="FH47" s="166" t="str">
        <f>IF(Tabla593194[[#This Row],[Equipo ]]="","",INDEX(V_GALON,MATCH(Tabla593194[[#This Row],[Equipo ]],LISTA_MAQUINARIA,0)))</f>
        <v/>
      </c>
      <c r="FI47" s="10"/>
      <c r="FJ47" s="165" t="str">
        <f>IF(Tabla593194[[#This Row],[Equipo ]]="","",Tabla593194[[#This Row],[Valor mensual]]+Tabla593194[[#This Row],[Combustible Hora ]]*Tabla593194[[#This Row],[Valor galon]]*Tabla593194[[#This Row],[Horas mes]])</f>
        <v/>
      </c>
      <c r="FK47" s="168" t="str">
        <f>IF(Tabla593194[[#This Row],[Valor mensual + Combustible]]="","",Tabla593194[[#This Row],[Valor mensual + Combustible]]*Tabla593194[[#This Row],[Cantidad]])</f>
        <v/>
      </c>
      <c r="FN47" s="9"/>
      <c r="FO47" s="10"/>
      <c r="FP47" s="165" t="str">
        <f>IF(Tabla596197[[#This Row],[Equipo ]]="","",INDEX(V_MENSUAL,MATCH(Tabla596197[[#This Row],[Equipo ]],LISTA_MAQUINARIA,0)))</f>
        <v/>
      </c>
      <c r="FQ47" s="12" t="str">
        <f>IF(Tabla596197[[#This Row],[Equipo ]]="","",INDEX(CONSUMO_COMBUSTIBLE_H,MATCH(Tabla596197[[#This Row],[Equipo ]],LISTA_MAQUINARIA,0)))</f>
        <v/>
      </c>
      <c r="FR47" s="166" t="str">
        <f>IF(Tabla596197[[#This Row],[Equipo ]]="","",INDEX(V_GALON,MATCH(Tabla596197[[#This Row],[Equipo ]],LISTA_MAQUINARIA,0)))</f>
        <v/>
      </c>
      <c r="FS47" s="10"/>
      <c r="FT47" s="165" t="str">
        <f>IF(Tabla596197[[#This Row],[Equipo ]]="","",Tabla596197[[#This Row],[Valor mensual]]+Tabla596197[[#This Row],[Combustible Hora ]]*Tabla596197[[#This Row],[Valor galon]]*Tabla596197[[#This Row],[Horas mes]])</f>
        <v/>
      </c>
      <c r="FU47" s="168" t="str">
        <f>IF(Tabla596197[[#This Row],[Valor mensual + Combustible]]="","",Tabla596197[[#This Row],[Valor mensual + Combustible]]*Tabla596197[[#This Row],[Cantidad]])</f>
        <v/>
      </c>
    </row>
    <row r="48" spans="1:177" x14ac:dyDescent="0.3">
      <c r="A48" s="9" t="s">
        <v>368</v>
      </c>
      <c r="B48" s="10">
        <v>1</v>
      </c>
      <c r="C48" s="165">
        <f>IF(Tabla511[[#This Row],[Equipo ]]="","",INDEX(V_MENSUAL,MATCH(Tabla511[[#This Row],[Equipo ]],LISTA_MAQUINARIA,0)))</f>
        <v>6500000</v>
      </c>
      <c r="D48" s="12">
        <f>IF(Tabla511[[#This Row],[Equipo ]]="","",INDEX(CONSUMO_COMBUSTIBLE_H,MATCH(Tabla511[[#This Row],[Equipo ]],LISTA_MAQUINARIA,0)))</f>
        <v>2</v>
      </c>
      <c r="E48" s="166">
        <f>IF(Tabla511[[#This Row],[Equipo ]]="","",INDEX(V_GALON,MATCH(Tabla511[[#This Row],[Equipo ]],LISTA_MAQUINARIA,0)))</f>
        <v>10800</v>
      </c>
      <c r="F48" s="10">
        <v>88</v>
      </c>
      <c r="G48" s="165">
        <f>IF(Tabla511[[#This Row],[Equipo ]]="","",Tabla511[[#This Row],[Valor mensual]]+Tabla511[[#This Row],[Combustible Hora ]]*Tabla511[[#This Row],[Valor galon]]*Tabla511[[#This Row],[Horas mes]])</f>
        <v>8400800</v>
      </c>
      <c r="H48" s="168">
        <f>IF(Tabla511[[#This Row],[Valor mensual + Combustible]]="","",Tabla511[[#This Row],[Valor mensual + Combustible]]*Tabla511[[#This Row],[Cantidad]])</f>
        <v>8400800</v>
      </c>
      <c r="K48" s="9" t="s">
        <v>368</v>
      </c>
      <c r="L48" s="10">
        <v>2</v>
      </c>
      <c r="M48" s="165" cm="1">
        <f t="array" ref="M48">IF(Tabla54814[[#This Row],[Equipo ]]="","",INDEX(V_MENSUAL,MATCH(Tabla54814[[#This Row],[Equipo ]],LISTA_MAQUINARIA,0)))</f>
        <v>6500000</v>
      </c>
      <c r="N48" s="12">
        <f>IF(Tabla54814[[#This Row],[Equipo ]]="","",INDEX(CONSUMO_COMBUSTIBLE_H,MATCH(Tabla54814[[#This Row],[Equipo ]],LISTA_MAQUINARIA,0)))</f>
        <v>2</v>
      </c>
      <c r="O48" s="166">
        <f>IF(Tabla54814[[#This Row],[Equipo ]]="","",INDEX(V_GALON,MATCH(Tabla54814[[#This Row],[Equipo ]],LISTA_MAQUINARIA,0)))</f>
        <v>10800</v>
      </c>
      <c r="P48" s="10">
        <v>88</v>
      </c>
      <c r="Q48" s="165">
        <f>IF(Tabla54814[[#This Row],[Equipo ]]="","",Tabla54814[[#This Row],[Valor mensual]]+Tabla54814[[#This Row],[Combustible Hora ]]*Tabla54814[[#This Row],[Valor galon]]*Tabla54814[[#This Row],[Horas mes]])</f>
        <v>8400800</v>
      </c>
      <c r="R48" s="168">
        <f>IF(Tabla54814[[#This Row],[Valor mensual + Combustible]]="","",Tabla54814[[#This Row],[Valor mensual + Combustible]]*Tabla54814[[#This Row],[Cantidad]])</f>
        <v>16801600</v>
      </c>
      <c r="U48" s="9" t="s">
        <v>368</v>
      </c>
      <c r="V48" s="10">
        <v>2</v>
      </c>
      <c r="W48" s="165">
        <f>IF(Tabla55117[[#This Row],[Equipo ]]="","",INDEX(V_MENSUAL,MATCH(Tabla55117[[#This Row],[Equipo ]],LISTA_MAQUINARIA,0)))</f>
        <v>6500000</v>
      </c>
      <c r="X48" s="12">
        <f>IF(Tabla55117[[#This Row],[Equipo ]]="","",INDEX(CONSUMO_COMBUSTIBLE_H,MATCH(Tabla55117[[#This Row],[Equipo ]],LISTA_MAQUINARIA,0)))</f>
        <v>2</v>
      </c>
      <c r="Y48" s="166">
        <f>IF(Tabla55117[[#This Row],[Equipo ]]="","",INDEX(V_GALON,MATCH(Tabla55117[[#This Row],[Equipo ]],LISTA_MAQUINARIA,0)))</f>
        <v>10800</v>
      </c>
      <c r="Z48" s="10"/>
      <c r="AA48" s="165">
        <f>IF(Tabla55117[[#This Row],[Equipo ]]="","",Tabla55117[[#This Row],[Valor mensual]]+Tabla55117[[#This Row],[Combustible Hora ]]*Tabla55117[[#This Row],[Valor galon]]*Tabla55117[[#This Row],[Horas mes]])</f>
        <v>6500000</v>
      </c>
      <c r="AB48" s="168">
        <f>IF(Tabla55117[[#This Row],[Valor mensual + Combustible]]="","",Tabla55117[[#This Row],[Valor mensual + Combustible]]*Tabla55117[[#This Row],[Cantidad]])</f>
        <v>13000000</v>
      </c>
      <c r="AD48" s="9" t="s">
        <v>368</v>
      </c>
      <c r="AE48" s="10">
        <v>2</v>
      </c>
      <c r="AF48" s="165">
        <f>IF(Tabla55420[[#This Row],[Equipo ]]="","",INDEX(V_MENSUAL,MATCH(Tabla55420[[#This Row],[Equipo ]],LISTA_MAQUINARIA,0)))</f>
        <v>6500000</v>
      </c>
      <c r="AG48" s="12">
        <f>IF(Tabla55420[[#This Row],[Equipo ]]="","",INDEX(CONSUMO_COMBUSTIBLE_H,MATCH(Tabla55420[[#This Row],[Equipo ]],LISTA_MAQUINARIA,0)))</f>
        <v>2</v>
      </c>
      <c r="AH48" s="166">
        <f>IF(Tabla55420[[#This Row],[Equipo ]]="","",INDEX(V_GALON,MATCH(Tabla55420[[#This Row],[Equipo ]],LISTA_MAQUINARIA,0)))</f>
        <v>10800</v>
      </c>
      <c r="AI48" s="10"/>
      <c r="AJ48" s="165">
        <f>IF(Tabla55420[[#This Row],[Equipo ]]="","",Tabla55420[[#This Row],[Valor mensual]]+Tabla55420[[#This Row],[Combustible Hora ]]*Tabla55420[[#This Row],[Valor galon]]*Tabla55420[[#This Row],[Horas mes]])</f>
        <v>6500000</v>
      </c>
      <c r="AK48" s="168">
        <f>IF(Tabla55420[[#This Row],[Valor mensual + Combustible]]="","",Tabla55420[[#This Row],[Valor mensual + Combustible]]*Tabla55420[[#This Row],[Cantidad]])</f>
        <v>13000000</v>
      </c>
      <c r="AN48" s="9"/>
      <c r="AO48" s="10"/>
      <c r="AP48" s="165" t="str">
        <f>IF(Tabla55724[[#This Row],[Equipo ]]="","",INDEX(V_MENSUAL,MATCH(Tabla55724[[#This Row],[Equipo ]],LISTA_MAQUINARIA,0)))</f>
        <v/>
      </c>
      <c r="AQ48" s="12" t="str">
        <f>IF(Tabla55724[[#This Row],[Equipo ]]="","",INDEX(CONSUMO_COMBUSTIBLE_H,MATCH(Tabla55724[[#This Row],[Equipo ]],LISTA_MAQUINARIA,0)))</f>
        <v/>
      </c>
      <c r="AR48" s="166" t="str">
        <f>IF(Tabla55724[[#This Row],[Equipo ]]="","",INDEX(V_GALON,MATCH(Tabla55724[[#This Row],[Equipo ]],LISTA_MAQUINARIA,0)))</f>
        <v/>
      </c>
      <c r="AS48" s="10"/>
      <c r="AT48" s="165" t="str">
        <f>IF(Tabla55724[[#This Row],[Equipo ]]="","",Tabla55724[[#This Row],[Valor mensual]]+Tabla55724[[#This Row],[Combustible Hora ]]*Tabla55724[[#This Row],[Valor galon]]*Tabla55724[[#This Row],[Horas mes]])</f>
        <v/>
      </c>
      <c r="AU48" s="168" t="str">
        <f>IF(Tabla55724[[#This Row],[Valor mensual + Combustible]]="","",Tabla55724[[#This Row],[Valor mensual + Combustible]]*Tabla55724[[#This Row],[Cantidad]])</f>
        <v/>
      </c>
      <c r="AX48" s="9"/>
      <c r="AY48" s="10"/>
      <c r="AZ48" s="165" t="str">
        <f>IF(Tabla560121[[#This Row],[Equipo ]]="","",INDEX(V_MENSUAL,MATCH(Tabla560121[[#This Row],[Equipo ]],LISTA_MAQUINARIA,0)))</f>
        <v/>
      </c>
      <c r="BA48" s="12" t="str">
        <f>IF(Tabla560121[[#This Row],[Equipo ]]="","",INDEX(CONSUMO_COMBUSTIBLE_H,MATCH(Tabla560121[[#This Row],[Equipo ]],LISTA_MAQUINARIA,0)))</f>
        <v/>
      </c>
      <c r="BB48" s="166" t="str">
        <f>IF(Tabla560121[[#This Row],[Equipo ]]="","",INDEX(V_GALON,MATCH(Tabla560121[[#This Row],[Equipo ]],LISTA_MAQUINARIA,0)))</f>
        <v/>
      </c>
      <c r="BC48" s="10"/>
      <c r="BD48" s="165" t="str">
        <f>IF(Tabla560121[[#This Row],[Equipo ]]="","",Tabla560121[[#This Row],[Valor mensual]]+Tabla560121[[#This Row],[Combustible Hora ]]*Tabla560121[[#This Row],[Valor galon]]*Tabla560121[[#This Row],[Horas mes]])</f>
        <v/>
      </c>
      <c r="BE48" s="168" t="str">
        <f>IF(Tabla560121[[#This Row],[Valor mensual + Combustible]]="","",Tabla560121[[#This Row],[Valor mensual + Combustible]]*Tabla560121[[#This Row],[Cantidad]])</f>
        <v/>
      </c>
      <c r="BH48" s="9"/>
      <c r="BI48" s="10"/>
      <c r="BJ48" s="165" t="str">
        <f>IF(Tabla563164[[#This Row],[Equipo ]]="","",INDEX(V_MENSUAL,MATCH(Tabla563164[[#This Row],[Equipo ]],LISTA_MAQUINARIA,0)))</f>
        <v/>
      </c>
      <c r="BK48" s="12" t="str">
        <f>IF(Tabla563164[[#This Row],[Equipo ]]="","",INDEX(CONSUMO_COMBUSTIBLE_H,MATCH(Tabla563164[[#This Row],[Equipo ]],LISTA_MAQUINARIA,0)))</f>
        <v/>
      </c>
      <c r="BL48" s="166" t="str">
        <f>IF(Tabla563164[[#This Row],[Equipo ]]="","",INDEX(V_GALON,MATCH(Tabla563164[[#This Row],[Equipo ]],LISTA_MAQUINARIA,0)))</f>
        <v/>
      </c>
      <c r="BM48" s="10"/>
      <c r="BN48" s="165" t="str">
        <f>IF(Tabla563164[[#This Row],[Equipo ]]="","",Tabla563164[[#This Row],[Valor mensual]]+Tabla563164[[#This Row],[Combustible Hora ]]*Tabla563164[[#This Row],[Valor galon]]*Tabla563164[[#This Row],[Horas mes]])</f>
        <v/>
      </c>
      <c r="BO48" s="168" t="str">
        <f>IF(Tabla563164[[#This Row],[Valor mensual + Combustible]]="","",Tabla563164[[#This Row],[Valor mensual + Combustible]]*Tabla563164[[#This Row],[Cantidad]])</f>
        <v/>
      </c>
      <c r="BR48" s="9"/>
      <c r="BS48" s="10"/>
      <c r="BT48" s="165" t="str">
        <f>IF(Tabla566167[[#This Row],[Equipo ]]="","",INDEX(V_MENSUAL,MATCH(Tabla566167[[#This Row],[Equipo ]],LISTA_MAQUINARIA,0)))</f>
        <v/>
      </c>
      <c r="BU48" s="12" t="str">
        <f>IF(Tabla566167[[#This Row],[Equipo ]]="","",INDEX(CONSUMO_COMBUSTIBLE_H,MATCH(Tabla566167[[#This Row],[Equipo ]],LISTA_MAQUINARIA,0)))</f>
        <v/>
      </c>
      <c r="BV48" s="166" t="str">
        <f>IF(Tabla566167[[#This Row],[Equipo ]]="","",INDEX(V_GALON,MATCH(Tabla566167[[#This Row],[Equipo ]],LISTA_MAQUINARIA,0)))</f>
        <v/>
      </c>
      <c r="BW48" s="10"/>
      <c r="BX48" s="165" t="str">
        <f>IF(Tabla566167[[#This Row],[Equipo ]]="","",Tabla566167[[#This Row],[Valor mensual]]+Tabla566167[[#This Row],[Combustible Hora ]]*Tabla566167[[#This Row],[Valor galon]]*Tabla566167[[#This Row],[Horas mes]])</f>
        <v/>
      </c>
      <c r="BY48" s="168" t="str">
        <f>IF(Tabla566167[[#This Row],[Valor mensual + Combustible]]="","",Tabla566167[[#This Row],[Valor mensual + Combustible]]*Tabla566167[[#This Row],[Cantidad]])</f>
        <v/>
      </c>
      <c r="CB48" s="9"/>
      <c r="CC48" s="10"/>
      <c r="CD48" s="165" t="str">
        <f>IF(Tabla569170[[#This Row],[Equipo ]]="","",INDEX(V_MENSUAL,MATCH(Tabla569170[[#This Row],[Equipo ]],LISTA_MAQUINARIA,0)))</f>
        <v/>
      </c>
      <c r="CE48" s="12" t="str">
        <f>IF(Tabla569170[[#This Row],[Equipo ]]="","",INDEX(CONSUMO_COMBUSTIBLE_H,MATCH(Tabla569170[[#This Row],[Equipo ]],LISTA_MAQUINARIA,0)))</f>
        <v/>
      </c>
      <c r="CF48" s="166" t="str">
        <f>IF(Tabla569170[[#This Row],[Equipo ]]="","",INDEX(V_GALON,MATCH(Tabla569170[[#This Row],[Equipo ]],LISTA_MAQUINARIA,0)))</f>
        <v/>
      </c>
      <c r="CG48" s="10"/>
      <c r="CH48" s="165" t="str">
        <f>IF(Tabla569170[[#This Row],[Equipo ]]="","",Tabla569170[[#This Row],[Valor mensual]]+Tabla569170[[#This Row],[Combustible Hora ]]*Tabla569170[[#This Row],[Valor galon]]*Tabla569170[[#This Row],[Horas mes]])</f>
        <v/>
      </c>
      <c r="CI48" s="168" t="str">
        <f>IF(Tabla569170[[#This Row],[Valor mensual + Combustible]]="","",Tabla569170[[#This Row],[Valor mensual + Combustible]]*Tabla569170[[#This Row],[Cantidad]])</f>
        <v/>
      </c>
      <c r="CL48" s="9"/>
      <c r="CM48" s="10"/>
      <c r="CN48" s="165" t="str">
        <f>IF(Tabla572173[[#This Row],[Equipo ]]="","",INDEX(V_MENSUAL,MATCH(Tabla572173[[#This Row],[Equipo ]],LISTA_MAQUINARIA,0)))</f>
        <v/>
      </c>
      <c r="CO48" s="12" t="str">
        <f>IF(Tabla572173[[#This Row],[Equipo ]]="","",INDEX(CONSUMO_COMBUSTIBLE_H,MATCH(Tabla572173[[#This Row],[Equipo ]],LISTA_MAQUINARIA,0)))</f>
        <v/>
      </c>
      <c r="CP48" s="166" t="str">
        <f>IF(Tabla572173[[#This Row],[Equipo ]]="","",INDEX(V_GALON,MATCH(Tabla572173[[#This Row],[Equipo ]],LISTA_MAQUINARIA,0)))</f>
        <v/>
      </c>
      <c r="CQ48" s="10"/>
      <c r="CR48" s="165" t="str">
        <f>IF(Tabla572173[[#This Row],[Equipo ]]="","",Tabla572173[[#This Row],[Valor mensual]]+Tabla572173[[#This Row],[Combustible Hora ]]*Tabla572173[[#This Row],[Valor galon]]*Tabla572173[[#This Row],[Horas mes]])</f>
        <v/>
      </c>
      <c r="CS48" s="168" t="str">
        <f>IF(Tabla572173[[#This Row],[Valor mensual + Combustible]]="","",Tabla572173[[#This Row],[Valor mensual + Combustible]]*Tabla572173[[#This Row],[Cantidad]])</f>
        <v/>
      </c>
      <c r="CV48" s="9"/>
      <c r="CW48" s="10"/>
      <c r="CX48" s="165" t="str">
        <f>IF(Tabla575176[[#This Row],[Equipo ]]="","",INDEX(V_MENSUAL,MATCH(Tabla575176[[#This Row],[Equipo ]],LISTA_MAQUINARIA,0)))</f>
        <v/>
      </c>
      <c r="CY48" s="12" t="str">
        <f>IF(Tabla575176[[#This Row],[Equipo ]]="","",INDEX(CONSUMO_COMBUSTIBLE_H,MATCH(Tabla575176[[#This Row],[Equipo ]],LISTA_MAQUINARIA,0)))</f>
        <v/>
      </c>
      <c r="CZ48" s="166" t="str">
        <f>IF(Tabla575176[[#This Row],[Equipo ]]="","",INDEX(V_GALON,MATCH(Tabla575176[[#This Row],[Equipo ]],LISTA_MAQUINARIA,0)))</f>
        <v/>
      </c>
      <c r="DA48" s="10"/>
      <c r="DB48" s="165" t="str">
        <f>IF(Tabla575176[[#This Row],[Equipo ]]="","",Tabla575176[[#This Row],[Valor mensual]]+Tabla575176[[#This Row],[Combustible Hora ]]*Tabla575176[[#This Row],[Valor galon]]*Tabla575176[[#This Row],[Horas mes]])</f>
        <v/>
      </c>
      <c r="DC48" s="168" t="str">
        <f>IF(Tabla575176[[#This Row],[Valor mensual + Combustible]]="","",Tabla575176[[#This Row],[Valor mensual + Combustible]]*Tabla575176[[#This Row],[Cantidad]])</f>
        <v/>
      </c>
      <c r="DF48" s="9"/>
      <c r="DG48" s="10"/>
      <c r="DH48" s="165" t="str">
        <f>IF(Tabla578179[[#This Row],[Equipo ]]="","",INDEX(V_MENSUAL,MATCH(Tabla578179[[#This Row],[Equipo ]],LISTA_MAQUINARIA,0)))</f>
        <v/>
      </c>
      <c r="DI48" s="12" t="str">
        <f>IF(Tabla578179[[#This Row],[Equipo ]]="","",INDEX(CONSUMO_COMBUSTIBLE_H,MATCH(Tabla578179[[#This Row],[Equipo ]],LISTA_MAQUINARIA,0)))</f>
        <v/>
      </c>
      <c r="DJ48" s="166" t="str">
        <f>IF(Tabla578179[[#This Row],[Equipo ]]="","",INDEX(V_GALON,MATCH(Tabla578179[[#This Row],[Equipo ]],LISTA_MAQUINARIA,0)))</f>
        <v/>
      </c>
      <c r="DK48" s="10"/>
      <c r="DL48" s="165" t="str">
        <f>IF(Tabla578179[[#This Row],[Equipo ]]="","",Tabla578179[[#This Row],[Valor mensual]]+Tabla578179[[#This Row],[Combustible Hora ]]*Tabla578179[[#This Row],[Valor galon]]*Tabla578179[[#This Row],[Horas mes]])</f>
        <v/>
      </c>
      <c r="DM48" s="168" t="str">
        <f>IF(Tabla578179[[#This Row],[Valor mensual + Combustible]]="","",Tabla578179[[#This Row],[Valor mensual + Combustible]]*Tabla578179[[#This Row],[Cantidad]])</f>
        <v/>
      </c>
      <c r="DP48" s="9"/>
      <c r="DQ48" s="10"/>
      <c r="DR48" s="165" t="str">
        <f>IF(Tabla581182[[#This Row],[Equipo ]]="","",INDEX(V_MENSUAL,MATCH(Tabla581182[[#This Row],[Equipo ]],LISTA_MAQUINARIA,0)))</f>
        <v/>
      </c>
      <c r="DS48" s="12" t="str">
        <f>IF(Tabla581182[[#This Row],[Equipo ]]="","",INDEX(CONSUMO_COMBUSTIBLE_H,MATCH(Tabla581182[[#This Row],[Equipo ]],LISTA_MAQUINARIA,0)))</f>
        <v/>
      </c>
      <c r="DT48" s="166" t="str">
        <f>IF(Tabla581182[[#This Row],[Equipo ]]="","",INDEX(V_GALON,MATCH(Tabla581182[[#This Row],[Equipo ]],LISTA_MAQUINARIA,0)))</f>
        <v/>
      </c>
      <c r="DU48" s="10"/>
      <c r="DV48" s="165" t="str">
        <f>IF(Tabla581182[[#This Row],[Equipo ]]="","",Tabla581182[[#This Row],[Valor mensual]]+Tabla581182[[#This Row],[Combustible Hora ]]*Tabla581182[[#This Row],[Valor galon]]*Tabla581182[[#This Row],[Horas mes]])</f>
        <v/>
      </c>
      <c r="DW48" s="168" t="str">
        <f>IF(Tabla581182[[#This Row],[Valor mensual + Combustible]]="","",Tabla581182[[#This Row],[Valor mensual + Combustible]]*Tabla581182[[#This Row],[Cantidad]])</f>
        <v/>
      </c>
      <c r="DZ48" s="9"/>
      <c r="EA48" s="10"/>
      <c r="EB48" s="165" t="str">
        <f>IF(Tabla584185[[#This Row],[Equipo ]]="","",INDEX(V_MENSUAL,MATCH(Tabla584185[[#This Row],[Equipo ]],LISTA_MAQUINARIA,0)))</f>
        <v/>
      </c>
      <c r="EC48" s="12" t="str">
        <f>IF(Tabla584185[[#This Row],[Equipo ]]="","",INDEX(CONSUMO_COMBUSTIBLE_H,MATCH(Tabla584185[[#This Row],[Equipo ]],LISTA_MAQUINARIA,0)))</f>
        <v/>
      </c>
      <c r="ED48" s="166" t="str">
        <f>IF(Tabla584185[[#This Row],[Equipo ]]="","",INDEX(V_GALON,MATCH(Tabla584185[[#This Row],[Equipo ]],LISTA_MAQUINARIA,0)))</f>
        <v/>
      </c>
      <c r="EE48" s="10"/>
      <c r="EF48" s="165" t="str">
        <f>IF(Tabla584185[[#This Row],[Equipo ]]="","",Tabla584185[[#This Row],[Valor mensual]]+Tabla584185[[#This Row],[Combustible Hora ]]*Tabla584185[[#This Row],[Valor galon]]*Tabla584185[[#This Row],[Horas mes]])</f>
        <v/>
      </c>
      <c r="EG48" s="168" t="str">
        <f>IF(Tabla584185[[#This Row],[Valor mensual + Combustible]]="","",Tabla584185[[#This Row],[Valor mensual + Combustible]]*Tabla584185[[#This Row],[Cantidad]])</f>
        <v/>
      </c>
      <c r="EJ48" s="9"/>
      <c r="EK48" s="10"/>
      <c r="EL48" s="165" t="str">
        <f>IF(Tabla587188[[#This Row],[Equipo ]]="","",INDEX(V_MENSUAL,MATCH(Tabla587188[[#This Row],[Equipo ]],LISTA_MAQUINARIA,0)))</f>
        <v/>
      </c>
      <c r="EM48" s="12" t="str">
        <f>IF(Tabla587188[[#This Row],[Equipo ]]="","",INDEX(CONSUMO_COMBUSTIBLE_H,MATCH(Tabla587188[[#This Row],[Equipo ]],LISTA_MAQUINARIA,0)))</f>
        <v/>
      </c>
      <c r="EN48" s="166" t="str">
        <f>IF(Tabla587188[[#This Row],[Equipo ]]="","",INDEX(V_GALON,MATCH(Tabla587188[[#This Row],[Equipo ]],LISTA_MAQUINARIA,0)))</f>
        <v/>
      </c>
      <c r="EO48" s="10"/>
      <c r="EP48" s="165" t="str">
        <f>IF(Tabla587188[[#This Row],[Equipo ]]="","",Tabla587188[[#This Row],[Valor mensual]]+Tabla587188[[#This Row],[Combustible Hora ]]*Tabla587188[[#This Row],[Valor galon]]*Tabla587188[[#This Row],[Horas mes]])</f>
        <v/>
      </c>
      <c r="EQ48" s="168" t="str">
        <f>IF(Tabla587188[[#This Row],[Valor mensual + Combustible]]="","",Tabla587188[[#This Row],[Valor mensual + Combustible]]*Tabla587188[[#This Row],[Cantidad]])</f>
        <v/>
      </c>
      <c r="ET48" s="9"/>
      <c r="EU48" s="10"/>
      <c r="EV48" s="165" t="str">
        <f>IF(Tabla590191[[#This Row],[Equipo ]]="","",INDEX(V_MENSUAL,MATCH(Tabla590191[[#This Row],[Equipo ]],LISTA_MAQUINARIA,0)))</f>
        <v/>
      </c>
      <c r="EW48" s="12" t="str">
        <f>IF(Tabla590191[[#This Row],[Equipo ]]="","",INDEX(CONSUMO_COMBUSTIBLE_H,MATCH(Tabla590191[[#This Row],[Equipo ]],LISTA_MAQUINARIA,0)))</f>
        <v/>
      </c>
      <c r="EX48" s="166" t="str">
        <f>IF(Tabla590191[[#This Row],[Equipo ]]="","",INDEX(V_GALON,MATCH(Tabla590191[[#This Row],[Equipo ]],LISTA_MAQUINARIA,0)))</f>
        <v/>
      </c>
      <c r="EY48" s="10"/>
      <c r="EZ48" s="165" t="str">
        <f>IF(Tabla590191[[#This Row],[Equipo ]]="","",Tabla590191[[#This Row],[Valor mensual]]+Tabla590191[[#This Row],[Combustible Hora ]]*Tabla590191[[#This Row],[Valor galon]]*Tabla590191[[#This Row],[Horas mes]])</f>
        <v/>
      </c>
      <c r="FA48" s="168" t="str">
        <f>IF(Tabla590191[[#This Row],[Valor mensual + Combustible]]="","",Tabla590191[[#This Row],[Valor mensual + Combustible]]*Tabla590191[[#This Row],[Cantidad]])</f>
        <v/>
      </c>
      <c r="FD48" s="9"/>
      <c r="FE48" s="10"/>
      <c r="FF48" s="165" t="str">
        <f>IF(Tabla593194[[#This Row],[Equipo ]]="","",INDEX(V_MENSUAL,MATCH(Tabla593194[[#This Row],[Equipo ]],LISTA_MAQUINARIA,0)))</f>
        <v/>
      </c>
      <c r="FG48" s="12" t="str">
        <f>IF(Tabla593194[[#This Row],[Equipo ]]="","",INDEX(CONSUMO_COMBUSTIBLE_H,MATCH(Tabla593194[[#This Row],[Equipo ]],LISTA_MAQUINARIA,0)))</f>
        <v/>
      </c>
      <c r="FH48" s="166" t="str">
        <f>IF(Tabla593194[[#This Row],[Equipo ]]="","",INDEX(V_GALON,MATCH(Tabla593194[[#This Row],[Equipo ]],LISTA_MAQUINARIA,0)))</f>
        <v/>
      </c>
      <c r="FI48" s="10"/>
      <c r="FJ48" s="165" t="str">
        <f>IF(Tabla593194[[#This Row],[Equipo ]]="","",Tabla593194[[#This Row],[Valor mensual]]+Tabla593194[[#This Row],[Combustible Hora ]]*Tabla593194[[#This Row],[Valor galon]]*Tabla593194[[#This Row],[Horas mes]])</f>
        <v/>
      </c>
      <c r="FK48" s="168" t="str">
        <f>IF(Tabla593194[[#This Row],[Valor mensual + Combustible]]="","",Tabla593194[[#This Row],[Valor mensual + Combustible]]*Tabla593194[[#This Row],[Cantidad]])</f>
        <v/>
      </c>
      <c r="FN48" s="9"/>
      <c r="FO48" s="10"/>
      <c r="FP48" s="165" t="str">
        <f>IF(Tabla596197[[#This Row],[Equipo ]]="","",INDEX(V_MENSUAL,MATCH(Tabla596197[[#This Row],[Equipo ]],LISTA_MAQUINARIA,0)))</f>
        <v/>
      </c>
      <c r="FQ48" s="12" t="str">
        <f>IF(Tabla596197[[#This Row],[Equipo ]]="","",INDEX(CONSUMO_COMBUSTIBLE_H,MATCH(Tabla596197[[#This Row],[Equipo ]],LISTA_MAQUINARIA,0)))</f>
        <v/>
      </c>
      <c r="FR48" s="166" t="str">
        <f>IF(Tabla596197[[#This Row],[Equipo ]]="","",INDEX(V_GALON,MATCH(Tabla596197[[#This Row],[Equipo ]],LISTA_MAQUINARIA,0)))</f>
        <v/>
      </c>
      <c r="FS48" s="10"/>
      <c r="FT48" s="165" t="str">
        <f>IF(Tabla596197[[#This Row],[Equipo ]]="","",Tabla596197[[#This Row],[Valor mensual]]+Tabla596197[[#This Row],[Combustible Hora ]]*Tabla596197[[#This Row],[Valor galon]]*Tabla596197[[#This Row],[Horas mes]])</f>
        <v/>
      </c>
      <c r="FU48" s="168" t="str">
        <f>IF(Tabla596197[[#This Row],[Valor mensual + Combustible]]="","",Tabla596197[[#This Row],[Valor mensual + Combustible]]*Tabla596197[[#This Row],[Cantidad]])</f>
        <v/>
      </c>
    </row>
    <row r="49" spans="1:177" x14ac:dyDescent="0.3">
      <c r="A49" s="9" t="s">
        <v>508</v>
      </c>
      <c r="B49" s="10">
        <v>1</v>
      </c>
      <c r="C49" s="165">
        <f>IF(Tabla511[[#This Row],[Equipo ]]="","",INDEX(V_MENSUAL,MATCH(Tabla511[[#This Row],[Equipo ]],LISTA_MAQUINARIA,0)))</f>
        <v>1800000</v>
      </c>
      <c r="D49" s="12">
        <f>IF(Tabla511[[#This Row],[Equipo ]]="","",INDEX(CONSUMO_COMBUSTIBLE_H,MATCH(Tabla511[[#This Row],[Equipo ]],LISTA_MAQUINARIA,0)))</f>
        <v>0</v>
      </c>
      <c r="E49" s="166">
        <f>IF(Tabla511[[#This Row],[Equipo ]]="","",INDEX(V_GALON,MATCH(Tabla511[[#This Row],[Equipo ]],LISTA_MAQUINARIA,0)))</f>
        <v>10800</v>
      </c>
      <c r="F49" s="10"/>
      <c r="G49" s="165">
        <f>IF(Tabla511[[#This Row],[Equipo ]]="","",Tabla511[[#This Row],[Valor mensual]]+Tabla511[[#This Row],[Combustible Hora ]]*Tabla511[[#This Row],[Valor galon]]*Tabla511[[#This Row],[Horas mes]])</f>
        <v>1800000</v>
      </c>
      <c r="H49" s="168">
        <f>IF(Tabla511[[#This Row],[Valor mensual + Combustible]]="","",Tabla511[[#This Row],[Valor mensual + Combustible]]*Tabla511[[#This Row],[Cantidad]])</f>
        <v>1800000</v>
      </c>
      <c r="K49" s="9" t="s">
        <v>508</v>
      </c>
      <c r="L49" s="10">
        <v>1</v>
      </c>
      <c r="M49" s="165" cm="1">
        <f t="array" ref="M49">IF(Tabla54814[[#This Row],[Equipo ]]="","",INDEX(V_MENSUAL,MATCH(Tabla54814[[#This Row],[Equipo ]],LISTA_MAQUINARIA,0)))</f>
        <v>1800000</v>
      </c>
      <c r="N49" s="12">
        <f>IF(Tabla54814[[#This Row],[Equipo ]]="","",INDEX(CONSUMO_COMBUSTIBLE_H,MATCH(Tabla54814[[#This Row],[Equipo ]],LISTA_MAQUINARIA,0)))</f>
        <v>0</v>
      </c>
      <c r="O49" s="166">
        <f>IF(Tabla54814[[#This Row],[Equipo ]]="","",INDEX(V_GALON,MATCH(Tabla54814[[#This Row],[Equipo ]],LISTA_MAQUINARIA,0)))</f>
        <v>10800</v>
      </c>
      <c r="P49" s="10"/>
      <c r="Q49" s="165">
        <f>IF(Tabla54814[[#This Row],[Equipo ]]="","",Tabla54814[[#This Row],[Valor mensual]]+Tabla54814[[#This Row],[Combustible Hora ]]*Tabla54814[[#This Row],[Valor galon]]*Tabla54814[[#This Row],[Horas mes]])</f>
        <v>1800000</v>
      </c>
      <c r="R49" s="168">
        <f>IF(Tabla54814[[#This Row],[Valor mensual + Combustible]]="","",Tabla54814[[#This Row],[Valor mensual + Combustible]]*Tabla54814[[#This Row],[Cantidad]])</f>
        <v>1800000</v>
      </c>
      <c r="U49" s="9" t="s">
        <v>508</v>
      </c>
      <c r="V49" s="10">
        <v>1</v>
      </c>
      <c r="W49" s="165">
        <f>IF(Tabla55117[[#This Row],[Equipo ]]="","",INDEX(V_MENSUAL,MATCH(Tabla55117[[#This Row],[Equipo ]],LISTA_MAQUINARIA,0)))</f>
        <v>1800000</v>
      </c>
      <c r="X49" s="12">
        <f>IF(Tabla55117[[#This Row],[Equipo ]]="","",INDEX(CONSUMO_COMBUSTIBLE_H,MATCH(Tabla55117[[#This Row],[Equipo ]],LISTA_MAQUINARIA,0)))</f>
        <v>0</v>
      </c>
      <c r="Y49" s="166">
        <f>IF(Tabla55117[[#This Row],[Equipo ]]="","",INDEX(V_GALON,MATCH(Tabla55117[[#This Row],[Equipo ]],LISTA_MAQUINARIA,0)))</f>
        <v>10800</v>
      </c>
      <c r="Z49" s="10"/>
      <c r="AA49" s="165">
        <f>IF(Tabla55117[[#This Row],[Equipo ]]="","",Tabla55117[[#This Row],[Valor mensual]]+Tabla55117[[#This Row],[Combustible Hora ]]*Tabla55117[[#This Row],[Valor galon]]*Tabla55117[[#This Row],[Horas mes]])</f>
        <v>1800000</v>
      </c>
      <c r="AB49" s="168">
        <f>IF(Tabla55117[[#This Row],[Valor mensual + Combustible]]="","",Tabla55117[[#This Row],[Valor mensual + Combustible]]*Tabla55117[[#This Row],[Cantidad]])</f>
        <v>1800000</v>
      </c>
      <c r="AD49" s="9" t="s">
        <v>508</v>
      </c>
      <c r="AE49" s="10">
        <v>1</v>
      </c>
      <c r="AF49" s="165">
        <f>IF(Tabla55420[[#This Row],[Equipo ]]="","",INDEX(V_MENSUAL,MATCH(Tabla55420[[#This Row],[Equipo ]],LISTA_MAQUINARIA,0)))</f>
        <v>1800000</v>
      </c>
      <c r="AG49" s="12">
        <f>IF(Tabla55420[[#This Row],[Equipo ]]="","",INDEX(CONSUMO_COMBUSTIBLE_H,MATCH(Tabla55420[[#This Row],[Equipo ]],LISTA_MAQUINARIA,0)))</f>
        <v>0</v>
      </c>
      <c r="AH49" s="166">
        <f>IF(Tabla55420[[#This Row],[Equipo ]]="","",INDEX(V_GALON,MATCH(Tabla55420[[#This Row],[Equipo ]],LISTA_MAQUINARIA,0)))</f>
        <v>10800</v>
      </c>
      <c r="AI49" s="10"/>
      <c r="AJ49" s="165">
        <f>IF(Tabla55420[[#This Row],[Equipo ]]="","",Tabla55420[[#This Row],[Valor mensual]]+Tabla55420[[#This Row],[Combustible Hora ]]*Tabla55420[[#This Row],[Valor galon]]*Tabla55420[[#This Row],[Horas mes]])</f>
        <v>1800000</v>
      </c>
      <c r="AK49" s="168">
        <f>IF(Tabla55420[[#This Row],[Valor mensual + Combustible]]="","",Tabla55420[[#This Row],[Valor mensual + Combustible]]*Tabla55420[[#This Row],[Cantidad]])</f>
        <v>1800000</v>
      </c>
      <c r="AN49" s="9"/>
      <c r="AO49" s="10"/>
      <c r="AP49" s="165" t="str">
        <f>IF(Tabla55724[[#This Row],[Equipo ]]="","",INDEX(V_MENSUAL,MATCH(Tabla55724[[#This Row],[Equipo ]],LISTA_MAQUINARIA,0)))</f>
        <v/>
      </c>
      <c r="AQ49" s="12" t="str">
        <f>IF(Tabla55724[[#This Row],[Equipo ]]="","",INDEX(CONSUMO_COMBUSTIBLE_H,MATCH(Tabla55724[[#This Row],[Equipo ]],LISTA_MAQUINARIA,0)))</f>
        <v/>
      </c>
      <c r="AR49" s="166" t="str">
        <f>IF(Tabla55724[[#This Row],[Equipo ]]="","",INDEX(V_GALON,MATCH(Tabla55724[[#This Row],[Equipo ]],LISTA_MAQUINARIA,0)))</f>
        <v/>
      </c>
      <c r="AS49" s="10"/>
      <c r="AT49" s="165" t="str">
        <f>IF(Tabla55724[[#This Row],[Equipo ]]="","",Tabla55724[[#This Row],[Valor mensual]]+Tabla55724[[#This Row],[Combustible Hora ]]*Tabla55724[[#This Row],[Valor galon]]*Tabla55724[[#This Row],[Horas mes]])</f>
        <v/>
      </c>
      <c r="AU49" s="168" t="str">
        <f>IF(Tabla55724[[#This Row],[Valor mensual + Combustible]]="","",Tabla55724[[#This Row],[Valor mensual + Combustible]]*Tabla55724[[#This Row],[Cantidad]])</f>
        <v/>
      </c>
      <c r="AX49" s="9"/>
      <c r="AY49" s="10"/>
      <c r="AZ49" s="165" t="str">
        <f>IF(Tabla560121[[#This Row],[Equipo ]]="","",INDEX(V_MENSUAL,MATCH(Tabla560121[[#This Row],[Equipo ]],LISTA_MAQUINARIA,0)))</f>
        <v/>
      </c>
      <c r="BA49" s="12" t="str">
        <f>IF(Tabla560121[[#This Row],[Equipo ]]="","",INDEX(CONSUMO_COMBUSTIBLE_H,MATCH(Tabla560121[[#This Row],[Equipo ]],LISTA_MAQUINARIA,0)))</f>
        <v/>
      </c>
      <c r="BB49" s="166" t="str">
        <f>IF(Tabla560121[[#This Row],[Equipo ]]="","",INDEX(V_GALON,MATCH(Tabla560121[[#This Row],[Equipo ]],LISTA_MAQUINARIA,0)))</f>
        <v/>
      </c>
      <c r="BC49" s="10"/>
      <c r="BD49" s="165" t="str">
        <f>IF(Tabla560121[[#This Row],[Equipo ]]="","",Tabla560121[[#This Row],[Valor mensual]]+Tabla560121[[#This Row],[Combustible Hora ]]*Tabla560121[[#This Row],[Valor galon]]*Tabla560121[[#This Row],[Horas mes]])</f>
        <v/>
      </c>
      <c r="BE49" s="168" t="str">
        <f>IF(Tabla560121[[#This Row],[Valor mensual + Combustible]]="","",Tabla560121[[#This Row],[Valor mensual + Combustible]]*Tabla560121[[#This Row],[Cantidad]])</f>
        <v/>
      </c>
      <c r="BH49" s="9"/>
      <c r="BI49" s="10"/>
      <c r="BJ49" s="165" t="str">
        <f>IF(Tabla563164[[#This Row],[Equipo ]]="","",INDEX(V_MENSUAL,MATCH(Tabla563164[[#This Row],[Equipo ]],LISTA_MAQUINARIA,0)))</f>
        <v/>
      </c>
      <c r="BK49" s="12" t="str">
        <f>IF(Tabla563164[[#This Row],[Equipo ]]="","",INDEX(CONSUMO_COMBUSTIBLE_H,MATCH(Tabla563164[[#This Row],[Equipo ]],LISTA_MAQUINARIA,0)))</f>
        <v/>
      </c>
      <c r="BL49" s="166" t="str">
        <f>IF(Tabla563164[[#This Row],[Equipo ]]="","",INDEX(V_GALON,MATCH(Tabla563164[[#This Row],[Equipo ]],LISTA_MAQUINARIA,0)))</f>
        <v/>
      </c>
      <c r="BM49" s="10"/>
      <c r="BN49" s="165" t="str">
        <f>IF(Tabla563164[[#This Row],[Equipo ]]="","",Tabla563164[[#This Row],[Valor mensual]]+Tabla563164[[#This Row],[Combustible Hora ]]*Tabla563164[[#This Row],[Valor galon]]*Tabla563164[[#This Row],[Horas mes]])</f>
        <v/>
      </c>
      <c r="BO49" s="168" t="str">
        <f>IF(Tabla563164[[#This Row],[Valor mensual + Combustible]]="","",Tabla563164[[#This Row],[Valor mensual + Combustible]]*Tabla563164[[#This Row],[Cantidad]])</f>
        <v/>
      </c>
      <c r="BR49" s="9"/>
      <c r="BS49" s="10"/>
      <c r="BT49" s="165" t="str">
        <f>IF(Tabla566167[[#This Row],[Equipo ]]="","",INDEX(V_MENSUAL,MATCH(Tabla566167[[#This Row],[Equipo ]],LISTA_MAQUINARIA,0)))</f>
        <v/>
      </c>
      <c r="BU49" s="12" t="str">
        <f>IF(Tabla566167[[#This Row],[Equipo ]]="","",INDEX(CONSUMO_COMBUSTIBLE_H,MATCH(Tabla566167[[#This Row],[Equipo ]],LISTA_MAQUINARIA,0)))</f>
        <v/>
      </c>
      <c r="BV49" s="166" t="str">
        <f>IF(Tabla566167[[#This Row],[Equipo ]]="","",INDEX(V_GALON,MATCH(Tabla566167[[#This Row],[Equipo ]],LISTA_MAQUINARIA,0)))</f>
        <v/>
      </c>
      <c r="BW49" s="10"/>
      <c r="BX49" s="165" t="str">
        <f>IF(Tabla566167[[#This Row],[Equipo ]]="","",Tabla566167[[#This Row],[Valor mensual]]+Tabla566167[[#This Row],[Combustible Hora ]]*Tabla566167[[#This Row],[Valor galon]]*Tabla566167[[#This Row],[Horas mes]])</f>
        <v/>
      </c>
      <c r="BY49" s="168" t="str">
        <f>IF(Tabla566167[[#This Row],[Valor mensual + Combustible]]="","",Tabla566167[[#This Row],[Valor mensual + Combustible]]*Tabla566167[[#This Row],[Cantidad]])</f>
        <v/>
      </c>
      <c r="CB49" s="9"/>
      <c r="CC49" s="10"/>
      <c r="CD49" s="165" t="str">
        <f>IF(Tabla569170[[#This Row],[Equipo ]]="","",INDEX(V_MENSUAL,MATCH(Tabla569170[[#This Row],[Equipo ]],LISTA_MAQUINARIA,0)))</f>
        <v/>
      </c>
      <c r="CE49" s="12" t="str">
        <f>IF(Tabla569170[[#This Row],[Equipo ]]="","",INDEX(CONSUMO_COMBUSTIBLE_H,MATCH(Tabla569170[[#This Row],[Equipo ]],LISTA_MAQUINARIA,0)))</f>
        <v/>
      </c>
      <c r="CF49" s="166" t="str">
        <f>IF(Tabla569170[[#This Row],[Equipo ]]="","",INDEX(V_GALON,MATCH(Tabla569170[[#This Row],[Equipo ]],LISTA_MAQUINARIA,0)))</f>
        <v/>
      </c>
      <c r="CG49" s="10"/>
      <c r="CH49" s="165" t="str">
        <f>IF(Tabla569170[[#This Row],[Equipo ]]="","",Tabla569170[[#This Row],[Valor mensual]]+Tabla569170[[#This Row],[Combustible Hora ]]*Tabla569170[[#This Row],[Valor galon]]*Tabla569170[[#This Row],[Horas mes]])</f>
        <v/>
      </c>
      <c r="CI49" s="168" t="str">
        <f>IF(Tabla569170[[#This Row],[Valor mensual + Combustible]]="","",Tabla569170[[#This Row],[Valor mensual + Combustible]]*Tabla569170[[#This Row],[Cantidad]])</f>
        <v/>
      </c>
      <c r="CL49" s="9"/>
      <c r="CM49" s="10"/>
      <c r="CN49" s="165" t="str">
        <f>IF(Tabla572173[[#This Row],[Equipo ]]="","",INDEX(V_MENSUAL,MATCH(Tabla572173[[#This Row],[Equipo ]],LISTA_MAQUINARIA,0)))</f>
        <v/>
      </c>
      <c r="CO49" s="12" t="str">
        <f>IF(Tabla572173[[#This Row],[Equipo ]]="","",INDEX(CONSUMO_COMBUSTIBLE_H,MATCH(Tabla572173[[#This Row],[Equipo ]],LISTA_MAQUINARIA,0)))</f>
        <v/>
      </c>
      <c r="CP49" s="166" t="str">
        <f>IF(Tabla572173[[#This Row],[Equipo ]]="","",INDEX(V_GALON,MATCH(Tabla572173[[#This Row],[Equipo ]],LISTA_MAQUINARIA,0)))</f>
        <v/>
      </c>
      <c r="CQ49" s="10"/>
      <c r="CR49" s="165" t="str">
        <f>IF(Tabla572173[[#This Row],[Equipo ]]="","",Tabla572173[[#This Row],[Valor mensual]]+Tabla572173[[#This Row],[Combustible Hora ]]*Tabla572173[[#This Row],[Valor galon]]*Tabla572173[[#This Row],[Horas mes]])</f>
        <v/>
      </c>
      <c r="CS49" s="168" t="str">
        <f>IF(Tabla572173[[#This Row],[Valor mensual + Combustible]]="","",Tabla572173[[#This Row],[Valor mensual + Combustible]]*Tabla572173[[#This Row],[Cantidad]])</f>
        <v/>
      </c>
      <c r="CV49" s="9"/>
      <c r="CW49" s="10"/>
      <c r="CX49" s="165" t="str">
        <f>IF(Tabla575176[[#This Row],[Equipo ]]="","",INDEX(V_MENSUAL,MATCH(Tabla575176[[#This Row],[Equipo ]],LISTA_MAQUINARIA,0)))</f>
        <v/>
      </c>
      <c r="CY49" s="12" t="str">
        <f>IF(Tabla575176[[#This Row],[Equipo ]]="","",INDEX(CONSUMO_COMBUSTIBLE_H,MATCH(Tabla575176[[#This Row],[Equipo ]],LISTA_MAQUINARIA,0)))</f>
        <v/>
      </c>
      <c r="CZ49" s="166" t="str">
        <f>IF(Tabla575176[[#This Row],[Equipo ]]="","",INDEX(V_GALON,MATCH(Tabla575176[[#This Row],[Equipo ]],LISTA_MAQUINARIA,0)))</f>
        <v/>
      </c>
      <c r="DA49" s="10"/>
      <c r="DB49" s="165" t="str">
        <f>IF(Tabla575176[[#This Row],[Equipo ]]="","",Tabla575176[[#This Row],[Valor mensual]]+Tabla575176[[#This Row],[Combustible Hora ]]*Tabla575176[[#This Row],[Valor galon]]*Tabla575176[[#This Row],[Horas mes]])</f>
        <v/>
      </c>
      <c r="DC49" s="168" t="str">
        <f>IF(Tabla575176[[#This Row],[Valor mensual + Combustible]]="","",Tabla575176[[#This Row],[Valor mensual + Combustible]]*Tabla575176[[#This Row],[Cantidad]])</f>
        <v/>
      </c>
      <c r="DF49" s="9"/>
      <c r="DG49" s="10"/>
      <c r="DH49" s="165" t="str">
        <f>IF(Tabla578179[[#This Row],[Equipo ]]="","",INDEX(V_MENSUAL,MATCH(Tabla578179[[#This Row],[Equipo ]],LISTA_MAQUINARIA,0)))</f>
        <v/>
      </c>
      <c r="DI49" s="12" t="str">
        <f>IF(Tabla578179[[#This Row],[Equipo ]]="","",INDEX(CONSUMO_COMBUSTIBLE_H,MATCH(Tabla578179[[#This Row],[Equipo ]],LISTA_MAQUINARIA,0)))</f>
        <v/>
      </c>
      <c r="DJ49" s="166" t="str">
        <f>IF(Tabla578179[[#This Row],[Equipo ]]="","",INDEX(V_GALON,MATCH(Tabla578179[[#This Row],[Equipo ]],LISTA_MAQUINARIA,0)))</f>
        <v/>
      </c>
      <c r="DK49" s="10"/>
      <c r="DL49" s="165" t="str">
        <f>IF(Tabla578179[[#This Row],[Equipo ]]="","",Tabla578179[[#This Row],[Valor mensual]]+Tabla578179[[#This Row],[Combustible Hora ]]*Tabla578179[[#This Row],[Valor galon]]*Tabla578179[[#This Row],[Horas mes]])</f>
        <v/>
      </c>
      <c r="DM49" s="168" t="str">
        <f>IF(Tabla578179[[#This Row],[Valor mensual + Combustible]]="","",Tabla578179[[#This Row],[Valor mensual + Combustible]]*Tabla578179[[#This Row],[Cantidad]])</f>
        <v/>
      </c>
      <c r="DP49" s="9"/>
      <c r="DQ49" s="10"/>
      <c r="DR49" s="165" t="str">
        <f>IF(Tabla581182[[#This Row],[Equipo ]]="","",INDEX(V_MENSUAL,MATCH(Tabla581182[[#This Row],[Equipo ]],LISTA_MAQUINARIA,0)))</f>
        <v/>
      </c>
      <c r="DS49" s="12" t="str">
        <f>IF(Tabla581182[[#This Row],[Equipo ]]="","",INDEX(CONSUMO_COMBUSTIBLE_H,MATCH(Tabla581182[[#This Row],[Equipo ]],LISTA_MAQUINARIA,0)))</f>
        <v/>
      </c>
      <c r="DT49" s="166" t="str">
        <f>IF(Tabla581182[[#This Row],[Equipo ]]="","",INDEX(V_GALON,MATCH(Tabla581182[[#This Row],[Equipo ]],LISTA_MAQUINARIA,0)))</f>
        <v/>
      </c>
      <c r="DU49" s="10"/>
      <c r="DV49" s="165" t="str">
        <f>IF(Tabla581182[[#This Row],[Equipo ]]="","",Tabla581182[[#This Row],[Valor mensual]]+Tabla581182[[#This Row],[Combustible Hora ]]*Tabla581182[[#This Row],[Valor galon]]*Tabla581182[[#This Row],[Horas mes]])</f>
        <v/>
      </c>
      <c r="DW49" s="168" t="str">
        <f>IF(Tabla581182[[#This Row],[Valor mensual + Combustible]]="","",Tabla581182[[#This Row],[Valor mensual + Combustible]]*Tabla581182[[#This Row],[Cantidad]])</f>
        <v/>
      </c>
      <c r="DZ49" s="9"/>
      <c r="EA49" s="10"/>
      <c r="EB49" s="165" t="str">
        <f>IF(Tabla584185[[#This Row],[Equipo ]]="","",INDEX(V_MENSUAL,MATCH(Tabla584185[[#This Row],[Equipo ]],LISTA_MAQUINARIA,0)))</f>
        <v/>
      </c>
      <c r="EC49" s="12" t="str">
        <f>IF(Tabla584185[[#This Row],[Equipo ]]="","",INDEX(CONSUMO_COMBUSTIBLE_H,MATCH(Tabla584185[[#This Row],[Equipo ]],LISTA_MAQUINARIA,0)))</f>
        <v/>
      </c>
      <c r="ED49" s="166" t="str">
        <f>IF(Tabla584185[[#This Row],[Equipo ]]="","",INDEX(V_GALON,MATCH(Tabla584185[[#This Row],[Equipo ]],LISTA_MAQUINARIA,0)))</f>
        <v/>
      </c>
      <c r="EE49" s="10"/>
      <c r="EF49" s="165" t="str">
        <f>IF(Tabla584185[[#This Row],[Equipo ]]="","",Tabla584185[[#This Row],[Valor mensual]]+Tabla584185[[#This Row],[Combustible Hora ]]*Tabla584185[[#This Row],[Valor galon]]*Tabla584185[[#This Row],[Horas mes]])</f>
        <v/>
      </c>
      <c r="EG49" s="168" t="str">
        <f>IF(Tabla584185[[#This Row],[Valor mensual + Combustible]]="","",Tabla584185[[#This Row],[Valor mensual + Combustible]]*Tabla584185[[#This Row],[Cantidad]])</f>
        <v/>
      </c>
      <c r="EJ49" s="9"/>
      <c r="EK49" s="10"/>
      <c r="EL49" s="165" t="str">
        <f>IF(Tabla587188[[#This Row],[Equipo ]]="","",INDEX(V_MENSUAL,MATCH(Tabla587188[[#This Row],[Equipo ]],LISTA_MAQUINARIA,0)))</f>
        <v/>
      </c>
      <c r="EM49" s="12" t="str">
        <f>IF(Tabla587188[[#This Row],[Equipo ]]="","",INDEX(CONSUMO_COMBUSTIBLE_H,MATCH(Tabla587188[[#This Row],[Equipo ]],LISTA_MAQUINARIA,0)))</f>
        <v/>
      </c>
      <c r="EN49" s="166" t="str">
        <f>IF(Tabla587188[[#This Row],[Equipo ]]="","",INDEX(V_GALON,MATCH(Tabla587188[[#This Row],[Equipo ]],LISTA_MAQUINARIA,0)))</f>
        <v/>
      </c>
      <c r="EO49" s="10"/>
      <c r="EP49" s="165" t="str">
        <f>IF(Tabla587188[[#This Row],[Equipo ]]="","",Tabla587188[[#This Row],[Valor mensual]]+Tabla587188[[#This Row],[Combustible Hora ]]*Tabla587188[[#This Row],[Valor galon]]*Tabla587188[[#This Row],[Horas mes]])</f>
        <v/>
      </c>
      <c r="EQ49" s="168" t="str">
        <f>IF(Tabla587188[[#This Row],[Valor mensual + Combustible]]="","",Tabla587188[[#This Row],[Valor mensual + Combustible]]*Tabla587188[[#This Row],[Cantidad]])</f>
        <v/>
      </c>
      <c r="ET49" s="9"/>
      <c r="EU49" s="10"/>
      <c r="EV49" s="165" t="str">
        <f>IF(Tabla590191[[#This Row],[Equipo ]]="","",INDEX(V_MENSUAL,MATCH(Tabla590191[[#This Row],[Equipo ]],LISTA_MAQUINARIA,0)))</f>
        <v/>
      </c>
      <c r="EW49" s="12" t="str">
        <f>IF(Tabla590191[[#This Row],[Equipo ]]="","",INDEX(CONSUMO_COMBUSTIBLE_H,MATCH(Tabla590191[[#This Row],[Equipo ]],LISTA_MAQUINARIA,0)))</f>
        <v/>
      </c>
      <c r="EX49" s="166" t="str">
        <f>IF(Tabla590191[[#This Row],[Equipo ]]="","",INDEX(V_GALON,MATCH(Tabla590191[[#This Row],[Equipo ]],LISTA_MAQUINARIA,0)))</f>
        <v/>
      </c>
      <c r="EY49" s="10"/>
      <c r="EZ49" s="165" t="str">
        <f>IF(Tabla590191[[#This Row],[Equipo ]]="","",Tabla590191[[#This Row],[Valor mensual]]+Tabla590191[[#This Row],[Combustible Hora ]]*Tabla590191[[#This Row],[Valor galon]]*Tabla590191[[#This Row],[Horas mes]])</f>
        <v/>
      </c>
      <c r="FA49" s="168" t="str">
        <f>IF(Tabla590191[[#This Row],[Valor mensual + Combustible]]="","",Tabla590191[[#This Row],[Valor mensual + Combustible]]*Tabla590191[[#This Row],[Cantidad]])</f>
        <v/>
      </c>
      <c r="FD49" s="9"/>
      <c r="FE49" s="10"/>
      <c r="FF49" s="165" t="str">
        <f>IF(Tabla593194[[#This Row],[Equipo ]]="","",INDEX(V_MENSUAL,MATCH(Tabla593194[[#This Row],[Equipo ]],LISTA_MAQUINARIA,0)))</f>
        <v/>
      </c>
      <c r="FG49" s="12" t="str">
        <f>IF(Tabla593194[[#This Row],[Equipo ]]="","",INDEX(CONSUMO_COMBUSTIBLE_H,MATCH(Tabla593194[[#This Row],[Equipo ]],LISTA_MAQUINARIA,0)))</f>
        <v/>
      </c>
      <c r="FH49" s="166" t="str">
        <f>IF(Tabla593194[[#This Row],[Equipo ]]="","",INDEX(V_GALON,MATCH(Tabla593194[[#This Row],[Equipo ]],LISTA_MAQUINARIA,0)))</f>
        <v/>
      </c>
      <c r="FI49" s="10"/>
      <c r="FJ49" s="165" t="str">
        <f>IF(Tabla593194[[#This Row],[Equipo ]]="","",Tabla593194[[#This Row],[Valor mensual]]+Tabla593194[[#This Row],[Combustible Hora ]]*Tabla593194[[#This Row],[Valor galon]]*Tabla593194[[#This Row],[Horas mes]])</f>
        <v/>
      </c>
      <c r="FK49" s="168" t="str">
        <f>IF(Tabla593194[[#This Row],[Valor mensual + Combustible]]="","",Tabla593194[[#This Row],[Valor mensual + Combustible]]*Tabla593194[[#This Row],[Cantidad]])</f>
        <v/>
      </c>
      <c r="FN49" s="9"/>
      <c r="FO49" s="10"/>
      <c r="FP49" s="165" t="str">
        <f>IF(Tabla596197[[#This Row],[Equipo ]]="","",INDEX(V_MENSUAL,MATCH(Tabla596197[[#This Row],[Equipo ]],LISTA_MAQUINARIA,0)))</f>
        <v/>
      </c>
      <c r="FQ49" s="12" t="str">
        <f>IF(Tabla596197[[#This Row],[Equipo ]]="","",INDEX(CONSUMO_COMBUSTIBLE_H,MATCH(Tabla596197[[#This Row],[Equipo ]],LISTA_MAQUINARIA,0)))</f>
        <v/>
      </c>
      <c r="FR49" s="166" t="str">
        <f>IF(Tabla596197[[#This Row],[Equipo ]]="","",INDEX(V_GALON,MATCH(Tabla596197[[#This Row],[Equipo ]],LISTA_MAQUINARIA,0)))</f>
        <v/>
      </c>
      <c r="FS49" s="10"/>
      <c r="FT49" s="165" t="str">
        <f>IF(Tabla596197[[#This Row],[Equipo ]]="","",Tabla596197[[#This Row],[Valor mensual]]+Tabla596197[[#This Row],[Combustible Hora ]]*Tabla596197[[#This Row],[Valor galon]]*Tabla596197[[#This Row],[Horas mes]])</f>
        <v/>
      </c>
      <c r="FU49" s="168" t="str">
        <f>IF(Tabla596197[[#This Row],[Valor mensual + Combustible]]="","",Tabla596197[[#This Row],[Valor mensual + Combustible]]*Tabla596197[[#This Row],[Cantidad]])</f>
        <v/>
      </c>
    </row>
    <row r="50" spans="1:177" x14ac:dyDescent="0.3">
      <c r="A50" s="9" t="s">
        <v>509</v>
      </c>
      <c r="B50" s="10">
        <v>1</v>
      </c>
      <c r="C50" s="165">
        <f>IF(Tabla511[[#This Row],[Equipo ]]="","",INDEX(V_MENSUAL,MATCH(Tabla511[[#This Row],[Equipo ]],LISTA_MAQUINARIA,0)))</f>
        <v>1000000</v>
      </c>
      <c r="D50" s="12">
        <f>IF(Tabla511[[#This Row],[Equipo ]]="","",INDEX(CONSUMO_COMBUSTIBLE_H,MATCH(Tabla511[[#This Row],[Equipo ]],LISTA_MAQUINARIA,0)))</f>
        <v>0</v>
      </c>
      <c r="E50" s="166">
        <f>IF(Tabla511[[#This Row],[Equipo ]]="","",INDEX(V_GALON,MATCH(Tabla511[[#This Row],[Equipo ]],LISTA_MAQUINARIA,0)))</f>
        <v>10800</v>
      </c>
      <c r="F50" s="10"/>
      <c r="G50" s="165">
        <f>IF(Tabla511[[#This Row],[Equipo ]]="","",Tabla511[[#This Row],[Valor mensual]]+Tabla511[[#This Row],[Combustible Hora ]]*Tabla511[[#This Row],[Valor galon]]*Tabla511[[#This Row],[Horas mes]])</f>
        <v>1000000</v>
      </c>
      <c r="H50" s="168">
        <f>IF(Tabla511[[#This Row],[Valor mensual + Combustible]]="","",Tabla511[[#This Row],[Valor mensual + Combustible]]*Tabla511[[#This Row],[Cantidad]])</f>
        <v>1000000</v>
      </c>
      <c r="K50" s="9"/>
      <c r="L50" s="10"/>
      <c r="M50" s="165"/>
      <c r="N50" s="12" t="str">
        <f>IF(Tabla54814[[#This Row],[Equipo ]]="","",INDEX(CONSUMO_COMBUSTIBLE_H,MATCH(Tabla54814[[#This Row],[Equipo ]],LISTA_MAQUINARIA,0)))</f>
        <v/>
      </c>
      <c r="O50" s="166" t="str">
        <f>IF(Tabla54814[[#This Row],[Equipo ]]="","",INDEX(V_GALON,MATCH(Tabla54814[[#This Row],[Equipo ]],LISTA_MAQUINARIA,0)))</f>
        <v/>
      </c>
      <c r="P50" s="10"/>
      <c r="Q50" s="165" t="str">
        <f>IF(Tabla54814[[#This Row],[Equipo ]]="","",Tabla54814[[#This Row],[Valor mensual]]+Tabla54814[[#This Row],[Combustible Hora ]]*Tabla54814[[#This Row],[Valor galon]]*Tabla54814[[#This Row],[Horas mes]])</f>
        <v/>
      </c>
      <c r="R50" s="168" t="str">
        <f>IF(Tabla54814[[#This Row],[Valor mensual + Combustible]]="","",Tabla54814[[#This Row],[Valor mensual + Combustible]]*Tabla54814[[#This Row],[Cantidad]])</f>
        <v/>
      </c>
      <c r="U50" s="9" t="s">
        <v>513</v>
      </c>
      <c r="V50" s="10">
        <v>1</v>
      </c>
      <c r="W50" s="165">
        <f>IF(Tabla55117[[#This Row],[Equipo ]]="","",INDEX(V_MENSUAL,MATCH(Tabla55117[[#This Row],[Equipo ]],LISTA_MAQUINARIA,0)))</f>
        <v>7000000</v>
      </c>
      <c r="X50" s="12">
        <f>IF(Tabla55117[[#This Row],[Equipo ]]="","",INDEX(CONSUMO_COMBUSTIBLE_H,MATCH(Tabla55117[[#This Row],[Equipo ]],LISTA_MAQUINARIA,0)))</f>
        <v>2</v>
      </c>
      <c r="Y50" s="166">
        <f>IF(Tabla55117[[#This Row],[Equipo ]]="","",INDEX(V_GALON,MATCH(Tabla55117[[#This Row],[Equipo ]],LISTA_MAQUINARIA,0)))</f>
        <v>10800</v>
      </c>
      <c r="Z50" s="10">
        <v>88</v>
      </c>
      <c r="AA50" s="165">
        <f>IF(Tabla55117[[#This Row],[Equipo ]]="","",Tabla55117[[#This Row],[Valor mensual]]+Tabla55117[[#This Row],[Combustible Hora ]]*Tabla55117[[#This Row],[Valor galon]]*Tabla55117[[#This Row],[Horas mes]])</f>
        <v>8900800</v>
      </c>
      <c r="AB50" s="168">
        <f>IF(Tabla55117[[#This Row],[Valor mensual + Combustible]]="","",Tabla55117[[#This Row],[Valor mensual + Combustible]]*Tabla55117[[#This Row],[Cantidad]])</f>
        <v>8900800</v>
      </c>
      <c r="AD50" s="9" t="s">
        <v>513</v>
      </c>
      <c r="AE50" s="10">
        <v>1</v>
      </c>
      <c r="AF50" s="165">
        <f>IF(Tabla55420[[#This Row],[Equipo ]]="","",INDEX(V_MENSUAL,MATCH(Tabla55420[[#This Row],[Equipo ]],LISTA_MAQUINARIA,0)))</f>
        <v>7000000</v>
      </c>
      <c r="AG50" s="12">
        <f>IF(Tabla55420[[#This Row],[Equipo ]]="","",INDEX(CONSUMO_COMBUSTIBLE_H,MATCH(Tabla55420[[#This Row],[Equipo ]],LISTA_MAQUINARIA,0)))</f>
        <v>2</v>
      </c>
      <c r="AH50" s="166">
        <f>IF(Tabla55420[[#This Row],[Equipo ]]="","",INDEX(V_GALON,MATCH(Tabla55420[[#This Row],[Equipo ]],LISTA_MAQUINARIA,0)))</f>
        <v>10800</v>
      </c>
      <c r="AI50" s="10">
        <v>88</v>
      </c>
      <c r="AJ50" s="165">
        <f>IF(Tabla55420[[#This Row],[Equipo ]]="","",Tabla55420[[#This Row],[Valor mensual]]+Tabla55420[[#This Row],[Combustible Hora ]]*Tabla55420[[#This Row],[Valor galon]]*Tabla55420[[#This Row],[Horas mes]])</f>
        <v>8900800</v>
      </c>
      <c r="AK50" s="168">
        <f>IF(Tabla55420[[#This Row],[Valor mensual + Combustible]]="","",Tabla55420[[#This Row],[Valor mensual + Combustible]]*Tabla55420[[#This Row],[Cantidad]])</f>
        <v>8900800</v>
      </c>
      <c r="AN50" s="9"/>
      <c r="AO50" s="10"/>
      <c r="AP50" s="165"/>
      <c r="AQ50" s="12"/>
      <c r="AR50" s="166"/>
      <c r="AS50" s="10"/>
      <c r="AT50" s="165"/>
      <c r="AU50" s="168"/>
      <c r="AX50" s="9"/>
      <c r="AY50" s="10"/>
      <c r="AZ50" s="165"/>
      <c r="BA50" s="12"/>
      <c r="BB50" s="166"/>
      <c r="BC50" s="10"/>
      <c r="BD50" s="165"/>
      <c r="BE50" s="168"/>
      <c r="BH50" s="9"/>
      <c r="BI50" s="10"/>
      <c r="BJ50" s="165"/>
      <c r="BK50" s="12"/>
      <c r="BL50" s="166"/>
      <c r="BM50" s="10"/>
      <c r="BN50" s="165"/>
      <c r="BO50" s="168"/>
      <c r="BR50" s="9"/>
      <c r="BS50" s="10"/>
      <c r="BT50" s="165"/>
      <c r="BU50" s="12"/>
      <c r="BV50" s="166"/>
      <c r="BW50" s="10"/>
      <c r="BX50" s="165"/>
      <c r="BY50" s="168"/>
      <c r="CB50" s="9"/>
      <c r="CC50" s="10"/>
      <c r="CD50" s="165"/>
      <c r="CE50" s="12"/>
      <c r="CF50" s="166"/>
      <c r="CG50" s="10"/>
      <c r="CH50" s="165"/>
      <c r="CI50" s="168"/>
      <c r="CL50" s="9"/>
      <c r="CM50" s="10"/>
      <c r="CN50" s="165"/>
      <c r="CO50" s="12"/>
      <c r="CP50" s="166"/>
      <c r="CQ50" s="10"/>
      <c r="CR50" s="165"/>
      <c r="CS50" s="168"/>
      <c r="CV50" s="9"/>
      <c r="CW50" s="10"/>
      <c r="CX50" s="165"/>
      <c r="CY50" s="12"/>
      <c r="CZ50" s="166"/>
      <c r="DA50" s="10"/>
      <c r="DB50" s="165"/>
      <c r="DC50" s="168"/>
      <c r="DF50" s="9"/>
      <c r="DG50" s="10"/>
      <c r="DH50" s="165"/>
      <c r="DI50" s="12"/>
      <c r="DJ50" s="166"/>
      <c r="DK50" s="10"/>
      <c r="DL50" s="165"/>
      <c r="DM50" s="168"/>
      <c r="DP50" s="9"/>
      <c r="DQ50" s="10"/>
      <c r="DR50" s="165"/>
      <c r="DS50" s="12"/>
      <c r="DT50" s="166"/>
      <c r="DU50" s="10"/>
      <c r="DV50" s="165"/>
      <c r="DW50" s="168"/>
      <c r="DZ50" s="9"/>
      <c r="EA50" s="10"/>
      <c r="EB50" s="165"/>
      <c r="EC50" s="12"/>
      <c r="ED50" s="166"/>
      <c r="EE50" s="10"/>
      <c r="EF50" s="165"/>
      <c r="EG50" s="168"/>
      <c r="EJ50" s="9"/>
      <c r="EK50" s="10"/>
      <c r="EL50" s="165"/>
      <c r="EM50" s="12"/>
      <c r="EN50" s="166"/>
      <c r="EO50" s="10"/>
      <c r="EP50" s="165"/>
      <c r="EQ50" s="168"/>
      <c r="ET50" s="9"/>
      <c r="EU50" s="10"/>
      <c r="EV50" s="165"/>
      <c r="EW50" s="12"/>
      <c r="EX50" s="166"/>
      <c r="EY50" s="10"/>
      <c r="EZ50" s="165"/>
      <c r="FA50" s="168"/>
      <c r="FD50" s="9"/>
      <c r="FE50" s="10"/>
      <c r="FF50" s="165"/>
      <c r="FG50" s="12"/>
      <c r="FH50" s="166"/>
      <c r="FI50" s="10"/>
      <c r="FJ50" s="165"/>
      <c r="FK50" s="168"/>
      <c r="FN50" s="9"/>
      <c r="FO50" s="10"/>
      <c r="FP50" s="165"/>
      <c r="FQ50" s="12"/>
      <c r="FR50" s="166"/>
      <c r="FS50" s="10"/>
      <c r="FT50" s="165"/>
      <c r="FU50" s="168"/>
    </row>
    <row r="51" spans="1:177" x14ac:dyDescent="0.3">
      <c r="A51" s="9" t="s">
        <v>510</v>
      </c>
      <c r="B51" s="10">
        <v>1</v>
      </c>
      <c r="C51" s="165">
        <f>IF(Tabla511[[#This Row],[Equipo ]]="","",INDEX(V_MENSUAL,MATCH(Tabla511[[#This Row],[Equipo ]],LISTA_MAQUINARIA,0)))</f>
        <v>1800000</v>
      </c>
      <c r="D51" s="12">
        <f>IF(Tabla511[[#This Row],[Equipo ]]="","",INDEX(CONSUMO_COMBUSTIBLE_H,MATCH(Tabla511[[#This Row],[Equipo ]],LISTA_MAQUINARIA,0)))</f>
        <v>0</v>
      </c>
      <c r="E51" s="166">
        <f>IF(Tabla511[[#This Row],[Equipo ]]="","",INDEX(V_GALON,MATCH(Tabla511[[#This Row],[Equipo ]],LISTA_MAQUINARIA,0)))</f>
        <v>10800</v>
      </c>
      <c r="F51" s="10"/>
      <c r="G51" s="165">
        <f>IF(Tabla511[[#This Row],[Equipo ]]="","",Tabla511[[#This Row],[Valor mensual]]+Tabla511[[#This Row],[Combustible Hora ]]*Tabla511[[#This Row],[Valor galon]]*Tabla511[[#This Row],[Horas mes]])</f>
        <v>1800000</v>
      </c>
      <c r="H51" s="168">
        <f>IF(Tabla511[[#This Row],[Valor mensual + Combustible]]="","",Tabla511[[#This Row],[Valor mensual + Combustible]]*Tabla511[[#This Row],[Cantidad]])</f>
        <v>1800000</v>
      </c>
      <c r="K51" s="9" t="s">
        <v>513</v>
      </c>
      <c r="L51" s="10">
        <v>1</v>
      </c>
      <c r="M51" s="165" cm="1">
        <f t="array" ref="M51">IF(Tabla54814[[#This Row],[Equipo ]]="","",INDEX(V_MENSUAL,MATCH(Tabla54814[[#This Row],[Equipo ]],LISTA_MAQUINARIA,0)))</f>
        <v>7000000</v>
      </c>
      <c r="N51" s="12">
        <f>IF(Tabla54814[[#This Row],[Equipo ]]="","",INDEX(CONSUMO_COMBUSTIBLE_H,MATCH(Tabla54814[[#This Row],[Equipo ]],LISTA_MAQUINARIA,0)))</f>
        <v>2</v>
      </c>
      <c r="O51" s="166">
        <f>IF(Tabla54814[[#This Row],[Equipo ]]="","",INDEX(V_GALON,MATCH(Tabla54814[[#This Row],[Equipo ]],LISTA_MAQUINARIA,0)))</f>
        <v>10800</v>
      </c>
      <c r="P51" s="10">
        <v>88</v>
      </c>
      <c r="Q51" s="165">
        <f>IF(Tabla54814[[#This Row],[Equipo ]]="","",Tabla54814[[#This Row],[Valor mensual]]+Tabla54814[[#This Row],[Combustible Hora ]]*Tabla54814[[#This Row],[Valor galon]]*Tabla54814[[#This Row],[Horas mes]])</f>
        <v>8900800</v>
      </c>
      <c r="R51" s="168">
        <f>IF(Tabla54814[[#This Row],[Valor mensual + Combustible]]="","",Tabla54814[[#This Row],[Valor mensual + Combustible]]*Tabla54814[[#This Row],[Cantidad]])</f>
        <v>8900800</v>
      </c>
      <c r="U51" s="9"/>
      <c r="V51" s="10"/>
      <c r="W51" s="165" t="str">
        <f>IF(Tabla55117[[#This Row],[Equipo ]]="","",INDEX(V_MENSUAL,MATCH(Tabla55117[[#This Row],[Equipo ]],LISTA_MAQUINARIA,0)))</f>
        <v/>
      </c>
      <c r="X51" s="12" t="str">
        <f>IF(Tabla55117[[#This Row],[Equipo ]]="","",INDEX(CONSUMO_COMBUSTIBLE_H,MATCH(Tabla55117[[#This Row],[Equipo ]],LISTA_MAQUINARIA,0)))</f>
        <v/>
      </c>
      <c r="Y51" s="166" t="str">
        <f>IF(Tabla55117[[#This Row],[Equipo ]]="","",INDEX(V_GALON,MATCH(Tabla55117[[#This Row],[Equipo ]],LISTA_MAQUINARIA,0)))</f>
        <v/>
      </c>
      <c r="Z51" s="10"/>
      <c r="AA51" s="165" t="str">
        <f>IF(Tabla55117[[#This Row],[Equipo ]]="","",Tabla55117[[#This Row],[Valor mensual]]+Tabla55117[[#This Row],[Combustible Hora ]]*Tabla55117[[#This Row],[Valor galon]]*Tabla55117[[#This Row],[Horas mes]])</f>
        <v/>
      </c>
      <c r="AB51" s="168" t="str">
        <f>IF(Tabla55117[[#This Row],[Valor mensual + Combustible]]="","",Tabla55117[[#This Row],[Valor mensual + Combustible]]*Tabla55117[[#This Row],[Cantidad]])</f>
        <v/>
      </c>
      <c r="AD51" s="9"/>
      <c r="AE51" s="10"/>
      <c r="AF51" s="165" t="str">
        <f>IF(Tabla55420[[#This Row],[Equipo ]]="","",INDEX(V_MENSUAL,MATCH(Tabla55420[[#This Row],[Equipo ]],LISTA_MAQUINARIA,0)))</f>
        <v/>
      </c>
      <c r="AG51" s="12" t="str">
        <f>IF(Tabla55420[[#This Row],[Equipo ]]="","",INDEX(CONSUMO_COMBUSTIBLE_H,MATCH(Tabla55420[[#This Row],[Equipo ]],LISTA_MAQUINARIA,0)))</f>
        <v/>
      </c>
      <c r="AH51" s="166" t="str">
        <f>IF(Tabla55420[[#This Row],[Equipo ]]="","",INDEX(V_GALON,MATCH(Tabla55420[[#This Row],[Equipo ]],LISTA_MAQUINARIA,0)))</f>
        <v/>
      </c>
      <c r="AI51" s="10"/>
      <c r="AJ51" s="165" t="str">
        <f>IF(Tabla55420[[#This Row],[Equipo ]]="","",Tabla55420[[#This Row],[Valor mensual]]+Tabla55420[[#This Row],[Combustible Hora ]]*Tabla55420[[#This Row],[Valor galon]]*Tabla55420[[#This Row],[Horas mes]])</f>
        <v/>
      </c>
      <c r="AK51" s="168" t="str">
        <f>IF(Tabla55420[[#This Row],[Valor mensual + Combustible]]="","",Tabla55420[[#This Row],[Valor mensual + Combustible]]*Tabla55420[[#This Row],[Cantidad]])</f>
        <v/>
      </c>
      <c r="AN51" s="9"/>
      <c r="AO51" s="10"/>
      <c r="AP51" s="165"/>
      <c r="AQ51" s="12"/>
      <c r="AR51" s="166"/>
      <c r="AS51" s="10"/>
      <c r="AT51" s="165"/>
      <c r="AU51" s="168"/>
      <c r="AX51" s="9"/>
      <c r="AY51" s="10"/>
      <c r="AZ51" s="165"/>
      <c r="BA51" s="12"/>
      <c r="BB51" s="166"/>
      <c r="BC51" s="10"/>
      <c r="BD51" s="165"/>
      <c r="BE51" s="168"/>
      <c r="BH51" s="9"/>
      <c r="BI51" s="10"/>
      <c r="BJ51" s="165"/>
      <c r="BK51" s="12"/>
      <c r="BL51" s="166"/>
      <c r="BM51" s="10"/>
      <c r="BN51" s="165"/>
      <c r="BO51" s="168"/>
      <c r="BR51" s="9"/>
      <c r="BS51" s="10"/>
      <c r="BT51" s="165"/>
      <c r="BU51" s="12"/>
      <c r="BV51" s="166"/>
      <c r="BW51" s="10"/>
      <c r="BX51" s="165"/>
      <c r="BY51" s="168"/>
      <c r="CB51" s="9"/>
      <c r="CC51" s="10"/>
      <c r="CD51" s="165"/>
      <c r="CE51" s="12"/>
      <c r="CF51" s="166"/>
      <c r="CG51" s="10"/>
      <c r="CH51" s="165"/>
      <c r="CI51" s="168"/>
      <c r="CL51" s="9"/>
      <c r="CM51" s="10"/>
      <c r="CN51" s="165"/>
      <c r="CO51" s="12"/>
      <c r="CP51" s="166"/>
      <c r="CQ51" s="10"/>
      <c r="CR51" s="165"/>
      <c r="CS51" s="168"/>
      <c r="CV51" s="9"/>
      <c r="CW51" s="10"/>
      <c r="CX51" s="165"/>
      <c r="CY51" s="12"/>
      <c r="CZ51" s="166"/>
      <c r="DA51" s="10"/>
      <c r="DB51" s="165"/>
      <c r="DC51" s="168"/>
      <c r="DF51" s="9"/>
      <c r="DG51" s="10"/>
      <c r="DH51" s="165"/>
      <c r="DI51" s="12"/>
      <c r="DJ51" s="166"/>
      <c r="DK51" s="10"/>
      <c r="DL51" s="165"/>
      <c r="DM51" s="168"/>
      <c r="DP51" s="9"/>
      <c r="DQ51" s="10"/>
      <c r="DR51" s="165"/>
      <c r="DS51" s="12"/>
      <c r="DT51" s="166"/>
      <c r="DU51" s="10"/>
      <c r="DV51" s="165"/>
      <c r="DW51" s="168"/>
      <c r="DZ51" s="9"/>
      <c r="EA51" s="10"/>
      <c r="EB51" s="165"/>
      <c r="EC51" s="12"/>
      <c r="ED51" s="166"/>
      <c r="EE51" s="10"/>
      <c r="EF51" s="165"/>
      <c r="EG51" s="168"/>
      <c r="EJ51" s="9"/>
      <c r="EK51" s="10"/>
      <c r="EL51" s="165"/>
      <c r="EM51" s="12"/>
      <c r="EN51" s="166"/>
      <c r="EO51" s="10"/>
      <c r="EP51" s="165"/>
      <c r="EQ51" s="168"/>
      <c r="ET51" s="9"/>
      <c r="EU51" s="10"/>
      <c r="EV51" s="165"/>
      <c r="EW51" s="12"/>
      <c r="EX51" s="166"/>
      <c r="EY51" s="10"/>
      <c r="EZ51" s="165"/>
      <c r="FA51" s="168"/>
      <c r="FD51" s="9"/>
      <c r="FE51" s="10"/>
      <c r="FF51" s="165"/>
      <c r="FG51" s="12"/>
      <c r="FH51" s="166"/>
      <c r="FI51" s="10"/>
      <c r="FJ51" s="165"/>
      <c r="FK51" s="168"/>
      <c r="FN51" s="9"/>
      <c r="FO51" s="10"/>
      <c r="FP51" s="165"/>
      <c r="FQ51" s="12"/>
      <c r="FR51" s="166"/>
      <c r="FS51" s="10"/>
      <c r="FT51" s="165"/>
      <c r="FU51" s="168"/>
    </row>
    <row r="52" spans="1:177" x14ac:dyDescent="0.3">
      <c r="A52" s="9" t="s">
        <v>513</v>
      </c>
      <c r="B52" s="10">
        <v>1</v>
      </c>
      <c r="C52" s="165">
        <f>IF(Tabla511[[#This Row],[Equipo ]]="","",INDEX(V_MENSUAL,MATCH(Tabla511[[#This Row],[Equipo ]],LISTA_MAQUINARIA,0)))</f>
        <v>7000000</v>
      </c>
      <c r="D52" s="12">
        <f>IF(Tabla511[[#This Row],[Equipo ]]="","",INDEX(CONSUMO_COMBUSTIBLE_H,MATCH(Tabla511[[#This Row],[Equipo ]],LISTA_MAQUINARIA,0)))</f>
        <v>2</v>
      </c>
      <c r="E52" s="166">
        <f>IF(Tabla511[[#This Row],[Equipo ]]="","",INDEX(V_GALON,MATCH(Tabla511[[#This Row],[Equipo ]],LISTA_MAQUINARIA,0)))</f>
        <v>10800</v>
      </c>
      <c r="F52" s="10">
        <v>88</v>
      </c>
      <c r="G52" s="165">
        <f>IF(Tabla511[[#This Row],[Equipo ]]="","",Tabla511[[#This Row],[Valor mensual]]+Tabla511[[#This Row],[Combustible Hora ]]*Tabla511[[#This Row],[Valor galon]]*Tabla511[[#This Row],[Horas mes]])</f>
        <v>8900800</v>
      </c>
      <c r="H52" s="168">
        <f>IF(Tabla511[[#This Row],[Valor mensual + Combustible]]="","",Tabla511[[#This Row],[Valor mensual + Combustible]]*Tabla511[[#This Row],[Cantidad]])</f>
        <v>8900800</v>
      </c>
      <c r="K52" s="9"/>
      <c r="L52" s="10"/>
      <c r="M52" s="165"/>
      <c r="N52" s="12"/>
      <c r="O52" s="166"/>
      <c r="P52" s="10"/>
      <c r="Q52" s="165"/>
      <c r="R52" s="168"/>
      <c r="U52" s="9"/>
      <c r="V52" s="10"/>
      <c r="W52" s="165"/>
      <c r="X52" s="12"/>
      <c r="Y52" s="166"/>
      <c r="Z52" s="10"/>
      <c r="AA52" s="165"/>
      <c r="AB52" s="168"/>
      <c r="AD52" s="9"/>
      <c r="AE52" s="10"/>
      <c r="AF52" s="165"/>
      <c r="AG52" s="12"/>
      <c r="AH52" s="166"/>
      <c r="AI52" s="10"/>
      <c r="AJ52" s="165"/>
      <c r="AK52" s="168"/>
      <c r="AN52" s="9"/>
      <c r="AO52" s="10"/>
      <c r="AP52" s="165"/>
      <c r="AQ52" s="12"/>
      <c r="AR52" s="166"/>
      <c r="AS52" s="10"/>
      <c r="AT52" s="165"/>
      <c r="AU52" s="168"/>
      <c r="AX52" s="9"/>
      <c r="AY52" s="10"/>
      <c r="AZ52" s="165"/>
      <c r="BA52" s="12"/>
      <c r="BB52" s="166"/>
      <c r="BC52" s="10"/>
      <c r="BD52" s="165"/>
      <c r="BE52" s="168"/>
      <c r="BH52" s="9"/>
      <c r="BI52" s="10"/>
      <c r="BJ52" s="165"/>
      <c r="BK52" s="12"/>
      <c r="BL52" s="166"/>
      <c r="BM52" s="10"/>
      <c r="BN52" s="165"/>
      <c r="BO52" s="168"/>
      <c r="BR52" s="9"/>
      <c r="BS52" s="10"/>
      <c r="BT52" s="165"/>
      <c r="BU52" s="12"/>
      <c r="BV52" s="166"/>
      <c r="BW52" s="10"/>
      <c r="BX52" s="165"/>
      <c r="BY52" s="168"/>
      <c r="CB52" s="9"/>
      <c r="CC52" s="10"/>
      <c r="CD52" s="165"/>
      <c r="CE52" s="12"/>
      <c r="CF52" s="166"/>
      <c r="CG52" s="10"/>
      <c r="CH52" s="165"/>
      <c r="CI52" s="168"/>
      <c r="CL52" s="9"/>
      <c r="CM52" s="10"/>
      <c r="CN52" s="165"/>
      <c r="CO52" s="12"/>
      <c r="CP52" s="166"/>
      <c r="CQ52" s="10"/>
      <c r="CR52" s="165"/>
      <c r="CS52" s="168"/>
      <c r="CV52" s="9"/>
      <c r="CW52" s="10"/>
      <c r="CX52" s="165"/>
      <c r="CY52" s="12"/>
      <c r="CZ52" s="166"/>
      <c r="DA52" s="10"/>
      <c r="DB52" s="165"/>
      <c r="DC52" s="168"/>
      <c r="DF52" s="9"/>
      <c r="DG52" s="10"/>
      <c r="DH52" s="165"/>
      <c r="DI52" s="12"/>
      <c r="DJ52" s="166"/>
      <c r="DK52" s="10"/>
      <c r="DL52" s="165"/>
      <c r="DM52" s="168"/>
      <c r="DP52" s="9"/>
      <c r="DQ52" s="10"/>
      <c r="DR52" s="165"/>
      <c r="DS52" s="12"/>
      <c r="DT52" s="166"/>
      <c r="DU52" s="10"/>
      <c r="DV52" s="165"/>
      <c r="DW52" s="168"/>
      <c r="DZ52" s="9"/>
      <c r="EA52" s="10"/>
      <c r="EB52" s="165"/>
      <c r="EC52" s="12"/>
      <c r="ED52" s="166"/>
      <c r="EE52" s="10"/>
      <c r="EF52" s="165"/>
      <c r="EG52" s="168"/>
      <c r="EJ52" s="9"/>
      <c r="EK52" s="10"/>
      <c r="EL52" s="165"/>
      <c r="EM52" s="12"/>
      <c r="EN52" s="166"/>
      <c r="EO52" s="10"/>
      <c r="EP52" s="165"/>
      <c r="EQ52" s="168"/>
      <c r="ET52" s="9"/>
      <c r="EU52" s="10"/>
      <c r="EV52" s="165"/>
      <c r="EW52" s="12"/>
      <c r="EX52" s="166"/>
      <c r="EY52" s="10"/>
      <c r="EZ52" s="165"/>
      <c r="FA52" s="168"/>
      <c r="FD52" s="9"/>
      <c r="FE52" s="10"/>
      <c r="FF52" s="165"/>
      <c r="FG52" s="12"/>
      <c r="FH52" s="166"/>
      <c r="FI52" s="10"/>
      <c r="FJ52" s="165"/>
      <c r="FK52" s="168"/>
      <c r="FN52" s="9"/>
      <c r="FO52" s="10"/>
      <c r="FP52" s="165"/>
      <c r="FQ52" s="12"/>
      <c r="FR52" s="166"/>
      <c r="FS52" s="10"/>
      <c r="FT52" s="165"/>
      <c r="FU52" s="168"/>
    </row>
    <row r="53" spans="1:177" x14ac:dyDescent="0.3">
      <c r="A53" s="9"/>
      <c r="B53" s="10"/>
      <c r="C53" s="165"/>
      <c r="D53" s="12"/>
      <c r="E53" s="166"/>
      <c r="F53" s="10"/>
      <c r="G53" s="165"/>
      <c r="H53" s="168"/>
      <c r="K53" s="9"/>
      <c r="L53" s="10"/>
      <c r="M53" s="165"/>
      <c r="N53" s="12"/>
      <c r="O53" s="166"/>
      <c r="P53" s="10"/>
      <c r="Q53" s="165"/>
      <c r="R53" s="168"/>
      <c r="U53" s="9"/>
      <c r="V53" s="10"/>
      <c r="W53" s="165"/>
      <c r="X53" s="12"/>
      <c r="Y53" s="166"/>
      <c r="Z53" s="10"/>
      <c r="AA53" s="165"/>
      <c r="AB53" s="168"/>
      <c r="AD53" s="9"/>
      <c r="AE53" s="10"/>
      <c r="AF53" s="165"/>
      <c r="AG53" s="12"/>
      <c r="AH53" s="166"/>
      <c r="AI53" s="10"/>
      <c r="AJ53" s="165"/>
      <c r="AK53" s="168"/>
      <c r="AN53" s="9"/>
      <c r="AO53" s="10"/>
      <c r="AP53" s="165"/>
      <c r="AQ53" s="12"/>
      <c r="AR53" s="166"/>
      <c r="AS53" s="10"/>
      <c r="AT53" s="165"/>
      <c r="AU53" s="168"/>
      <c r="AX53" s="9"/>
      <c r="AY53" s="10"/>
      <c r="AZ53" s="165"/>
      <c r="BA53" s="12"/>
      <c r="BB53" s="166"/>
      <c r="BC53" s="10"/>
      <c r="BD53" s="165"/>
      <c r="BE53" s="168"/>
      <c r="BH53" s="9"/>
      <c r="BI53" s="10"/>
      <c r="BJ53" s="165"/>
      <c r="BK53" s="12"/>
      <c r="BL53" s="166"/>
      <c r="BM53" s="10"/>
      <c r="BN53" s="165"/>
      <c r="BO53" s="168"/>
      <c r="BR53" s="9"/>
      <c r="BS53" s="10"/>
      <c r="BT53" s="165"/>
      <c r="BU53" s="12"/>
      <c r="BV53" s="166"/>
      <c r="BW53" s="10"/>
      <c r="BX53" s="165"/>
      <c r="BY53" s="168"/>
      <c r="CB53" s="9"/>
      <c r="CC53" s="10"/>
      <c r="CD53" s="165"/>
      <c r="CE53" s="12"/>
      <c r="CF53" s="166"/>
      <c r="CG53" s="10"/>
      <c r="CH53" s="165"/>
      <c r="CI53" s="168"/>
      <c r="CL53" s="9"/>
      <c r="CM53" s="10"/>
      <c r="CN53" s="165"/>
      <c r="CO53" s="12"/>
      <c r="CP53" s="166"/>
      <c r="CQ53" s="10"/>
      <c r="CR53" s="165"/>
      <c r="CS53" s="168"/>
      <c r="CV53" s="9"/>
      <c r="CW53" s="10"/>
      <c r="CX53" s="165"/>
      <c r="CY53" s="12"/>
      <c r="CZ53" s="166"/>
      <c r="DA53" s="10"/>
      <c r="DB53" s="165"/>
      <c r="DC53" s="168"/>
      <c r="DF53" s="9"/>
      <c r="DG53" s="10"/>
      <c r="DH53" s="165"/>
      <c r="DI53" s="12"/>
      <c r="DJ53" s="166"/>
      <c r="DK53" s="10"/>
      <c r="DL53" s="165"/>
      <c r="DM53" s="168"/>
      <c r="DP53" s="9"/>
      <c r="DQ53" s="10"/>
      <c r="DR53" s="165"/>
      <c r="DS53" s="12"/>
      <c r="DT53" s="166"/>
      <c r="DU53" s="10"/>
      <c r="DV53" s="165"/>
      <c r="DW53" s="168"/>
      <c r="DZ53" s="9"/>
      <c r="EA53" s="10"/>
      <c r="EB53" s="165"/>
      <c r="EC53" s="12"/>
      <c r="ED53" s="166"/>
      <c r="EE53" s="10"/>
      <c r="EF53" s="165"/>
      <c r="EG53" s="168"/>
      <c r="EJ53" s="9"/>
      <c r="EK53" s="10"/>
      <c r="EL53" s="165"/>
      <c r="EM53" s="12"/>
      <c r="EN53" s="166"/>
      <c r="EO53" s="10"/>
      <c r="EP53" s="165"/>
      <c r="EQ53" s="168"/>
      <c r="ET53" s="9"/>
      <c r="EU53" s="10"/>
      <c r="EV53" s="165"/>
      <c r="EW53" s="12"/>
      <c r="EX53" s="166"/>
      <c r="EY53" s="10"/>
      <c r="EZ53" s="165"/>
      <c r="FA53" s="168"/>
      <c r="FD53" s="9"/>
      <c r="FE53" s="10"/>
      <c r="FF53" s="165"/>
      <c r="FG53" s="12"/>
      <c r="FH53" s="166"/>
      <c r="FI53" s="10"/>
      <c r="FJ53" s="165"/>
      <c r="FK53" s="168"/>
      <c r="FN53" s="9"/>
      <c r="FO53" s="10"/>
      <c r="FP53" s="165"/>
      <c r="FQ53" s="12"/>
      <c r="FR53" s="166"/>
      <c r="FS53" s="10"/>
      <c r="FT53" s="165"/>
      <c r="FU53" s="168"/>
    </row>
    <row r="54" spans="1:177" ht="17.25" thickBot="1" x14ac:dyDescent="0.35">
      <c r="A54" s="554" t="s">
        <v>36</v>
      </c>
      <c r="B54" s="555"/>
      <c r="C54" s="555"/>
      <c r="D54" s="555"/>
      <c r="E54" s="555"/>
      <c r="F54" s="555"/>
      <c r="G54" s="556"/>
      <c r="H54" s="16" t="e">
        <f>IF(G10&gt;$B$3,0,SUBTOTAL(109,Tabla511[Subtotal maquianria y equipo]))</f>
        <v>#N/A</v>
      </c>
      <c r="K54" s="9"/>
      <c r="L54" s="10"/>
      <c r="M54" s="165"/>
      <c r="N54" s="12"/>
      <c r="O54" s="166"/>
      <c r="P54" s="10"/>
      <c r="Q54" s="165"/>
      <c r="R54" s="168"/>
      <c r="U54" s="9"/>
      <c r="V54" s="10"/>
      <c r="W54" s="165"/>
      <c r="X54" s="12"/>
      <c r="Y54" s="166"/>
      <c r="Z54" s="10"/>
      <c r="AA54" s="165"/>
      <c r="AB54" s="168"/>
      <c r="AD54" s="9"/>
      <c r="AE54" s="10"/>
      <c r="AF54" s="165"/>
      <c r="AG54" s="12"/>
      <c r="AH54" s="166"/>
      <c r="AI54" s="10"/>
      <c r="AJ54" s="165"/>
      <c r="AK54" s="168"/>
      <c r="AN54" s="554" t="s">
        <v>36</v>
      </c>
      <c r="AO54" s="555"/>
      <c r="AP54" s="555"/>
      <c r="AQ54" s="555"/>
      <c r="AR54" s="555"/>
      <c r="AS54" s="555"/>
      <c r="AT54" s="556"/>
      <c r="AU54" s="16">
        <f>IF(AT10&gt;$B$3,0,SUBTOTAL(109,Tabla55724[Valor Total]))</f>
        <v>0</v>
      </c>
      <c r="AX54" s="554" t="s">
        <v>36</v>
      </c>
      <c r="AY54" s="555"/>
      <c r="AZ54" s="555"/>
      <c r="BA54" s="555"/>
      <c r="BB54" s="555"/>
      <c r="BC54" s="555"/>
      <c r="BD54" s="556"/>
      <c r="BE54" s="16">
        <f>IF(BD10&gt;$B$3,0,SUBTOTAL(109,Tabla560121[Valor Total]))</f>
        <v>0</v>
      </c>
      <c r="BH54" s="554" t="s">
        <v>36</v>
      </c>
      <c r="BI54" s="555"/>
      <c r="BJ54" s="555"/>
      <c r="BK54" s="555"/>
      <c r="BL54" s="555"/>
      <c r="BM54" s="555"/>
      <c r="BN54" s="556"/>
      <c r="BO54" s="16">
        <f>SUBTOTAL(109,Tabla563164[Valor Total])</f>
        <v>0</v>
      </c>
      <c r="BR54" s="554" t="s">
        <v>36</v>
      </c>
      <c r="BS54" s="555"/>
      <c r="BT54" s="555"/>
      <c r="BU54" s="555"/>
      <c r="BV54" s="555"/>
      <c r="BW54" s="555"/>
      <c r="BX54" s="556"/>
      <c r="BY54" s="16">
        <f>SUBTOTAL(109,Tabla566167[Valor Total])</f>
        <v>0</v>
      </c>
      <c r="CB54" s="554" t="s">
        <v>36</v>
      </c>
      <c r="CC54" s="555"/>
      <c r="CD54" s="555"/>
      <c r="CE54" s="555"/>
      <c r="CF54" s="555"/>
      <c r="CG54" s="555"/>
      <c r="CH54" s="556"/>
      <c r="CI54" s="16">
        <f>SUBTOTAL(109,Tabla569170[Valor Total])</f>
        <v>0</v>
      </c>
      <c r="CL54" s="554" t="s">
        <v>36</v>
      </c>
      <c r="CM54" s="555"/>
      <c r="CN54" s="555"/>
      <c r="CO54" s="555"/>
      <c r="CP54" s="555"/>
      <c r="CQ54" s="555"/>
      <c r="CR54" s="556"/>
      <c r="CS54" s="16">
        <f>SUBTOTAL(109,Tabla572173[Valor Total])</f>
        <v>0</v>
      </c>
      <c r="CV54" s="554" t="s">
        <v>36</v>
      </c>
      <c r="CW54" s="555"/>
      <c r="CX54" s="555"/>
      <c r="CY54" s="555"/>
      <c r="CZ54" s="555"/>
      <c r="DA54" s="555"/>
      <c r="DB54" s="556"/>
      <c r="DC54" s="16">
        <f>SUBTOTAL(109,Tabla575176[Valor Total])</f>
        <v>0</v>
      </c>
      <c r="DF54" s="554" t="s">
        <v>36</v>
      </c>
      <c r="DG54" s="555"/>
      <c r="DH54" s="555"/>
      <c r="DI54" s="555"/>
      <c r="DJ54" s="555"/>
      <c r="DK54" s="555"/>
      <c r="DL54" s="556"/>
      <c r="DM54" s="16">
        <f>SUBTOTAL(109,Tabla578179[Valor Total])</f>
        <v>0</v>
      </c>
      <c r="DP54" s="554" t="s">
        <v>36</v>
      </c>
      <c r="DQ54" s="555"/>
      <c r="DR54" s="555"/>
      <c r="DS54" s="555"/>
      <c r="DT54" s="555"/>
      <c r="DU54" s="555"/>
      <c r="DV54" s="556"/>
      <c r="DW54" s="16">
        <f>SUBTOTAL(109,Tabla581182[Valor Total])</f>
        <v>0</v>
      </c>
      <c r="DZ54" s="554" t="s">
        <v>36</v>
      </c>
      <c r="EA54" s="555"/>
      <c r="EB54" s="555"/>
      <c r="EC54" s="555"/>
      <c r="ED54" s="555"/>
      <c r="EE54" s="555"/>
      <c r="EF54" s="556"/>
      <c r="EG54" s="16">
        <f>SUBTOTAL(109,Tabla584185[Valor Total])</f>
        <v>0</v>
      </c>
      <c r="EJ54" s="554" t="s">
        <v>36</v>
      </c>
      <c r="EK54" s="555"/>
      <c r="EL54" s="555"/>
      <c r="EM54" s="555"/>
      <c r="EN54" s="555"/>
      <c r="EO54" s="555"/>
      <c r="EP54" s="556"/>
      <c r="EQ54" s="16">
        <f>SUBTOTAL(109,Tabla587188[Valor Total])</f>
        <v>0</v>
      </c>
      <c r="ET54" s="554" t="s">
        <v>36</v>
      </c>
      <c r="EU54" s="555"/>
      <c r="EV54" s="555"/>
      <c r="EW54" s="555"/>
      <c r="EX54" s="555"/>
      <c r="EY54" s="555"/>
      <c r="EZ54" s="556"/>
      <c r="FA54" s="16">
        <f>SUBTOTAL(109,Tabla590191[Valor Total])</f>
        <v>0</v>
      </c>
      <c r="FD54" s="554" t="s">
        <v>36</v>
      </c>
      <c r="FE54" s="555"/>
      <c r="FF54" s="555"/>
      <c r="FG54" s="555"/>
      <c r="FH54" s="555"/>
      <c r="FI54" s="555"/>
      <c r="FJ54" s="556"/>
      <c r="FK54" s="16">
        <f>SUBTOTAL(109,Tabla593194[Valor Total])</f>
        <v>0</v>
      </c>
      <c r="FN54" s="554" t="s">
        <v>36</v>
      </c>
      <c r="FO54" s="555"/>
      <c r="FP54" s="555"/>
      <c r="FQ54" s="555"/>
      <c r="FR54" s="555"/>
      <c r="FS54" s="555"/>
      <c r="FT54" s="556"/>
      <c r="FU54" s="16">
        <f>SUBTOTAL(109,Tabla596197[Valor Total])</f>
        <v>0</v>
      </c>
    </row>
    <row r="55" spans="1:177" x14ac:dyDescent="0.3">
      <c r="A55" s="9"/>
      <c r="H55" s="11"/>
      <c r="K55" s="9"/>
      <c r="L55" s="10"/>
      <c r="M55" s="165"/>
      <c r="N55" s="12"/>
      <c r="O55" s="166"/>
      <c r="P55" s="10"/>
      <c r="Q55" s="165"/>
      <c r="R55" s="168"/>
      <c r="U55" s="9"/>
      <c r="V55" s="10"/>
      <c r="W55" s="165"/>
      <c r="X55" s="12"/>
      <c r="Y55" s="166"/>
      <c r="Z55" s="10"/>
      <c r="AA55" s="165"/>
      <c r="AB55" s="168"/>
      <c r="AD55" s="9"/>
      <c r="AE55" s="10"/>
      <c r="AF55" s="165"/>
      <c r="AG55" s="12"/>
      <c r="AH55" s="166"/>
      <c r="AI55" s="10"/>
      <c r="AJ55" s="165"/>
      <c r="AK55" s="168"/>
      <c r="AN55" s="9"/>
      <c r="AU55" s="11"/>
      <c r="AX55" s="9"/>
      <c r="BE55" s="11"/>
      <c r="BH55" s="9"/>
      <c r="BO55" s="11"/>
      <c r="BR55" s="9"/>
      <c r="BY55" s="11"/>
      <c r="CB55" s="9"/>
      <c r="CI55" s="11"/>
      <c r="CL55" s="9"/>
      <c r="CS55" s="11"/>
      <c r="CV55" s="9"/>
      <c r="DC55" s="11"/>
      <c r="DF55" s="9"/>
      <c r="DM55" s="11"/>
      <c r="DP55" s="9"/>
      <c r="DW55" s="11"/>
      <c r="DZ55" s="9"/>
      <c r="EG55" s="11"/>
      <c r="EJ55" s="9"/>
      <c r="EQ55" s="11"/>
      <c r="ET55" s="9"/>
      <c r="FA55" s="11"/>
      <c r="FD55" s="9"/>
      <c r="FK55" s="11"/>
      <c r="FN55" s="9"/>
      <c r="FU55" s="11"/>
    </row>
    <row r="56" spans="1:177" ht="17.25" thickBot="1" x14ac:dyDescent="0.35">
      <c r="A56" s="9"/>
      <c r="H56" s="11"/>
      <c r="K56" s="554" t="s">
        <v>36</v>
      </c>
      <c r="L56" s="555"/>
      <c r="M56" s="555"/>
      <c r="N56" s="555"/>
      <c r="O56" s="555"/>
      <c r="P56" s="555"/>
      <c r="Q56" s="556"/>
      <c r="R56" s="16" t="e">
        <f>IF(Q10&gt;$B$3,0,SUBTOTAL(109,Tabla54814[Valor Total]))</f>
        <v>#N/A</v>
      </c>
      <c r="U56" s="554" t="s">
        <v>36</v>
      </c>
      <c r="V56" s="555"/>
      <c r="W56" s="555"/>
      <c r="X56" s="555"/>
      <c r="Y56" s="555"/>
      <c r="Z56" s="555"/>
      <c r="AA56" s="556"/>
      <c r="AB56" s="16" t="e">
        <f>IF(AA10&gt;$B$3,0,SUBTOTAL(109,Tabla55117[Valor Total]))</f>
        <v>#N/A</v>
      </c>
      <c r="AD56" s="554" t="s">
        <v>36</v>
      </c>
      <c r="AE56" s="555"/>
      <c r="AF56" s="555"/>
      <c r="AG56" s="555"/>
      <c r="AH56" s="555"/>
      <c r="AI56" s="555"/>
      <c r="AJ56" s="556"/>
      <c r="AK56" s="16">
        <f>IF(AJ10&gt;$B$3,0,SUBTOTAL(109,Tabla55420[Valor Total]))</f>
        <v>0</v>
      </c>
      <c r="AN56" s="9"/>
      <c r="AU56" s="11"/>
      <c r="AX56" s="9"/>
      <c r="BE56" s="11"/>
      <c r="BH56" s="9"/>
      <c r="BO56" s="11"/>
      <c r="BR56" s="9"/>
      <c r="BY56" s="11"/>
      <c r="CB56" s="9"/>
      <c r="CI56" s="11"/>
      <c r="CL56" s="9"/>
      <c r="CS56" s="11"/>
      <c r="CV56" s="9"/>
      <c r="DC56" s="11"/>
      <c r="DF56" s="9"/>
      <c r="DM56" s="11"/>
      <c r="DP56" s="9"/>
      <c r="DW56" s="11"/>
      <c r="DZ56" s="9"/>
      <c r="EG56" s="11"/>
      <c r="EJ56" s="9"/>
      <c r="EQ56" s="11"/>
      <c r="ET56" s="9"/>
      <c r="FA56" s="11"/>
      <c r="FD56" s="9"/>
      <c r="FK56" s="11"/>
      <c r="FN56" s="9"/>
      <c r="FU56" s="11"/>
    </row>
    <row r="57" spans="1:177" ht="17.25" thickBot="1" x14ac:dyDescent="0.35">
      <c r="A57" s="9"/>
      <c r="H57" s="11"/>
      <c r="K57" s="9"/>
      <c r="R57" s="11"/>
      <c r="U57" s="9"/>
      <c r="AB57" s="11"/>
      <c r="AD57" s="9"/>
      <c r="AK57" s="11"/>
      <c r="AN57" s="9"/>
      <c r="AU57" s="11"/>
      <c r="AX57" s="9"/>
      <c r="BE57" s="11"/>
      <c r="BH57" s="9"/>
      <c r="BO57" s="11"/>
      <c r="BR57" s="9"/>
      <c r="BY57" s="11"/>
      <c r="CB57" s="9"/>
      <c r="CI57" s="11"/>
      <c r="CL57" s="9"/>
      <c r="CS57" s="11"/>
      <c r="CV57" s="9"/>
      <c r="DC57" s="11"/>
      <c r="DF57" s="9"/>
      <c r="DM57" s="11"/>
      <c r="DP57" s="9"/>
      <c r="DW57" s="11"/>
      <c r="DZ57" s="9"/>
      <c r="EG57" s="11"/>
      <c r="EJ57" s="9"/>
      <c r="EQ57" s="11"/>
      <c r="ET57" s="9"/>
      <c r="FA57" s="11"/>
      <c r="FD57" s="9"/>
      <c r="FK57" s="11"/>
      <c r="FN57" s="9"/>
      <c r="FU57" s="11"/>
    </row>
    <row r="58" spans="1:177" x14ac:dyDescent="0.3">
      <c r="A58" s="9"/>
      <c r="C58" s="6" t="s">
        <v>37</v>
      </c>
      <c r="D58" s="7" t="s">
        <v>38</v>
      </c>
      <c r="E58" s="7" t="s">
        <v>39</v>
      </c>
      <c r="F58" s="8" t="s">
        <v>40</v>
      </c>
      <c r="H58" s="11"/>
      <c r="K58" s="9"/>
      <c r="R58" s="11"/>
      <c r="U58" s="9"/>
      <c r="AB58" s="11"/>
      <c r="AD58" s="9"/>
      <c r="AK58" s="11"/>
      <c r="AN58" s="9"/>
      <c r="AP58" s="6" t="s">
        <v>37</v>
      </c>
      <c r="AQ58" s="7" t="s">
        <v>38</v>
      </c>
      <c r="AR58" s="7" t="s">
        <v>39</v>
      </c>
      <c r="AS58" s="8" t="s">
        <v>40</v>
      </c>
      <c r="AU58" s="11"/>
      <c r="AX58" s="9"/>
      <c r="AZ58" s="6" t="s">
        <v>37</v>
      </c>
      <c r="BA58" s="7" t="s">
        <v>38</v>
      </c>
      <c r="BB58" s="7" t="s">
        <v>39</v>
      </c>
      <c r="BC58" s="8" t="s">
        <v>40</v>
      </c>
      <c r="BE58" s="11"/>
      <c r="BH58" s="9"/>
      <c r="BJ58" s="6" t="s">
        <v>37</v>
      </c>
      <c r="BK58" s="7" t="s">
        <v>38</v>
      </c>
      <c r="BL58" s="7" t="s">
        <v>39</v>
      </c>
      <c r="BM58" s="8" t="s">
        <v>40</v>
      </c>
      <c r="BO58" s="11"/>
      <c r="BR58" s="9"/>
      <c r="BT58" s="6" t="s">
        <v>37</v>
      </c>
      <c r="BU58" s="7" t="s">
        <v>38</v>
      </c>
      <c r="BV58" s="7" t="s">
        <v>39</v>
      </c>
      <c r="BW58" s="8" t="s">
        <v>40</v>
      </c>
      <c r="BY58" s="11"/>
      <c r="CB58" s="9"/>
      <c r="CD58" s="6" t="s">
        <v>37</v>
      </c>
      <c r="CE58" s="7" t="s">
        <v>38</v>
      </c>
      <c r="CF58" s="7" t="s">
        <v>39</v>
      </c>
      <c r="CG58" s="8" t="s">
        <v>40</v>
      </c>
      <c r="CI58" s="11"/>
      <c r="CL58" s="9"/>
      <c r="CN58" s="6" t="s">
        <v>37</v>
      </c>
      <c r="CO58" s="7" t="s">
        <v>38</v>
      </c>
      <c r="CP58" s="7" t="s">
        <v>39</v>
      </c>
      <c r="CQ58" s="8" t="s">
        <v>40</v>
      </c>
      <c r="CS58" s="11"/>
      <c r="CV58" s="9"/>
      <c r="CX58" s="6" t="s">
        <v>37</v>
      </c>
      <c r="CY58" s="7" t="s">
        <v>38</v>
      </c>
      <c r="CZ58" s="7" t="s">
        <v>39</v>
      </c>
      <c r="DA58" s="8" t="s">
        <v>40</v>
      </c>
      <c r="DC58" s="11"/>
      <c r="DF58" s="9"/>
      <c r="DH58" s="6" t="s">
        <v>37</v>
      </c>
      <c r="DI58" s="7" t="s">
        <v>38</v>
      </c>
      <c r="DJ58" s="7" t="s">
        <v>39</v>
      </c>
      <c r="DK58" s="8" t="s">
        <v>40</v>
      </c>
      <c r="DM58" s="11"/>
      <c r="DP58" s="9"/>
      <c r="DR58" s="6" t="s">
        <v>37</v>
      </c>
      <c r="DS58" s="7" t="s">
        <v>38</v>
      </c>
      <c r="DT58" s="7" t="s">
        <v>39</v>
      </c>
      <c r="DU58" s="8" t="s">
        <v>40</v>
      </c>
      <c r="DW58" s="11"/>
      <c r="DZ58" s="9"/>
      <c r="EB58" s="6" t="s">
        <v>37</v>
      </c>
      <c r="EC58" s="7" t="s">
        <v>38</v>
      </c>
      <c r="ED58" s="7" t="s">
        <v>39</v>
      </c>
      <c r="EE58" s="8" t="s">
        <v>40</v>
      </c>
      <c r="EG58" s="11"/>
      <c r="EJ58" s="9"/>
      <c r="EL58" s="6" t="s">
        <v>37</v>
      </c>
      <c r="EM58" s="7" t="s">
        <v>38</v>
      </c>
      <c r="EN58" s="7" t="s">
        <v>39</v>
      </c>
      <c r="EO58" s="8" t="s">
        <v>40</v>
      </c>
      <c r="EQ58" s="11"/>
      <c r="ET58" s="9"/>
      <c r="EV58" s="6" t="s">
        <v>37</v>
      </c>
      <c r="EW58" s="7" t="s">
        <v>38</v>
      </c>
      <c r="EX58" s="7" t="s">
        <v>39</v>
      </c>
      <c r="EY58" s="8" t="s">
        <v>40</v>
      </c>
      <c r="FA58" s="11"/>
      <c r="FD58" s="9"/>
      <c r="FF58" s="6" t="s">
        <v>37</v>
      </c>
      <c r="FG58" s="7" t="s">
        <v>38</v>
      </c>
      <c r="FH58" s="7" t="s">
        <v>39</v>
      </c>
      <c r="FI58" s="8" t="s">
        <v>40</v>
      </c>
      <c r="FK58" s="11"/>
      <c r="FN58" s="9"/>
      <c r="FP58" s="6" t="s">
        <v>37</v>
      </c>
      <c r="FQ58" s="7" t="s">
        <v>38</v>
      </c>
      <c r="FR58" s="7" t="s">
        <v>39</v>
      </c>
      <c r="FS58" s="8" t="s">
        <v>40</v>
      </c>
      <c r="FU58" s="11"/>
    </row>
    <row r="59" spans="1:177" ht="17.25" thickBot="1" x14ac:dyDescent="0.35">
      <c r="A59" s="9"/>
      <c r="C59" s="9" t="s">
        <v>41</v>
      </c>
      <c r="D59">
        <v>2</v>
      </c>
      <c r="E59" s="136">
        <v>1200000</v>
      </c>
      <c r="F59" s="152">
        <f>+Tabla612[[#This Row],[Valor unitario ]]*Tabla612[[#This Row],[cantidad ]]</f>
        <v>2400000</v>
      </c>
      <c r="H59" s="11"/>
      <c r="K59" s="9"/>
      <c r="R59" s="11"/>
      <c r="U59" s="9"/>
      <c r="AB59" s="11"/>
      <c r="AD59" s="9"/>
      <c r="AK59" s="11"/>
      <c r="AN59" s="9"/>
      <c r="AP59" s="9" t="s">
        <v>41</v>
      </c>
      <c r="AR59" s="136"/>
      <c r="AS59" s="11">
        <f>+Tabla658110[[#This Row],[Valor unitario ]]*Tabla658110[[#This Row],[cantidad ]]</f>
        <v>0</v>
      </c>
      <c r="AU59" s="11"/>
      <c r="AX59" s="9"/>
      <c r="AZ59" s="9" t="s">
        <v>41</v>
      </c>
      <c r="BB59" s="136"/>
      <c r="BC59" s="11">
        <f>+Tabla661122[[#This Row],[Valor unitario ]]*Tabla661122[[#This Row],[cantidad ]]</f>
        <v>0</v>
      </c>
      <c r="BE59" s="11"/>
      <c r="BH59" s="9"/>
      <c r="BJ59" s="9" t="s">
        <v>41</v>
      </c>
      <c r="BL59" s="165"/>
      <c r="BM59" s="169">
        <f>+Tabla664165[[#This Row],[cantidad ]]*Tabla664165[[#This Row],[Valor unitario ]]</f>
        <v>0</v>
      </c>
      <c r="BO59" s="11"/>
      <c r="BR59" s="9"/>
      <c r="BT59" s="9" t="s">
        <v>41</v>
      </c>
      <c r="BV59" s="165"/>
      <c r="BW59" s="169">
        <f>+Tabla667168[[#This Row],[Valor unitario ]]*Tabla667168[[#This Row],[cantidad ]]</f>
        <v>0</v>
      </c>
      <c r="BY59" s="11"/>
      <c r="CB59" s="9"/>
      <c r="CD59" s="9" t="s">
        <v>41</v>
      </c>
      <c r="CF59" s="165"/>
      <c r="CG59" s="169">
        <f>+Tabla670171[[#This Row],[cantidad ]]*Tabla670171[[#This Row],[Valor unitario ]]</f>
        <v>0</v>
      </c>
      <c r="CI59" s="11"/>
      <c r="CL59" s="9"/>
      <c r="CN59" s="9" t="s">
        <v>41</v>
      </c>
      <c r="CP59" s="165"/>
      <c r="CQ59" s="168">
        <f>+Tabla673174[[#This Row],[cantidad ]]*Tabla673174[[#This Row],[Valor unitario ]]</f>
        <v>0</v>
      </c>
      <c r="CS59" s="11"/>
      <c r="CV59" s="9"/>
      <c r="CX59" s="9" t="s">
        <v>41</v>
      </c>
      <c r="CZ59" s="165"/>
      <c r="DA59" s="169">
        <f>+Tabla676177[[#This Row],[Valor unitario ]]*Tabla676177[[#This Row],[cantidad ]]</f>
        <v>0</v>
      </c>
      <c r="DC59" s="11"/>
      <c r="DF59" s="9"/>
      <c r="DH59" s="9" t="s">
        <v>41</v>
      </c>
      <c r="DJ59" s="165"/>
      <c r="DK59" s="168">
        <f>+Tabla679180[[#This Row],[Valor unitario ]]*Tabla679180[[#This Row],[cantidad ]]</f>
        <v>0</v>
      </c>
      <c r="DM59" s="11"/>
      <c r="DP59" s="9"/>
      <c r="DR59" s="9" t="s">
        <v>41</v>
      </c>
      <c r="DT59" s="165"/>
      <c r="DU59" s="168">
        <f>+Tabla682183[[#This Row],[Valor unitario ]]*Tabla682183[[#This Row],[cantidad ]]</f>
        <v>0</v>
      </c>
      <c r="DW59" s="11"/>
      <c r="DZ59" s="9"/>
      <c r="EB59" s="9" t="s">
        <v>41</v>
      </c>
      <c r="ED59" s="165"/>
      <c r="EE59" s="168">
        <f>+Tabla685186[[#This Row],[Valor unitario ]]*Tabla685186[[#This Row],[cantidad ]]</f>
        <v>0</v>
      </c>
      <c r="EG59" s="11"/>
      <c r="EJ59" s="9"/>
      <c r="EL59" s="9" t="s">
        <v>41</v>
      </c>
      <c r="EN59" s="165"/>
      <c r="EO59" s="169">
        <f>+Tabla688189[[#This Row],[Valor unitario ]]*Tabla688189[[#This Row],[cantidad ]]</f>
        <v>0</v>
      </c>
      <c r="EQ59" s="11"/>
      <c r="ET59" s="9"/>
      <c r="EV59" s="9" t="s">
        <v>41</v>
      </c>
      <c r="EX59" s="165"/>
      <c r="EY59" s="168">
        <f>+Tabla691192[[#This Row],[Valor unitario ]]*Tabla691192[[#This Row],[cantidad ]]</f>
        <v>0</v>
      </c>
      <c r="FA59" s="11"/>
      <c r="FD59" s="9"/>
      <c r="FF59" s="9" t="s">
        <v>41</v>
      </c>
      <c r="FH59" s="165"/>
      <c r="FI59" s="168">
        <f>+Tabla694195[[#This Row],[cantidad ]]*Tabla694195[[#This Row],[Valor unitario ]]</f>
        <v>0</v>
      </c>
      <c r="FK59" s="11"/>
      <c r="FN59" s="9"/>
      <c r="FP59" s="9" t="s">
        <v>41</v>
      </c>
      <c r="FR59" s="136"/>
      <c r="FS59" s="168">
        <f>+Tabla697198[[#This Row],[Valor unitario ]]*Tabla697198[[#This Row],[cantidad ]]</f>
        <v>0</v>
      </c>
      <c r="FU59" s="11"/>
    </row>
    <row r="60" spans="1:177" x14ac:dyDescent="0.3">
      <c r="A60" s="9"/>
      <c r="C60" s="9" t="s">
        <v>42</v>
      </c>
      <c r="D60">
        <v>3</v>
      </c>
      <c r="E60" s="136">
        <v>1800000</v>
      </c>
      <c r="F60" s="152">
        <f>+Tabla612[[#This Row],[Valor unitario ]]*Tabla612[[#This Row],[cantidad ]]</f>
        <v>5400000</v>
      </c>
      <c r="H60" s="11"/>
      <c r="K60" s="9"/>
      <c r="M60" s="6" t="s">
        <v>37</v>
      </c>
      <c r="N60" s="7" t="s">
        <v>38</v>
      </c>
      <c r="O60" s="7" t="s">
        <v>39</v>
      </c>
      <c r="P60" s="8" t="s">
        <v>40</v>
      </c>
      <c r="R60" s="11"/>
      <c r="U60" s="9"/>
      <c r="W60" s="6" t="s">
        <v>37</v>
      </c>
      <c r="X60" s="7" t="s">
        <v>38</v>
      </c>
      <c r="Y60" s="7" t="s">
        <v>39</v>
      </c>
      <c r="Z60" s="8" t="s">
        <v>40</v>
      </c>
      <c r="AB60" s="11"/>
      <c r="AD60" s="9"/>
      <c r="AF60" s="6" t="s">
        <v>37</v>
      </c>
      <c r="AG60" s="7" t="s">
        <v>38</v>
      </c>
      <c r="AH60" s="7" t="s">
        <v>39</v>
      </c>
      <c r="AI60" s="8" t="s">
        <v>40</v>
      </c>
      <c r="AK60" s="11"/>
      <c r="AN60" s="9"/>
      <c r="AP60" s="9" t="s">
        <v>42</v>
      </c>
      <c r="AR60" s="136"/>
      <c r="AS60" s="11">
        <f>+Tabla658110[[#This Row],[Valor unitario ]]*Tabla658110[[#This Row],[cantidad ]]</f>
        <v>0</v>
      </c>
      <c r="AU60" s="11"/>
      <c r="AX60" s="9"/>
      <c r="AZ60" s="9" t="s">
        <v>42</v>
      </c>
      <c r="BB60" s="136"/>
      <c r="BC60" s="11">
        <f>+Tabla661122[[#This Row],[Valor unitario ]]*Tabla661122[[#This Row],[cantidad ]]</f>
        <v>0</v>
      </c>
      <c r="BE60" s="11"/>
      <c r="BH60" s="9"/>
      <c r="BJ60" s="9" t="s">
        <v>42</v>
      </c>
      <c r="BL60" s="165"/>
      <c r="BM60" s="169">
        <f>+Tabla664165[[#This Row],[cantidad ]]*Tabla664165[[#This Row],[Valor unitario ]]</f>
        <v>0</v>
      </c>
      <c r="BO60" s="11"/>
      <c r="BR60" s="9"/>
      <c r="BT60" s="9" t="s">
        <v>42</v>
      </c>
      <c r="BV60" s="165"/>
      <c r="BW60" s="169">
        <f>+Tabla667168[[#This Row],[Valor unitario ]]*Tabla667168[[#This Row],[cantidad ]]</f>
        <v>0</v>
      </c>
      <c r="BY60" s="11"/>
      <c r="CB60" s="9"/>
      <c r="CD60" s="9" t="s">
        <v>42</v>
      </c>
      <c r="CF60" s="165"/>
      <c r="CG60" s="169">
        <f>+Tabla670171[[#This Row],[cantidad ]]*Tabla670171[[#This Row],[Valor unitario ]]</f>
        <v>0</v>
      </c>
      <c r="CI60" s="11"/>
      <c r="CL60" s="9"/>
      <c r="CN60" s="9" t="s">
        <v>42</v>
      </c>
      <c r="CP60" s="165"/>
      <c r="CQ60" s="168">
        <f>+Tabla673174[[#This Row],[cantidad ]]*Tabla673174[[#This Row],[Valor unitario ]]</f>
        <v>0</v>
      </c>
      <c r="CS60" s="11"/>
      <c r="CV60" s="9"/>
      <c r="CX60" s="9" t="s">
        <v>42</v>
      </c>
      <c r="CZ60" s="165"/>
      <c r="DA60" s="169">
        <f>+Tabla676177[[#This Row],[Valor unitario ]]*Tabla676177[[#This Row],[cantidad ]]</f>
        <v>0</v>
      </c>
      <c r="DC60" s="11"/>
      <c r="DF60" s="9"/>
      <c r="DH60" s="9" t="s">
        <v>42</v>
      </c>
      <c r="DJ60" s="165"/>
      <c r="DK60" s="168">
        <f>+Tabla679180[[#This Row],[Valor unitario ]]*Tabla679180[[#This Row],[cantidad ]]</f>
        <v>0</v>
      </c>
      <c r="DM60" s="11"/>
      <c r="DP60" s="9"/>
      <c r="DR60" s="9" t="s">
        <v>42</v>
      </c>
      <c r="DT60" s="165"/>
      <c r="DU60" s="168">
        <f>+Tabla682183[[#This Row],[Valor unitario ]]*Tabla682183[[#This Row],[cantidad ]]</f>
        <v>0</v>
      </c>
      <c r="DW60" s="11"/>
      <c r="DZ60" s="9"/>
      <c r="EB60" s="9" t="s">
        <v>42</v>
      </c>
      <c r="ED60" s="165"/>
      <c r="EE60" s="168">
        <f>+Tabla685186[[#This Row],[Valor unitario ]]*Tabla685186[[#This Row],[cantidad ]]</f>
        <v>0</v>
      </c>
      <c r="EG60" s="11"/>
      <c r="EJ60" s="9"/>
      <c r="EL60" s="9" t="s">
        <v>42</v>
      </c>
      <c r="EN60" s="165"/>
      <c r="EO60" s="169">
        <f>+Tabla688189[[#This Row],[Valor unitario ]]*Tabla688189[[#This Row],[cantidad ]]</f>
        <v>0</v>
      </c>
      <c r="EQ60" s="11"/>
      <c r="ET60" s="9"/>
      <c r="EV60" s="9" t="s">
        <v>42</v>
      </c>
      <c r="EX60" s="165"/>
      <c r="EY60" s="168">
        <f>+Tabla691192[[#This Row],[Valor unitario ]]*Tabla691192[[#This Row],[cantidad ]]</f>
        <v>0</v>
      </c>
      <c r="FA60" s="11"/>
      <c r="FD60" s="9"/>
      <c r="FF60" s="9" t="s">
        <v>42</v>
      </c>
      <c r="FH60" s="165"/>
      <c r="FI60" s="168">
        <f>+Tabla694195[[#This Row],[cantidad ]]*Tabla694195[[#This Row],[Valor unitario ]]</f>
        <v>0</v>
      </c>
      <c r="FK60" s="11"/>
      <c r="FN60" s="9"/>
      <c r="FP60" s="9" t="s">
        <v>42</v>
      </c>
      <c r="FR60" s="136"/>
      <c r="FS60" s="168">
        <f>+Tabla697198[[#This Row],[Valor unitario ]]*Tabla697198[[#This Row],[cantidad ]]</f>
        <v>0</v>
      </c>
      <c r="FU60" s="11"/>
    </row>
    <row r="61" spans="1:177" x14ac:dyDescent="0.3">
      <c r="A61" s="9"/>
      <c r="C61" s="9" t="s">
        <v>43</v>
      </c>
      <c r="D61">
        <v>5</v>
      </c>
      <c r="E61" s="136">
        <v>800000</v>
      </c>
      <c r="F61" s="152">
        <f>+Tabla612[[#This Row],[Valor unitario ]]*Tabla612[[#This Row],[cantidad ]]</f>
        <v>4000000</v>
      </c>
      <c r="H61" s="11"/>
      <c r="K61" s="9"/>
      <c r="M61" s="9" t="s">
        <v>41</v>
      </c>
      <c r="N61">
        <v>2</v>
      </c>
      <c r="O61" s="136">
        <v>1200000</v>
      </c>
      <c r="P61" s="11">
        <f>+Tabla64915[[#This Row],[Valor unitario ]]*Tabla64915[[#This Row],[cantidad ]]</f>
        <v>2400000</v>
      </c>
      <c r="R61" s="11"/>
      <c r="U61" s="9"/>
      <c r="W61" s="9" t="s">
        <v>41</v>
      </c>
      <c r="X61">
        <v>2</v>
      </c>
      <c r="Y61" s="136">
        <v>1200000</v>
      </c>
      <c r="Z61" s="11">
        <f>+Tabla65218[[#This Row],[Valor unitario ]]*Tabla65218[[#This Row],[cantidad ]]</f>
        <v>2400000</v>
      </c>
      <c r="AB61" s="11"/>
      <c r="AD61" s="9"/>
      <c r="AF61" s="9" t="s">
        <v>41</v>
      </c>
      <c r="AG61">
        <v>2</v>
      </c>
      <c r="AH61" s="136">
        <v>1200000</v>
      </c>
      <c r="AI61" s="11">
        <f>+Tabla65521[[#This Row],[Valor unitario ]]*Tabla65521[[#This Row],[cantidad ]]</f>
        <v>2400000</v>
      </c>
      <c r="AK61" s="11"/>
      <c r="AN61" s="9"/>
      <c r="AP61" s="9" t="s">
        <v>43</v>
      </c>
      <c r="AR61" s="136"/>
      <c r="AS61" s="11">
        <f>+Tabla658110[[#This Row],[Valor unitario ]]*Tabla658110[[#This Row],[cantidad ]]</f>
        <v>0</v>
      </c>
      <c r="AU61" s="11"/>
      <c r="AX61" s="9"/>
      <c r="AZ61" s="9" t="s">
        <v>43</v>
      </c>
      <c r="BB61" s="136"/>
      <c r="BC61" s="11">
        <f>+Tabla661122[[#This Row],[Valor unitario ]]*Tabla661122[[#This Row],[cantidad ]]</f>
        <v>0</v>
      </c>
      <c r="BE61" s="11"/>
      <c r="BH61" s="9"/>
      <c r="BJ61" s="9" t="s">
        <v>43</v>
      </c>
      <c r="BL61" s="165"/>
      <c r="BM61" s="169">
        <f>+Tabla664165[[#This Row],[cantidad ]]*Tabla664165[[#This Row],[Valor unitario ]]</f>
        <v>0</v>
      </c>
      <c r="BO61" s="11"/>
      <c r="BR61" s="9"/>
      <c r="BT61" s="9" t="s">
        <v>43</v>
      </c>
      <c r="BV61" s="165"/>
      <c r="BW61" s="169">
        <f>+Tabla667168[[#This Row],[Valor unitario ]]*Tabla667168[[#This Row],[cantidad ]]</f>
        <v>0</v>
      </c>
      <c r="BY61" s="11"/>
      <c r="CB61" s="9"/>
      <c r="CD61" s="9" t="s">
        <v>43</v>
      </c>
      <c r="CF61" s="165"/>
      <c r="CG61" s="169">
        <f>+Tabla670171[[#This Row],[cantidad ]]*Tabla670171[[#This Row],[Valor unitario ]]</f>
        <v>0</v>
      </c>
      <c r="CI61" s="11"/>
      <c r="CL61" s="9"/>
      <c r="CN61" s="9" t="s">
        <v>43</v>
      </c>
      <c r="CP61" s="165"/>
      <c r="CQ61" s="168">
        <f>+Tabla673174[[#This Row],[cantidad ]]*Tabla673174[[#This Row],[Valor unitario ]]</f>
        <v>0</v>
      </c>
      <c r="CS61" s="11"/>
      <c r="CV61" s="9"/>
      <c r="CX61" s="9" t="s">
        <v>43</v>
      </c>
      <c r="CZ61" s="165"/>
      <c r="DA61" s="169">
        <f>+Tabla676177[[#This Row],[Valor unitario ]]*Tabla676177[[#This Row],[cantidad ]]</f>
        <v>0</v>
      </c>
      <c r="DC61" s="11"/>
      <c r="DF61" s="9"/>
      <c r="DH61" s="9" t="s">
        <v>43</v>
      </c>
      <c r="DJ61" s="165"/>
      <c r="DK61" s="168">
        <f>+Tabla679180[[#This Row],[Valor unitario ]]*Tabla679180[[#This Row],[cantidad ]]</f>
        <v>0</v>
      </c>
      <c r="DM61" s="11"/>
      <c r="DP61" s="9"/>
      <c r="DR61" s="9" t="s">
        <v>43</v>
      </c>
      <c r="DT61" s="165"/>
      <c r="DU61" s="168">
        <f>+Tabla682183[[#This Row],[Valor unitario ]]*Tabla682183[[#This Row],[cantidad ]]</f>
        <v>0</v>
      </c>
      <c r="DW61" s="11"/>
      <c r="DZ61" s="9"/>
      <c r="EB61" s="9" t="s">
        <v>43</v>
      </c>
      <c r="ED61" s="165"/>
      <c r="EE61" s="168">
        <f>+Tabla685186[[#This Row],[Valor unitario ]]*Tabla685186[[#This Row],[cantidad ]]</f>
        <v>0</v>
      </c>
      <c r="EG61" s="11"/>
      <c r="EJ61" s="9"/>
      <c r="EL61" s="9" t="s">
        <v>43</v>
      </c>
      <c r="EN61" s="165"/>
      <c r="EO61" s="169">
        <f>+Tabla688189[[#This Row],[Valor unitario ]]*Tabla688189[[#This Row],[cantidad ]]</f>
        <v>0</v>
      </c>
      <c r="EQ61" s="11"/>
      <c r="ET61" s="9"/>
      <c r="EV61" s="9" t="s">
        <v>43</v>
      </c>
      <c r="EX61" s="165"/>
      <c r="EY61" s="168">
        <f>+Tabla691192[[#This Row],[Valor unitario ]]*Tabla691192[[#This Row],[cantidad ]]</f>
        <v>0</v>
      </c>
      <c r="FA61" s="11"/>
      <c r="FD61" s="9"/>
      <c r="FF61" s="9" t="s">
        <v>43</v>
      </c>
      <c r="FH61" s="165"/>
      <c r="FI61" s="168">
        <f>+Tabla694195[[#This Row],[cantidad ]]*Tabla694195[[#This Row],[Valor unitario ]]</f>
        <v>0</v>
      </c>
      <c r="FK61" s="11"/>
      <c r="FN61" s="9"/>
      <c r="FP61" s="9" t="s">
        <v>43</v>
      </c>
      <c r="FR61" s="136"/>
      <c r="FS61" s="168">
        <f>+Tabla697198[[#This Row],[Valor unitario ]]*Tabla697198[[#This Row],[cantidad ]]</f>
        <v>0</v>
      </c>
      <c r="FU61" s="11"/>
    </row>
    <row r="62" spans="1:177" ht="17.25" thickBot="1" x14ac:dyDescent="0.35">
      <c r="A62" s="15"/>
      <c r="B62" s="13"/>
      <c r="C62" s="554" t="s">
        <v>45</v>
      </c>
      <c r="D62" s="555"/>
      <c r="E62" s="556"/>
      <c r="F62" s="16">
        <f>IF(G10&gt;B3,0,SUBTOTAL(109,Tabla612[Valor total]))</f>
        <v>11800000</v>
      </c>
      <c r="G62" s="13"/>
      <c r="H62" s="14"/>
      <c r="K62" s="9"/>
      <c r="M62" s="9" t="s">
        <v>42</v>
      </c>
      <c r="N62">
        <v>1</v>
      </c>
      <c r="O62" s="136">
        <v>1800000</v>
      </c>
      <c r="P62" s="11">
        <f>+Tabla64915[[#This Row],[Valor unitario ]]*Tabla64915[[#This Row],[cantidad ]]</f>
        <v>1800000</v>
      </c>
      <c r="R62" s="11"/>
      <c r="U62" s="9"/>
      <c r="W62" s="9" t="s">
        <v>42</v>
      </c>
      <c r="X62">
        <v>1</v>
      </c>
      <c r="Y62" s="136">
        <v>1800000</v>
      </c>
      <c r="Z62" s="11">
        <f>+Tabla65218[[#This Row],[Valor unitario ]]*Tabla65218[[#This Row],[cantidad ]]</f>
        <v>1800000</v>
      </c>
      <c r="AB62" s="11"/>
      <c r="AD62" s="9"/>
      <c r="AF62" s="9" t="s">
        <v>42</v>
      </c>
      <c r="AG62">
        <v>3</v>
      </c>
      <c r="AH62" s="136">
        <v>1800000</v>
      </c>
      <c r="AI62" s="11">
        <f>+Tabla65521[[#This Row],[Valor unitario ]]*Tabla65521[[#This Row],[cantidad ]]</f>
        <v>5400000</v>
      </c>
      <c r="AK62" s="11"/>
      <c r="AN62" s="15"/>
      <c r="AO62" s="13"/>
      <c r="AP62" s="554" t="s">
        <v>45</v>
      </c>
      <c r="AQ62" s="555"/>
      <c r="AR62" s="556"/>
      <c r="AS62" s="16">
        <f>IF(AT10&gt;$B$3,0,SUBTOTAL(109,Tabla658110[Valor total]))</f>
        <v>0</v>
      </c>
      <c r="AT62" s="13"/>
      <c r="AU62" s="14"/>
      <c r="AX62" s="15"/>
      <c r="AY62" s="13"/>
      <c r="AZ62" s="554" t="s">
        <v>45</v>
      </c>
      <c r="BA62" s="555"/>
      <c r="BB62" s="556"/>
      <c r="BC62" s="16">
        <f>IF(BD10&gt;$B$3,0,SUBTOTAL(109,Tabla661122[Valor total]))</f>
        <v>0</v>
      </c>
      <c r="BD62" s="13"/>
      <c r="BE62" s="14"/>
      <c r="BH62" s="15"/>
      <c r="BI62" s="13"/>
      <c r="BJ62" s="554" t="s">
        <v>45</v>
      </c>
      <c r="BK62" s="555"/>
      <c r="BL62" s="556"/>
      <c r="BM62" s="16">
        <f>SUBTOTAL(109,Tabla664165[Valor total])</f>
        <v>0</v>
      </c>
      <c r="BN62" s="13"/>
      <c r="BO62" s="14"/>
      <c r="BR62" s="15"/>
      <c r="BS62" s="13"/>
      <c r="BT62" s="554" t="s">
        <v>45</v>
      </c>
      <c r="BU62" s="555"/>
      <c r="BV62" s="556"/>
      <c r="BW62" s="16">
        <f>SUBTOTAL(109,Tabla667168[Valor total])</f>
        <v>0</v>
      </c>
      <c r="BX62" s="13"/>
      <c r="BY62" s="14"/>
      <c r="CB62" s="15"/>
      <c r="CC62" s="13"/>
      <c r="CD62" s="554" t="s">
        <v>45</v>
      </c>
      <c r="CE62" s="555"/>
      <c r="CF62" s="556"/>
      <c r="CG62" s="16">
        <f>SUBTOTAL(109,Tabla670171[Valor total])</f>
        <v>0</v>
      </c>
      <c r="CH62" s="13"/>
      <c r="CI62" s="14"/>
      <c r="CL62" s="15"/>
      <c r="CM62" s="13"/>
      <c r="CN62" s="554" t="s">
        <v>45</v>
      </c>
      <c r="CO62" s="555"/>
      <c r="CP62" s="556"/>
      <c r="CQ62" s="16">
        <f>SUBTOTAL(109,Tabla673174[Valor total])</f>
        <v>0</v>
      </c>
      <c r="CR62" s="13"/>
      <c r="CS62" s="14"/>
      <c r="CV62" s="15"/>
      <c r="CW62" s="13"/>
      <c r="CX62" s="554" t="s">
        <v>45</v>
      </c>
      <c r="CY62" s="555"/>
      <c r="CZ62" s="556"/>
      <c r="DA62" s="16">
        <f>SUBTOTAL(109,Tabla676177[Valor total])</f>
        <v>0</v>
      </c>
      <c r="DB62" s="13"/>
      <c r="DC62" s="14"/>
      <c r="DF62" s="15"/>
      <c r="DG62" s="13"/>
      <c r="DH62" s="554" t="s">
        <v>45</v>
      </c>
      <c r="DI62" s="555"/>
      <c r="DJ62" s="556"/>
      <c r="DK62" s="16">
        <f>SUBTOTAL(109,Tabla679180[Valor total])</f>
        <v>0</v>
      </c>
      <c r="DL62" s="13"/>
      <c r="DM62" s="14"/>
      <c r="DP62" s="15"/>
      <c r="DQ62" s="13"/>
      <c r="DR62" s="554" t="s">
        <v>45</v>
      </c>
      <c r="DS62" s="555"/>
      <c r="DT62" s="556"/>
      <c r="DU62" s="16">
        <f>SUBTOTAL(109,Tabla682183[Valor total])</f>
        <v>0</v>
      </c>
      <c r="DV62" s="13"/>
      <c r="DW62" s="14"/>
      <c r="DZ62" s="15"/>
      <c r="EA62" s="13"/>
      <c r="EB62" s="554" t="s">
        <v>45</v>
      </c>
      <c r="EC62" s="555"/>
      <c r="ED62" s="556"/>
      <c r="EE62" s="16">
        <f>SUBTOTAL(109,Tabla685186[Valor total])</f>
        <v>0</v>
      </c>
      <c r="EF62" s="13"/>
      <c r="EG62" s="14"/>
      <c r="EJ62" s="15"/>
      <c r="EK62" s="13"/>
      <c r="EL62" s="554" t="s">
        <v>45</v>
      </c>
      <c r="EM62" s="555"/>
      <c r="EN62" s="556"/>
      <c r="EO62" s="16">
        <f>SUBTOTAL(109,Tabla688189[Valor total])</f>
        <v>0</v>
      </c>
      <c r="EP62" s="13"/>
      <c r="EQ62" s="14"/>
      <c r="ET62" s="15"/>
      <c r="EU62" s="13"/>
      <c r="EV62" s="554" t="s">
        <v>45</v>
      </c>
      <c r="EW62" s="555"/>
      <c r="EX62" s="556"/>
      <c r="EY62" s="16">
        <f>SUBTOTAL(109,Tabla691192[Valor total])</f>
        <v>0</v>
      </c>
      <c r="EZ62" s="13"/>
      <c r="FA62" s="14"/>
      <c r="FD62" s="15"/>
      <c r="FE62" s="13"/>
      <c r="FF62" s="554" t="s">
        <v>45</v>
      </c>
      <c r="FG62" s="555"/>
      <c r="FH62" s="556"/>
      <c r="FI62" s="16">
        <f>SUBTOTAL(109,Tabla694195[Valor total])</f>
        <v>0</v>
      </c>
      <c r="FJ62" s="13"/>
      <c r="FK62" s="14"/>
      <c r="FN62" s="15"/>
      <c r="FO62" s="13"/>
      <c r="FP62" s="554" t="s">
        <v>45</v>
      </c>
      <c r="FQ62" s="555"/>
      <c r="FR62" s="556"/>
      <c r="FS62" s="16">
        <f>SUBTOTAL(109,Tabla697198[Valor total])</f>
        <v>0</v>
      </c>
      <c r="FT62" s="13"/>
      <c r="FU62" s="14"/>
    </row>
    <row r="63" spans="1:177" x14ac:dyDescent="0.3">
      <c r="K63" s="9"/>
      <c r="M63" s="9" t="s">
        <v>43</v>
      </c>
      <c r="N63">
        <v>5</v>
      </c>
      <c r="O63" s="136">
        <v>800000</v>
      </c>
      <c r="P63" s="11">
        <f>+Tabla64915[[#This Row],[Valor unitario ]]*Tabla64915[[#This Row],[cantidad ]]</f>
        <v>4000000</v>
      </c>
      <c r="R63" s="11"/>
      <c r="U63" s="9"/>
      <c r="W63" s="9" t="s">
        <v>43</v>
      </c>
      <c r="X63">
        <v>5</v>
      </c>
      <c r="Y63" s="136">
        <v>800000</v>
      </c>
      <c r="Z63" s="11">
        <f>+Tabla65218[[#This Row],[Valor unitario ]]*Tabla65218[[#This Row],[cantidad ]]</f>
        <v>4000000</v>
      </c>
      <c r="AB63" s="11"/>
      <c r="AD63" s="9"/>
      <c r="AF63" s="9" t="s">
        <v>43</v>
      </c>
      <c r="AG63">
        <v>5</v>
      </c>
      <c r="AH63" s="136">
        <v>800000</v>
      </c>
      <c r="AI63" s="11">
        <f>+Tabla65521[[#This Row],[Valor unitario ]]*Tabla65521[[#This Row],[cantidad ]]</f>
        <v>4000000</v>
      </c>
      <c r="AK63" s="11"/>
    </row>
    <row r="64" spans="1:177" ht="17.25" thickBot="1" x14ac:dyDescent="0.35">
      <c r="K64" s="15"/>
      <c r="L64" s="13"/>
      <c r="M64" s="554" t="s">
        <v>45</v>
      </c>
      <c r="N64" s="555"/>
      <c r="O64" s="556"/>
      <c r="P64" s="16">
        <f>SUBTOTAL(109,Tabla64915[Valor total])</f>
        <v>8200000</v>
      </c>
      <c r="Q64" s="13"/>
      <c r="R64" s="14"/>
      <c r="U64" s="15"/>
      <c r="V64" s="13"/>
      <c r="W64" s="554" t="s">
        <v>45</v>
      </c>
      <c r="X64" s="555"/>
      <c r="Y64" s="556"/>
      <c r="Z64" s="16">
        <f>IF(AA10&gt;$B$3,0,SUBTOTAL(109,Tabla65218[Valor total]))</f>
        <v>8200000</v>
      </c>
      <c r="AA64" s="13"/>
      <c r="AB64" s="14"/>
      <c r="AD64" s="15"/>
      <c r="AE64" s="13"/>
      <c r="AF64" s="554" t="s">
        <v>45</v>
      </c>
      <c r="AG64" s="555"/>
      <c r="AH64" s="556"/>
      <c r="AI64" s="16">
        <f>IF(AJ10&gt;$B$3,0,SUBTOTAL(109,Tabla65521[Valor total]))</f>
        <v>0</v>
      </c>
      <c r="AJ64" s="13"/>
      <c r="AK64" s="14"/>
    </row>
    <row r="65" spans="2:6" x14ac:dyDescent="0.3">
      <c r="B65" s="449" t="s">
        <v>68</v>
      </c>
      <c r="C65" s="449"/>
      <c r="D65" s="449"/>
      <c r="E65" s="449"/>
      <c r="F65" s="449"/>
    </row>
    <row r="66" spans="2:6" x14ac:dyDescent="0.3">
      <c r="B66" t="s">
        <v>274</v>
      </c>
      <c r="C66" t="s">
        <v>275</v>
      </c>
      <c r="D66" t="s">
        <v>276</v>
      </c>
      <c r="E66" t="s">
        <v>277</v>
      </c>
      <c r="F66" t="s">
        <v>46</v>
      </c>
    </row>
    <row r="67" spans="2:6" x14ac:dyDescent="0.3">
      <c r="B67" s="18">
        <v>1</v>
      </c>
      <c r="C67" s="1" t="e">
        <f>Sub_pe1</f>
        <v>#N/A</v>
      </c>
      <c r="D67" s="1" t="e">
        <f>Sub_eq1</f>
        <v>#N/A</v>
      </c>
      <c r="E67" s="1">
        <f>Sub_trans1</f>
        <v>11800000</v>
      </c>
      <c r="F67" s="1" t="e">
        <f>SUM(Tabla97199[[#This Row],[SUBTOTAL PERSONAL]:[SUBTOTAL TRANSPORTE]])</f>
        <v>#N/A</v>
      </c>
    </row>
    <row r="68" spans="2:6" x14ac:dyDescent="0.3">
      <c r="B68" s="18">
        <v>2</v>
      </c>
      <c r="C68" s="1" t="e">
        <f>Sub_pe2</f>
        <v>#N/A</v>
      </c>
      <c r="D68" s="1" t="e">
        <f>Sub_eq2</f>
        <v>#N/A</v>
      </c>
      <c r="E68" s="1">
        <f>Sub_trans2</f>
        <v>8200000</v>
      </c>
      <c r="F68" s="1" t="e">
        <f>SUM(Tabla97199[[#This Row],[SUBTOTAL PERSONAL]:[SUBTOTAL TRANSPORTE]])</f>
        <v>#N/A</v>
      </c>
    </row>
    <row r="69" spans="2:6" x14ac:dyDescent="0.3">
      <c r="B69" s="18">
        <v>3</v>
      </c>
      <c r="C69" s="1" t="e">
        <f>Sub_pe3</f>
        <v>#N/A</v>
      </c>
      <c r="D69" s="1" t="e">
        <f>Sub_eq3</f>
        <v>#N/A</v>
      </c>
      <c r="E69" s="1">
        <f>Sub_trans3</f>
        <v>8200000</v>
      </c>
      <c r="F69" s="1" t="e">
        <f>SUM(Tabla97199[[#This Row],[SUBTOTAL PERSONAL]:[SUBTOTAL TRANSPORTE]])</f>
        <v>#N/A</v>
      </c>
    </row>
    <row r="70" spans="2:6" x14ac:dyDescent="0.3">
      <c r="B70" s="18">
        <v>4</v>
      </c>
      <c r="C70" s="1">
        <f>Sub_pe4</f>
        <v>0</v>
      </c>
      <c r="D70" s="1">
        <f>Sub_eq4</f>
        <v>0</v>
      </c>
      <c r="E70" s="1">
        <f>Sub_trans4</f>
        <v>0</v>
      </c>
      <c r="F70" s="1">
        <f>SUM(Tabla97199[[#This Row],[SUBTOTAL PERSONAL]:[SUBTOTAL TRANSPORTE]])</f>
        <v>0</v>
      </c>
    </row>
    <row r="71" spans="2:6" x14ac:dyDescent="0.3">
      <c r="B71" s="18">
        <v>5</v>
      </c>
      <c r="C71" s="1">
        <f>Sub_pe5</f>
        <v>0</v>
      </c>
      <c r="D71" s="1">
        <f>Sub_eq5</f>
        <v>0</v>
      </c>
      <c r="E71" s="1">
        <f>Sub_trans5</f>
        <v>0</v>
      </c>
      <c r="F71" s="1">
        <f>SUM(Tabla97199[[#This Row],[SUBTOTAL PERSONAL]:[SUBTOTAL TRANSPORTE]])</f>
        <v>0</v>
      </c>
    </row>
    <row r="72" spans="2:6" x14ac:dyDescent="0.3">
      <c r="B72" s="18">
        <v>6</v>
      </c>
      <c r="C72" s="1">
        <f>Sub_pe6</f>
        <v>0</v>
      </c>
      <c r="D72" s="1">
        <f>Sub_eq6</f>
        <v>0</v>
      </c>
      <c r="E72" s="1">
        <f>Sub_trans6</f>
        <v>0</v>
      </c>
      <c r="F72" s="1">
        <f>SUM(Tabla97199[[#This Row],[SUBTOTAL PERSONAL]:[SUBTOTAL TRANSPORTE]])</f>
        <v>0</v>
      </c>
    </row>
    <row r="73" spans="2:6" x14ac:dyDescent="0.3">
      <c r="B73" s="18">
        <v>7</v>
      </c>
      <c r="C73" s="1">
        <f>Sub_pe7</f>
        <v>0</v>
      </c>
      <c r="D73" s="1">
        <f>Sub_eq7</f>
        <v>0</v>
      </c>
      <c r="E73" s="1">
        <f>Sub_trans7</f>
        <v>0</v>
      </c>
      <c r="F73" s="1">
        <f>SUM(Tabla97199[[#This Row],[SUBTOTAL PERSONAL]:[SUBTOTAL TRANSPORTE]])</f>
        <v>0</v>
      </c>
    </row>
    <row r="74" spans="2:6" x14ac:dyDescent="0.3">
      <c r="B74" s="18">
        <v>8</v>
      </c>
      <c r="C74" s="1">
        <f>Sub_pe8</f>
        <v>0</v>
      </c>
      <c r="D74" s="1">
        <f>Sub_eq8</f>
        <v>0</v>
      </c>
      <c r="E74" s="1">
        <f>Sub_trans8</f>
        <v>0</v>
      </c>
      <c r="F74" s="1">
        <f>SUM(Tabla97199[[#This Row],[SUBTOTAL PERSONAL]:[SUBTOTAL TRANSPORTE]])</f>
        <v>0</v>
      </c>
    </row>
    <row r="75" spans="2:6" x14ac:dyDescent="0.3">
      <c r="B75" s="18">
        <v>9</v>
      </c>
      <c r="C75" s="1">
        <f>Sub_pe9</f>
        <v>0</v>
      </c>
      <c r="D75" s="1">
        <f>Sub_eq9</f>
        <v>0</v>
      </c>
      <c r="E75" s="1">
        <f>Sub_trans9</f>
        <v>0</v>
      </c>
      <c r="F75" s="1">
        <f>SUM(Tabla97199[[#This Row],[SUBTOTAL PERSONAL]:[SUBTOTAL TRANSPORTE]])</f>
        <v>0</v>
      </c>
    </row>
    <row r="76" spans="2:6" x14ac:dyDescent="0.3">
      <c r="B76" s="18">
        <v>10</v>
      </c>
      <c r="C76" s="1">
        <f>Sub_pe10</f>
        <v>0</v>
      </c>
      <c r="D76" s="1">
        <f>Sub_eq10</f>
        <v>0</v>
      </c>
      <c r="E76" s="1">
        <f>Sub_trans10</f>
        <v>0</v>
      </c>
      <c r="F76" s="1">
        <f>SUM(Tabla97199[[#This Row],[SUBTOTAL PERSONAL]:[SUBTOTAL TRANSPORTE]])</f>
        <v>0</v>
      </c>
    </row>
    <row r="77" spans="2:6" x14ac:dyDescent="0.3">
      <c r="B77" s="18">
        <v>11</v>
      </c>
      <c r="C77" s="1">
        <f>Sub_pe11</f>
        <v>0</v>
      </c>
      <c r="D77" s="1">
        <f>Sub_eq11</f>
        <v>0</v>
      </c>
      <c r="E77" s="1">
        <f>Sub_trans11</f>
        <v>0</v>
      </c>
      <c r="F77" s="1">
        <f>SUM(Tabla97199[[#This Row],[SUBTOTAL PERSONAL]:[SUBTOTAL TRANSPORTE]])</f>
        <v>0</v>
      </c>
    </row>
    <row r="78" spans="2:6" x14ac:dyDescent="0.3">
      <c r="B78" s="18">
        <v>12</v>
      </c>
      <c r="C78" s="1">
        <f>Sub_pe12</f>
        <v>0</v>
      </c>
      <c r="D78" s="1">
        <f>Sub_eq12</f>
        <v>0</v>
      </c>
      <c r="E78" s="1">
        <f>Sub_trans12</f>
        <v>0</v>
      </c>
      <c r="F78" s="1">
        <f>SUM(Tabla97199[[#This Row],[SUBTOTAL PERSONAL]:[SUBTOTAL TRANSPORTE]])</f>
        <v>0</v>
      </c>
    </row>
    <row r="79" spans="2:6" x14ac:dyDescent="0.3">
      <c r="B79" s="18">
        <v>13</v>
      </c>
      <c r="C79" s="1">
        <f>Sub_pe13</f>
        <v>0</v>
      </c>
      <c r="D79" s="1">
        <f>Sub_eq13</f>
        <v>0</v>
      </c>
      <c r="E79" s="1">
        <f>Sub_trans13</f>
        <v>0</v>
      </c>
      <c r="F79" s="1">
        <f>SUM(Tabla97199[[#This Row],[SUBTOTAL PERSONAL]:[SUBTOTAL TRANSPORTE]])</f>
        <v>0</v>
      </c>
    </row>
    <row r="80" spans="2:6" x14ac:dyDescent="0.3">
      <c r="B80" s="18">
        <v>14</v>
      </c>
      <c r="C80" s="1">
        <f>Sub_pe14</f>
        <v>0</v>
      </c>
      <c r="D80" s="1">
        <f>Sub_eq14</f>
        <v>0</v>
      </c>
      <c r="E80" s="1">
        <f>Sub_trans14</f>
        <v>0</v>
      </c>
      <c r="F80" s="1">
        <f>SUM(Tabla97199[[#This Row],[SUBTOTAL PERSONAL]:[SUBTOTAL TRANSPORTE]])</f>
        <v>0</v>
      </c>
    </row>
    <row r="81" spans="2:8" x14ac:dyDescent="0.3">
      <c r="B81" s="18">
        <v>15</v>
      </c>
      <c r="C81" s="1">
        <f>Sub_pe15</f>
        <v>0</v>
      </c>
      <c r="D81" s="1">
        <f>Sub_eq15</f>
        <v>0</v>
      </c>
      <c r="E81" s="1">
        <f>Sub_trans15</f>
        <v>0</v>
      </c>
      <c r="F81" s="1">
        <f>SUM(Tabla97199[[#This Row],[SUBTOTAL PERSONAL]:[SUBTOTAL TRANSPORTE]])</f>
        <v>0</v>
      </c>
    </row>
    <row r="82" spans="2:8" x14ac:dyDescent="0.3">
      <c r="B82" s="18">
        <v>16</v>
      </c>
      <c r="C82" s="1">
        <f>Sub_pe16</f>
        <v>0</v>
      </c>
      <c r="D82" s="1">
        <f>Sub_eq16</f>
        <v>0</v>
      </c>
      <c r="E82" s="1">
        <f>Sub_trans16</f>
        <v>0</v>
      </c>
      <c r="F82" s="1">
        <f>SUM(Tabla97199[[#This Row],[SUBTOTAL PERSONAL]:[SUBTOTAL TRANSPORTE]])</f>
        <v>0</v>
      </c>
    </row>
    <row r="83" spans="2:8" x14ac:dyDescent="0.3">
      <c r="B83" s="18">
        <v>17</v>
      </c>
      <c r="C83" s="1">
        <f>Sub_pe17</f>
        <v>0</v>
      </c>
      <c r="D83" s="1">
        <f>Sub_eq17</f>
        <v>0</v>
      </c>
      <c r="E83" s="1">
        <f>Sub_trans17</f>
        <v>0</v>
      </c>
      <c r="F83" s="1">
        <f>SUM(Tabla97199[[#This Row],[SUBTOTAL PERSONAL]:[SUBTOTAL TRANSPORTE]])</f>
        <v>0</v>
      </c>
    </row>
    <row r="84" spans="2:8" x14ac:dyDescent="0.3">
      <c r="B84" s="18">
        <v>18</v>
      </c>
      <c r="C84" s="1">
        <f>Sub_pe18</f>
        <v>0</v>
      </c>
      <c r="D84" s="1">
        <f>Sub_eq18</f>
        <v>0</v>
      </c>
      <c r="E84" s="1">
        <f>Sub_trans18</f>
        <v>0</v>
      </c>
      <c r="F84" s="1">
        <f>SUM(Tabla97199[[#This Row],[SUBTOTAL PERSONAL]:[SUBTOTAL TRANSPORTE]])</f>
        <v>0</v>
      </c>
    </row>
    <row r="85" spans="2:8" ht="17.25" thickBot="1" x14ac:dyDescent="0.35">
      <c r="B85" s="281" t="s">
        <v>47</v>
      </c>
      <c r="C85" s="1" t="e">
        <f>SUBTOTAL(109,C67:C84)</f>
        <v>#N/A</v>
      </c>
      <c r="D85" s="1" t="e">
        <f>SUBTOTAL(109,D67:D84)</f>
        <v>#N/A</v>
      </c>
      <c r="E85" s="1">
        <f>SUBTOTAL(109,E67:E84)</f>
        <v>28200000</v>
      </c>
      <c r="F85" s="16" t="e">
        <f>SUM(F67:F84)</f>
        <v>#N/A</v>
      </c>
    </row>
    <row r="86" spans="2:8" x14ac:dyDescent="0.3">
      <c r="B86" s="4"/>
      <c r="C86" s="1"/>
      <c r="D86" s="1"/>
      <c r="E86" s="1"/>
      <c r="F86" s="1"/>
      <c r="H86" s="294" t="e">
        <f>F85/5000000000</f>
        <v>#N/A</v>
      </c>
    </row>
    <row r="88" spans="2:8" x14ac:dyDescent="0.3">
      <c r="B88" s="557" t="s">
        <v>48</v>
      </c>
      <c r="C88" s="557"/>
      <c r="D88" s="557"/>
      <c r="E88" s="557"/>
    </row>
    <row r="89" spans="2:8" x14ac:dyDescent="0.3">
      <c r="B89" t="s">
        <v>49</v>
      </c>
      <c r="C89" t="s">
        <v>50</v>
      </c>
      <c r="D89" t="s">
        <v>51</v>
      </c>
      <c r="E89" t="s">
        <v>52</v>
      </c>
    </row>
    <row r="90" spans="2:8" x14ac:dyDescent="0.3">
      <c r="B90" t="s">
        <v>185</v>
      </c>
      <c r="C90" s="1">
        <v>6416156058.6499996</v>
      </c>
      <c r="D90" s="19">
        <v>4.0000000000000001E-3</v>
      </c>
      <c r="E90" s="1">
        <f>IF(Tabla100200[[#This Row],[VALOR BASE LIQUIDACION]]="","",Tabla100200[[#This Row],[TARIFA]]*Tabla100200[[#This Row],[VALOR BASE LIQUIDACION]])</f>
        <v>25664624.2346</v>
      </c>
    </row>
    <row r="91" spans="2:8" x14ac:dyDescent="0.3">
      <c r="B91" t="s">
        <v>186</v>
      </c>
      <c r="C91" s="1">
        <v>6416156058.6499996</v>
      </c>
      <c r="D91" s="19">
        <v>8.0000000000000002E-3</v>
      </c>
      <c r="E91" s="1">
        <f>IF(Tabla100200[[#This Row],[VALOR BASE LIQUIDACION]]="","",Tabla100200[[#This Row],[TARIFA]]*Tabla100200[[#This Row],[VALOR BASE LIQUIDACION]])</f>
        <v>51329248.4692</v>
      </c>
    </row>
    <row r="92" spans="2:8" x14ac:dyDescent="0.3">
      <c r="B92" t="s">
        <v>187</v>
      </c>
      <c r="C92" s="1">
        <v>6416156058.6499996</v>
      </c>
      <c r="D92" s="19">
        <v>8.0000000000000002E-3</v>
      </c>
      <c r="E92" s="1">
        <f>IF(Tabla100200[[#This Row],[VALOR BASE LIQUIDACION]]="","",Tabla100200[[#This Row],[TARIFA]]*Tabla100200[[#This Row],[VALOR BASE LIQUIDACION]])</f>
        <v>51329248.4692</v>
      </c>
    </row>
    <row r="93" spans="2:8" x14ac:dyDescent="0.3">
      <c r="B93" t="s">
        <v>188</v>
      </c>
      <c r="C93" s="1">
        <v>6416156058.6499996</v>
      </c>
      <c r="D93" s="19">
        <v>1.5E-3</v>
      </c>
      <c r="E93" s="1">
        <f>IF(Tabla100200[[#This Row],[VALOR BASE LIQUIDACION]]="","",Tabla100200[[#This Row],[TARIFA]]*Tabla100200[[#This Row],[VALOR BASE LIQUIDACION]])</f>
        <v>9624234.0879749991</v>
      </c>
    </row>
    <row r="94" spans="2:8" x14ac:dyDescent="0.3">
      <c r="C94" s="1"/>
      <c r="D94" s="19"/>
      <c r="E94" s="1" t="str">
        <f>IF(Tabla100200[[#This Row],[VALOR BASE LIQUIDACION]]="","",Tabla100200[[#This Row],[TARIFA]]*Tabla100200[[#This Row],[VALOR BASE LIQUIDACION]])</f>
        <v/>
      </c>
    </row>
    <row r="95" spans="2:8" ht="17.25" thickBot="1" x14ac:dyDescent="0.35">
      <c r="B95" s="554" t="s">
        <v>167</v>
      </c>
      <c r="C95" s="555"/>
      <c r="D95" s="555"/>
      <c r="E95" s="16">
        <f>SUBTOTAL(109,Tabla100200[VALOR TOTAL])</f>
        <v>137947355.260975</v>
      </c>
    </row>
    <row r="98" spans="2:7" x14ac:dyDescent="0.3">
      <c r="B98" s="558" t="s">
        <v>53</v>
      </c>
      <c r="C98" s="558"/>
      <c r="D98" s="558"/>
      <c r="E98" s="558"/>
      <c r="F98" s="558"/>
      <c r="G98" s="558"/>
    </row>
    <row r="99" spans="2:7" x14ac:dyDescent="0.3">
      <c r="B99" t="s">
        <v>54</v>
      </c>
      <c r="C99" t="s">
        <v>55</v>
      </c>
      <c r="D99" t="s">
        <v>56</v>
      </c>
      <c r="E99" t="s">
        <v>57</v>
      </c>
      <c r="F99" t="s">
        <v>58</v>
      </c>
      <c r="G99" t="s">
        <v>52</v>
      </c>
    </row>
    <row r="100" spans="2:7" x14ac:dyDescent="0.3">
      <c r="B100" t="s">
        <v>191</v>
      </c>
      <c r="C100" s="1">
        <v>6416156058.6499996</v>
      </c>
      <c r="D100" s="138">
        <v>0.3</v>
      </c>
      <c r="E100" s="45">
        <v>24</v>
      </c>
      <c r="F100" s="138">
        <v>4.0000000000000001E-3</v>
      </c>
      <c r="G100" s="1">
        <f>IF(Tabla101201[[#This Row],[VALOR BASE LIQUIDACIÓN]]="","",Tabla101201[[#This Row],[VALOR BASE LIQUIDACIÓN]]*Tabla101201[[#This Row],[% ASEGURADO]]*(Tabla101201[[#This Row],[VIGENCIA (MES)]]/12)*Tabla101201[[#This Row],[TASA]]*1.19)</f>
        <v>18324541.703504398</v>
      </c>
    </row>
    <row r="101" spans="2:7" x14ac:dyDescent="0.3">
      <c r="B101" t="s">
        <v>192</v>
      </c>
      <c r="C101" s="1">
        <v>6416156058.6499996</v>
      </c>
      <c r="D101" s="138">
        <v>1</v>
      </c>
      <c r="E101" s="45">
        <v>24</v>
      </c>
      <c r="F101" s="138">
        <v>4.0000000000000001E-3</v>
      </c>
      <c r="G101" s="1">
        <f>IF(Tabla101201[[#This Row],[VALOR BASE LIQUIDACIÓN]]="","",Tabla101201[[#This Row],[VALOR BASE LIQUIDACIÓN]]*Tabla101201[[#This Row],[% ASEGURADO]]*(Tabla101201[[#This Row],[VIGENCIA (MES)]]/12)*Tabla101201[[#This Row],[TASA]]*1.19)</f>
        <v>61081805.678347997</v>
      </c>
    </row>
    <row r="102" spans="2:7" x14ac:dyDescent="0.3">
      <c r="B102" t="s">
        <v>193</v>
      </c>
      <c r="C102" s="1">
        <v>6416156058.6499996</v>
      </c>
      <c r="D102" s="138">
        <v>0.1</v>
      </c>
      <c r="E102" s="45">
        <v>24</v>
      </c>
      <c r="F102" s="138">
        <v>3.0000000000000001E-3</v>
      </c>
      <c r="G102" s="1">
        <f>IF(Tabla101201[[#This Row],[VALOR BASE LIQUIDACIÓN]]="","",Tabla101201[[#This Row],[VALOR BASE LIQUIDACIÓN]]*Tabla101201[[#This Row],[% ASEGURADO]]*(Tabla101201[[#This Row],[VIGENCIA (MES)]]/12)*Tabla101201[[#This Row],[TASA]]*1.19)</f>
        <v>4581135.4258761005</v>
      </c>
    </row>
    <row r="103" spans="2:7" x14ac:dyDescent="0.3">
      <c r="B103" t="s">
        <v>194</v>
      </c>
      <c r="C103" s="1">
        <v>6416156058.6499996</v>
      </c>
      <c r="D103" s="138">
        <v>1</v>
      </c>
      <c r="E103" s="45">
        <v>24</v>
      </c>
      <c r="F103" s="138">
        <v>4.0000000000000001E-3</v>
      </c>
      <c r="G103" s="1">
        <f>IF(Tabla101201[[#This Row],[VALOR BASE LIQUIDACIÓN]]="","",Tabla101201[[#This Row],[VALOR BASE LIQUIDACIÓN]]*Tabla101201[[#This Row],[% ASEGURADO]]*(Tabla101201[[#This Row],[VIGENCIA (MES)]]/12)*Tabla101201[[#This Row],[TASA]]*1.19)</f>
        <v>61081805.678347997</v>
      </c>
    </row>
    <row r="104" spans="2:7" x14ac:dyDescent="0.3">
      <c r="B104" t="s">
        <v>195</v>
      </c>
      <c r="C104" s="1">
        <v>6416156058.6499996</v>
      </c>
      <c r="D104" s="138">
        <v>0.3</v>
      </c>
      <c r="E104" s="45">
        <v>24</v>
      </c>
      <c r="F104" s="138">
        <v>4.0000000000000001E-3</v>
      </c>
      <c r="G104" s="1">
        <f>IF(Tabla101201[[#This Row],[VALOR BASE LIQUIDACIÓN]]="","",Tabla101201[[#This Row],[VALOR BASE LIQUIDACIÓN]]*Tabla101201[[#This Row],[% ASEGURADO]]*(Tabla101201[[#This Row],[VIGENCIA (MES)]]/12)*Tabla101201[[#This Row],[TASA]]*1.19)</f>
        <v>18324541.703504398</v>
      </c>
    </row>
    <row r="105" spans="2:7" ht="17.25" thickBot="1" x14ac:dyDescent="0.35">
      <c r="B105" s="554" t="s">
        <v>166</v>
      </c>
      <c r="C105" s="555"/>
      <c r="D105" s="555"/>
      <c r="E105" s="555"/>
      <c r="F105" s="555"/>
      <c r="G105" s="16">
        <f>SUBTOTAL(109,Tabla101201[VALOR TOTAL])</f>
        <v>163393830.18958086</v>
      </c>
    </row>
    <row r="110" spans="2:7" ht="17.25" thickBot="1" x14ac:dyDescent="0.35"/>
    <row r="111" spans="2:7" ht="37.15" customHeight="1" thickBot="1" x14ac:dyDescent="0.35">
      <c r="B111" s="559" t="s">
        <v>111</v>
      </c>
      <c r="C111" s="560"/>
      <c r="D111" s="560"/>
      <c r="E111" s="141" t="e">
        <f>G105+E95+F85</f>
        <v>#N/A</v>
      </c>
      <c r="F111" s="294">
        <v>6416156058.6499996</v>
      </c>
      <c r="G111" s="333" t="e">
        <f>TOTAL_ADMINISTRACION/F111</f>
        <v>#N/A</v>
      </c>
    </row>
  </sheetData>
  <mergeCells count="118">
    <mergeCell ref="B65:F65"/>
    <mergeCell ref="B88:E88"/>
    <mergeCell ref="B95:D95"/>
    <mergeCell ref="B98:G98"/>
    <mergeCell ref="B105:F105"/>
    <mergeCell ref="B111:D111"/>
    <mergeCell ref="EV62:EX62"/>
    <mergeCell ref="FF62:FH62"/>
    <mergeCell ref="FP62:FR62"/>
    <mergeCell ref="M64:O64"/>
    <mergeCell ref="W64:Y64"/>
    <mergeCell ref="AF64:AH64"/>
    <mergeCell ref="CN62:CP62"/>
    <mergeCell ref="CX62:CZ62"/>
    <mergeCell ref="DH62:DJ62"/>
    <mergeCell ref="DR62:DT62"/>
    <mergeCell ref="EB62:ED62"/>
    <mergeCell ref="EL62:EN62"/>
    <mergeCell ref="C62:E62"/>
    <mergeCell ref="AP62:AR62"/>
    <mergeCell ref="AZ62:BB62"/>
    <mergeCell ref="BJ62:BL62"/>
    <mergeCell ref="BT62:BV62"/>
    <mergeCell ref="CD62:CF62"/>
    <mergeCell ref="FD54:FJ54"/>
    <mergeCell ref="FN54:FT54"/>
    <mergeCell ref="K56:Q56"/>
    <mergeCell ref="U56:AA56"/>
    <mergeCell ref="AD56:AJ56"/>
    <mergeCell ref="CB54:CH54"/>
    <mergeCell ref="CL54:CR54"/>
    <mergeCell ref="CV54:DB54"/>
    <mergeCell ref="DF54:DL54"/>
    <mergeCell ref="DP54:DV54"/>
    <mergeCell ref="DZ54:EF54"/>
    <mergeCell ref="EA31:EE31"/>
    <mergeCell ref="EK31:EO31"/>
    <mergeCell ref="EU31:EY31"/>
    <mergeCell ref="FE31:FI31"/>
    <mergeCell ref="FO31:FS31"/>
    <mergeCell ref="A54:G54"/>
    <mergeCell ref="AN54:AT54"/>
    <mergeCell ref="AX54:BD54"/>
    <mergeCell ref="BH54:BN54"/>
    <mergeCell ref="BR54:BX54"/>
    <mergeCell ref="BS31:BW31"/>
    <mergeCell ref="CC31:CG31"/>
    <mergeCell ref="CM31:CQ31"/>
    <mergeCell ref="CW31:DA31"/>
    <mergeCell ref="DG31:DK31"/>
    <mergeCell ref="DQ31:DU31"/>
    <mergeCell ref="L31:P31"/>
    <mergeCell ref="V31:Z31"/>
    <mergeCell ref="AE31:AI31"/>
    <mergeCell ref="AO31:AS31"/>
    <mergeCell ref="AY31:BC31"/>
    <mergeCell ref="BI31:BM31"/>
    <mergeCell ref="EJ54:EP54"/>
    <mergeCell ref="ET54:EZ54"/>
    <mergeCell ref="DP11:DW11"/>
    <mergeCell ref="DZ11:EG11"/>
    <mergeCell ref="EJ11:EQ11"/>
    <mergeCell ref="ET11:FA11"/>
    <mergeCell ref="FD11:FK11"/>
    <mergeCell ref="FN11:FU11"/>
    <mergeCell ref="BH11:BO11"/>
    <mergeCell ref="BR11:BY11"/>
    <mergeCell ref="CB11:CI11"/>
    <mergeCell ref="CL11:CS11"/>
    <mergeCell ref="CV11:DC11"/>
    <mergeCell ref="DF11:DM11"/>
    <mergeCell ref="FD10:FI10"/>
    <mergeCell ref="FJ10:FK10"/>
    <mergeCell ref="FN10:FS10"/>
    <mergeCell ref="FT10:FU10"/>
    <mergeCell ref="A11:H11"/>
    <mergeCell ref="K11:R11"/>
    <mergeCell ref="U11:AB11"/>
    <mergeCell ref="AD11:AK11"/>
    <mergeCell ref="AN11:AU11"/>
    <mergeCell ref="AX11:BE11"/>
    <mergeCell ref="DZ10:EE10"/>
    <mergeCell ref="EF10:EG10"/>
    <mergeCell ref="EJ10:EO10"/>
    <mergeCell ref="EP10:EQ10"/>
    <mergeCell ref="ET10:EY10"/>
    <mergeCell ref="EZ10:FA10"/>
    <mergeCell ref="CV10:DA10"/>
    <mergeCell ref="DB10:DC10"/>
    <mergeCell ref="DF10:DK10"/>
    <mergeCell ref="DL10:DM10"/>
    <mergeCell ref="DP10:DU10"/>
    <mergeCell ref="DV10:DW10"/>
    <mergeCell ref="BR10:BW10"/>
    <mergeCell ref="BX10:BY10"/>
    <mergeCell ref="CB10:CG10"/>
    <mergeCell ref="CH10:CI10"/>
    <mergeCell ref="CL10:CQ10"/>
    <mergeCell ref="CR10:CS10"/>
    <mergeCell ref="AN10:AS10"/>
    <mergeCell ref="AT10:AU10"/>
    <mergeCell ref="AX10:BC10"/>
    <mergeCell ref="BD10:BE10"/>
    <mergeCell ref="BH10:BM10"/>
    <mergeCell ref="BN10:BO10"/>
    <mergeCell ref="K10:P10"/>
    <mergeCell ref="Q10:R10"/>
    <mergeCell ref="U10:Z10"/>
    <mergeCell ref="AA10:AB10"/>
    <mergeCell ref="AD10:AI10"/>
    <mergeCell ref="AJ10:AK10"/>
    <mergeCell ref="B1:I1"/>
    <mergeCell ref="B2:I2"/>
    <mergeCell ref="B3:I3"/>
    <mergeCell ref="A4:I4"/>
    <mergeCell ref="B6:E8"/>
    <mergeCell ref="A10:F10"/>
    <mergeCell ref="G10:H10"/>
  </mergeCells>
  <phoneticPr fontId="42" type="noConversion"/>
  <dataValidations count="3">
    <dataValidation type="list" allowBlank="1" showInputMessage="1" showErrorMessage="1" sqref="G10 Q10 AA10 AJ10 AT10 BD10 BN10 BX10 CH10 CR10 DB10 DL10 DV10 EF10 EP10 EZ10 FJ10 FT10" xr:uid="{10F987CD-EAF9-4424-87D2-4487D4789C1A}">
      <formula1>"1,2,3,4,5,6,7,8,9,10,11,12,13,14,15,16,17,18,"</formula1>
    </dataValidation>
    <dataValidation type="list" allowBlank="1" showInputMessage="1" showErrorMessage="1" sqref="AN36:AN53 FD36:FD53 A36:A53 FN36:FN53 AX36:AX53 BH36:BH53 BR36:BR53 CB36:CB53 CL36:CL53 CV36:CV53 DF36:DF53 DP36:DP53 DZ36:DZ53 EJ36:EJ53 ET36:ET53 K36:K55 U36:U55 AD36:AD55" xr:uid="{8821CC3C-EBA4-4E7D-9BB9-D4AA7BA110F1}">
      <formula1>LISTA_MAQUINARIA</formula1>
    </dataValidation>
    <dataValidation type="list" allowBlank="1" showInputMessage="1" showErrorMessage="1" sqref="FE13:FE30 AO13:AO30 B13:B30 L13:L30 V13:V30 FO13:FO30 AY13:AY30 BI13:BI30 BS13:BS30 CC13:CC30 CM13:CM30 CW13:CW30 DG13:DG30 DQ13:DQ30 EA13:EA30 EK13:EK30 EU13:EU30 AE13:AE30" xr:uid="{F37C93BA-7FCF-4B2F-BE87-B1D24C804BEF}">
      <formula1>L_PERSONAL</formula1>
    </dataValidation>
  </dataValidations>
  <hyperlinks>
    <hyperlink ref="B67" location="ADMINISTRACION!G5" display="ADMINISTRACION!G5" xr:uid="{40D5E2BC-F327-4982-B450-1A8450BD354C}"/>
    <hyperlink ref="B68" location="ADMINISTRACION!Q5" display="ADMINISTRACION!Q5" xr:uid="{861633E4-A4A0-4C9C-B38E-CDBB76C5F81A}"/>
    <hyperlink ref="B69" location="ADMINISTRACION!AA5" display="ADMINISTRACION!AA5" xr:uid="{E4A8F1B9-E190-4EB3-AF84-769FDD71980D}"/>
    <hyperlink ref="B70" location="ADMINISTRACION!AJ5" display="ADMINISTRACION!AJ5" xr:uid="{2529DAEA-7775-4792-BAA1-DDCA6563A8B4}"/>
    <hyperlink ref="B71" location="ADMINISTRACION!AT5" display="ADMINISTRACION!AT5" xr:uid="{AECACC23-D729-4062-8935-45E387E88844}"/>
    <hyperlink ref="B72" location="ADMINISTRACION!BD5" display="ADMINISTRACION!BD5" xr:uid="{C086D331-0F92-4F4F-9364-AAE396BFDE45}"/>
    <hyperlink ref="B73" location="ADMINISTRACION!BN5" display="ADMINISTRACION!BN5" xr:uid="{D7955AA0-C6BC-4679-9D6D-06A91606311F}"/>
    <hyperlink ref="B74" location="ADMINISTRACION!BX5" display="ADMINISTRACION!BX5" xr:uid="{85470908-84E3-4297-9D23-3959B59A3F90}"/>
    <hyperlink ref="B75" location="ADMINISTRACION!CH5" display="ADMINISTRACION!CH5" xr:uid="{FFF08C01-1149-4DE4-934B-5D60AF26F037}"/>
    <hyperlink ref="B76" location="ADMINISTRACION!CR5" display="ADMINISTRACION!CR5" xr:uid="{4B3F466C-6044-4A75-A6FD-25804D643F31}"/>
    <hyperlink ref="B77" location="ADMINISTRACION!DB5" display="ADMINISTRACION!DB5" xr:uid="{6411CC60-6296-4CF4-868F-12BDABF7472A}"/>
    <hyperlink ref="B78" location="ADMINISTRACION!DL5" display="ADMINISTRACION!DL5" xr:uid="{B2DF2D35-7531-425B-A82E-AAA4ED1C17AA}"/>
    <hyperlink ref="B79" location="ADMINISTRACION!DV5" display="ADMINISTRACION!DV5" xr:uid="{899C9A2B-D61D-49A1-B794-8AFC0DB449B7}"/>
    <hyperlink ref="B80" location="ADMINISTRACION!EF5" display="ADMINISTRACION!EF5" xr:uid="{5F2725B9-DCF2-4126-8E12-E1EEDC09C72C}"/>
    <hyperlink ref="B81" location="ADMINISTRACION!EP5" display="ADMINISTRACION!EP5" xr:uid="{E6E570F9-3A57-46D6-8171-5FAEBB3BE138}"/>
    <hyperlink ref="B82" location="ADMINISTRACION!EZ5" display="ADMINISTRACION!EZ5" xr:uid="{E0EBC47C-CCA6-4C5F-8A7A-EDA55ACD9EC4}"/>
    <hyperlink ref="B83" location="ADMINISTRACION!FJ5" display="ADMINISTRACION!FJ5" xr:uid="{598E0C31-6966-47DA-9BD8-DA2CEE63A350}"/>
    <hyperlink ref="B84" location="ADMINISTRACION!FT5" display="ADMINISTRACION!FT5" xr:uid="{9B08DA32-1266-4259-B0B7-7E173DD22E55}"/>
  </hyperlinks>
  <pageMargins left="0.7" right="0.7" top="0.75" bottom="0.75" header="0.3" footer="0.3"/>
  <pageSetup orientation="portrait" r:id="rId1"/>
  <drawing r:id="rId2"/>
  <legacyDrawing r:id="rId3"/>
  <tableParts count="57">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 r:id="rId38"/>
    <tablePart r:id="rId39"/>
    <tablePart r:id="rId40"/>
    <tablePart r:id="rId41"/>
    <tablePart r:id="rId42"/>
    <tablePart r:id="rId43"/>
    <tablePart r:id="rId44"/>
    <tablePart r:id="rId45"/>
    <tablePart r:id="rId46"/>
    <tablePart r:id="rId47"/>
    <tablePart r:id="rId48"/>
    <tablePart r:id="rId49"/>
    <tablePart r:id="rId50"/>
    <tablePart r:id="rId51"/>
    <tablePart r:id="rId52"/>
    <tablePart r:id="rId53"/>
    <tablePart r:id="rId54"/>
    <tablePart r:id="rId55"/>
    <tablePart r:id="rId56"/>
    <tablePart r:id="rId57"/>
    <tablePart r:id="rId58"/>
    <tablePart r:id="rId59"/>
    <tablePart r:id="rId60"/>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0C011-DFF5-41F9-8D28-855BF993BBB7}">
  <sheetPr codeName="Hoja94"/>
  <dimension ref="A1:FU118"/>
  <sheetViews>
    <sheetView showGridLines="0" zoomScale="54" zoomScaleNormal="55" workbookViewId="0">
      <pane ySplit="11" topLeftCell="A70" activePane="bottomLeft" state="frozen"/>
      <selection pane="bottomLeft" activeCell="E116" sqref="E116"/>
    </sheetView>
  </sheetViews>
  <sheetFormatPr defaultColWidth="11" defaultRowHeight="16.5" x14ac:dyDescent="0.3"/>
  <cols>
    <col min="1" max="1" width="52.125" bestFit="1" customWidth="1"/>
    <col min="2" max="2" width="51.375" bestFit="1" customWidth="1"/>
    <col min="3" max="3" width="35.375" bestFit="1" customWidth="1"/>
    <col min="4" max="4" width="27" bestFit="1" customWidth="1"/>
    <col min="5" max="5" width="33.75" bestFit="1" customWidth="1"/>
    <col min="6" max="6" width="37.75" bestFit="1" customWidth="1"/>
    <col min="7" max="7" width="37.125" customWidth="1"/>
    <col min="8" max="8" width="37.375" bestFit="1" customWidth="1"/>
    <col min="9" max="9" width="19.375" bestFit="1" customWidth="1"/>
    <col min="11" max="11" width="28.125" customWidth="1"/>
    <col min="12" max="12" width="15.375" bestFit="1" customWidth="1"/>
    <col min="13" max="13" width="20.75" bestFit="1" customWidth="1"/>
    <col min="14" max="14" width="25.125" bestFit="1" customWidth="1"/>
    <col min="15" max="15" width="26.75" bestFit="1" customWidth="1"/>
    <col min="16" max="16" width="37.75" bestFit="1" customWidth="1"/>
    <col min="17" max="17" width="37.125" bestFit="1" customWidth="1"/>
    <col min="18" max="18" width="17.125" bestFit="1" customWidth="1"/>
    <col min="21" max="21" width="13.375" bestFit="1" customWidth="1"/>
    <col min="22" max="22" width="15.375" bestFit="1" customWidth="1"/>
    <col min="23" max="23" width="22.125" bestFit="1" customWidth="1"/>
    <col min="24" max="24" width="25.125" bestFit="1" customWidth="1"/>
    <col min="25" max="25" width="26.75" bestFit="1" customWidth="1"/>
    <col min="26" max="26" width="37.75" bestFit="1" customWidth="1"/>
    <col min="27" max="27" width="37.125" bestFit="1" customWidth="1"/>
    <col min="28" max="28" width="17.125" bestFit="1" customWidth="1"/>
    <col min="30" max="30" width="26.875" bestFit="1" customWidth="1"/>
    <col min="31" max="31" width="15.375" bestFit="1" customWidth="1"/>
    <col min="32" max="32" width="22.125" bestFit="1" customWidth="1"/>
    <col min="33" max="33" width="25.125" bestFit="1" customWidth="1"/>
    <col min="34" max="34" width="26.75" bestFit="1" customWidth="1"/>
    <col min="35" max="35" width="37.75" bestFit="1" customWidth="1"/>
    <col min="36" max="36" width="37.125" bestFit="1" customWidth="1"/>
    <col min="37" max="37" width="17.125" bestFit="1" customWidth="1"/>
    <col min="40" max="40" width="13.375" bestFit="1" customWidth="1"/>
    <col min="41" max="41" width="15.375" bestFit="1" customWidth="1"/>
    <col min="42" max="42" width="22.125" bestFit="1" customWidth="1"/>
    <col min="43" max="43" width="25.125" bestFit="1" customWidth="1"/>
    <col min="44" max="44" width="26.75" bestFit="1" customWidth="1"/>
    <col min="45" max="45" width="37.75" bestFit="1" customWidth="1"/>
    <col min="46" max="46" width="37.125" bestFit="1" customWidth="1"/>
    <col min="47" max="47" width="17.125" bestFit="1" customWidth="1"/>
    <col min="50" max="50" width="13.375" bestFit="1" customWidth="1"/>
    <col min="51" max="51" width="15.375" bestFit="1" customWidth="1"/>
    <col min="52" max="52" width="22.125" bestFit="1" customWidth="1"/>
    <col min="53" max="53" width="25.125" bestFit="1" customWidth="1"/>
    <col min="54" max="54" width="26.75" bestFit="1" customWidth="1"/>
    <col min="55" max="55" width="37.75" bestFit="1" customWidth="1"/>
    <col min="56" max="56" width="37.125" bestFit="1" customWidth="1"/>
    <col min="57" max="57" width="17.125" bestFit="1" customWidth="1"/>
    <col min="60" max="60" width="13.375" bestFit="1" customWidth="1"/>
    <col min="61" max="61" width="15.375" bestFit="1" customWidth="1"/>
    <col min="62" max="62" width="22.125" bestFit="1" customWidth="1"/>
    <col min="63" max="63" width="25.125" bestFit="1" customWidth="1"/>
    <col min="64" max="64" width="26.75" bestFit="1" customWidth="1"/>
    <col min="65" max="65" width="37.75" bestFit="1" customWidth="1"/>
    <col min="66" max="66" width="37.125" bestFit="1" customWidth="1"/>
    <col min="67" max="67" width="17.125" bestFit="1" customWidth="1"/>
    <col min="70" max="70" width="13.375" bestFit="1" customWidth="1"/>
    <col min="71" max="71" width="15.375" bestFit="1" customWidth="1"/>
    <col min="72" max="72" width="22.125" bestFit="1" customWidth="1"/>
    <col min="73" max="73" width="25.125" bestFit="1" customWidth="1"/>
    <col min="74" max="74" width="26.75" bestFit="1" customWidth="1"/>
    <col min="75" max="75" width="37.75" bestFit="1" customWidth="1"/>
    <col min="76" max="76" width="37.125" bestFit="1" customWidth="1"/>
    <col min="77" max="77" width="17.125" bestFit="1" customWidth="1"/>
    <col min="80" max="80" width="13.375" bestFit="1" customWidth="1"/>
    <col min="81" max="81" width="15.375" bestFit="1" customWidth="1"/>
    <col min="82" max="82" width="22.125" bestFit="1" customWidth="1"/>
    <col min="83" max="83" width="25.125" bestFit="1" customWidth="1"/>
    <col min="84" max="84" width="26.75" bestFit="1" customWidth="1"/>
    <col min="85" max="85" width="37.75" bestFit="1" customWidth="1"/>
    <col min="86" max="86" width="37.125" bestFit="1" customWidth="1"/>
    <col min="87" max="87" width="17.125" bestFit="1" customWidth="1"/>
    <col min="90" max="90" width="13.375" bestFit="1" customWidth="1"/>
    <col min="91" max="91" width="15.375" bestFit="1" customWidth="1"/>
    <col min="92" max="92" width="22.125" bestFit="1" customWidth="1"/>
    <col min="93" max="93" width="25.125" bestFit="1" customWidth="1"/>
    <col min="94" max="94" width="26.75" bestFit="1" customWidth="1"/>
    <col min="95" max="95" width="37.75" bestFit="1" customWidth="1"/>
    <col min="96" max="96" width="37.125" bestFit="1" customWidth="1"/>
    <col min="97" max="97" width="17.125" bestFit="1" customWidth="1"/>
    <col min="100" max="100" width="13.375" bestFit="1" customWidth="1"/>
    <col min="101" max="101" width="15.375" bestFit="1" customWidth="1"/>
    <col min="102" max="102" width="22.125" bestFit="1" customWidth="1"/>
    <col min="103" max="103" width="25.125" bestFit="1" customWidth="1"/>
    <col min="104" max="104" width="26.75" bestFit="1" customWidth="1"/>
    <col min="105" max="105" width="37.75" bestFit="1" customWidth="1"/>
    <col min="106" max="106" width="37.125" bestFit="1" customWidth="1"/>
    <col min="107" max="107" width="17.125" bestFit="1" customWidth="1"/>
    <col min="110" max="110" width="13.375" bestFit="1" customWidth="1"/>
    <col min="111" max="111" width="15.375" bestFit="1" customWidth="1"/>
    <col min="112" max="112" width="22.125" bestFit="1" customWidth="1"/>
    <col min="113" max="113" width="25.125" bestFit="1" customWidth="1"/>
    <col min="114" max="114" width="26.75" bestFit="1" customWidth="1"/>
    <col min="115" max="115" width="37.75" bestFit="1" customWidth="1"/>
    <col min="116" max="116" width="37.125" bestFit="1" customWidth="1"/>
    <col min="117" max="117" width="17.125" bestFit="1" customWidth="1"/>
    <col min="120" max="120" width="13.375" bestFit="1" customWidth="1"/>
    <col min="121" max="121" width="15.375" bestFit="1" customWidth="1"/>
    <col min="122" max="122" width="22.125" bestFit="1" customWidth="1"/>
    <col min="123" max="123" width="25.125" bestFit="1" customWidth="1"/>
    <col min="124" max="124" width="26.75" bestFit="1" customWidth="1"/>
    <col min="125" max="125" width="37.75" bestFit="1" customWidth="1"/>
    <col min="126" max="126" width="37.125" bestFit="1" customWidth="1"/>
    <col min="127" max="127" width="17.125" bestFit="1" customWidth="1"/>
    <col min="130" max="130" width="13.375" bestFit="1" customWidth="1"/>
    <col min="131" max="131" width="15.375" bestFit="1" customWidth="1"/>
    <col min="132" max="132" width="22.125" bestFit="1" customWidth="1"/>
    <col min="133" max="133" width="25.125" bestFit="1" customWidth="1"/>
    <col min="134" max="134" width="26.75" bestFit="1" customWidth="1"/>
    <col min="135" max="135" width="37.75" bestFit="1" customWidth="1"/>
    <col min="136" max="136" width="37.125" bestFit="1" customWidth="1"/>
    <col min="137" max="137" width="17.125" bestFit="1" customWidth="1"/>
    <col min="140" max="140" width="13.375" bestFit="1" customWidth="1"/>
    <col min="141" max="141" width="15.375" bestFit="1" customWidth="1"/>
    <col min="142" max="142" width="22.125" bestFit="1" customWidth="1"/>
    <col min="143" max="143" width="25.125" bestFit="1" customWidth="1"/>
    <col min="144" max="144" width="26.75" bestFit="1" customWidth="1"/>
    <col min="145" max="145" width="37.75" bestFit="1" customWidth="1"/>
    <col min="146" max="146" width="37.125" bestFit="1" customWidth="1"/>
    <col min="147" max="147" width="17.125" bestFit="1" customWidth="1"/>
    <col min="150" max="150" width="13.375" bestFit="1" customWidth="1"/>
    <col min="151" max="151" width="15.375" bestFit="1" customWidth="1"/>
    <col min="152" max="152" width="22.125" bestFit="1" customWidth="1"/>
    <col min="153" max="153" width="25.125" bestFit="1" customWidth="1"/>
    <col min="154" max="154" width="26.75" bestFit="1" customWidth="1"/>
    <col min="155" max="155" width="37.75" bestFit="1" customWidth="1"/>
    <col min="156" max="156" width="37.125" bestFit="1" customWidth="1"/>
    <col min="157" max="157" width="17.125" bestFit="1" customWidth="1"/>
    <col min="160" max="160" width="13.375" bestFit="1" customWidth="1"/>
    <col min="161" max="161" width="15.375" bestFit="1" customWidth="1"/>
    <col min="162" max="162" width="22.125" bestFit="1" customWidth="1"/>
    <col min="163" max="163" width="25.125" bestFit="1" customWidth="1"/>
    <col min="164" max="164" width="26.75" bestFit="1" customWidth="1"/>
    <col min="165" max="165" width="37.75" bestFit="1" customWidth="1"/>
    <col min="166" max="166" width="37.125" bestFit="1" customWidth="1"/>
    <col min="167" max="167" width="17.125" bestFit="1" customWidth="1"/>
    <col min="170" max="170" width="13.375" bestFit="1" customWidth="1"/>
    <col min="171" max="171" width="15.375" bestFit="1" customWidth="1"/>
    <col min="172" max="172" width="22.125" bestFit="1" customWidth="1"/>
    <col min="173" max="173" width="25.125" bestFit="1" customWidth="1"/>
    <col min="174" max="174" width="26.75" bestFit="1" customWidth="1"/>
    <col min="175" max="175" width="37.75" bestFit="1" customWidth="1"/>
    <col min="176" max="176" width="37.125" bestFit="1" customWidth="1"/>
    <col min="177" max="177" width="17.125" bestFit="1" customWidth="1"/>
  </cols>
  <sheetData>
    <row r="1" spans="1:177" ht="54" customHeight="1" thickBot="1" x14ac:dyDescent="0.35">
      <c r="A1" s="280" t="s">
        <v>226</v>
      </c>
      <c r="B1" s="521" t="str">
        <f>NOMBRE_DEL_PROYECTO</f>
        <v>MYT ENERGY PARQUE FOTOVOLTAICO TEPUY 108 MW</v>
      </c>
      <c r="C1" s="522"/>
      <c r="D1" s="522"/>
      <c r="E1" s="522"/>
      <c r="F1" s="522"/>
      <c r="G1" s="522"/>
      <c r="H1" s="522"/>
      <c r="I1" s="523"/>
    </row>
    <row r="2" spans="1:177" ht="24.75" customHeight="1" thickBot="1" x14ac:dyDescent="0.35">
      <c r="A2" s="280" t="s">
        <v>231</v>
      </c>
      <c r="B2" s="524">
        <f ca="1">FECHA</f>
        <v>45726</v>
      </c>
      <c r="C2" s="525"/>
      <c r="D2" s="525"/>
      <c r="E2" s="525"/>
      <c r="F2" s="525"/>
      <c r="G2" s="525"/>
      <c r="H2" s="525"/>
      <c r="I2" s="526"/>
    </row>
    <row r="3" spans="1:177" ht="30" customHeight="1" thickBot="1" x14ac:dyDescent="0.35">
      <c r="A3" s="280" t="s">
        <v>230</v>
      </c>
      <c r="B3" s="533">
        <f>+DURCION_PROYECTO</f>
        <v>3</v>
      </c>
      <c r="C3" s="534"/>
      <c r="D3" s="534"/>
      <c r="E3" s="534"/>
      <c r="F3" s="534"/>
      <c r="G3" s="534"/>
      <c r="H3" s="534"/>
      <c r="I3" s="535"/>
    </row>
    <row r="4" spans="1:177" ht="32.25" customHeight="1" thickBot="1" x14ac:dyDescent="0.35">
      <c r="A4" s="536" t="s">
        <v>132</v>
      </c>
      <c r="B4" s="537"/>
      <c r="C4" s="537"/>
      <c r="D4" s="537"/>
      <c r="E4" s="537"/>
      <c r="F4" s="537"/>
      <c r="G4" s="537"/>
      <c r="H4" s="537"/>
      <c r="I4" s="538"/>
    </row>
    <row r="5" spans="1:177" ht="18" customHeight="1" thickBot="1" x14ac:dyDescent="0.35">
      <c r="B5" s="43"/>
      <c r="D5" s="1"/>
      <c r="E5" s="19"/>
      <c r="F5" s="1"/>
    </row>
    <row r="6" spans="1:177" ht="18" customHeight="1" x14ac:dyDescent="0.3">
      <c r="B6" s="539" t="s">
        <v>113</v>
      </c>
      <c r="C6" s="540"/>
      <c r="D6" s="540"/>
      <c r="E6" s="541"/>
      <c r="F6" s="1"/>
    </row>
    <row r="7" spans="1:177" ht="18" customHeight="1" x14ac:dyDescent="0.3">
      <c r="B7" s="542"/>
      <c r="C7" s="543"/>
      <c r="D7" s="543"/>
      <c r="E7" s="544"/>
      <c r="F7" s="1"/>
    </row>
    <row r="8" spans="1:177" ht="18" customHeight="1" thickBot="1" x14ac:dyDescent="0.35">
      <c r="B8" s="545"/>
      <c r="C8" s="546"/>
      <c r="D8" s="546"/>
      <c r="E8" s="547"/>
      <c r="F8" s="1"/>
    </row>
    <row r="9" spans="1:177" ht="17.25" thickBot="1" x14ac:dyDescent="0.35"/>
    <row r="10" spans="1:177" ht="27" thickBot="1" x14ac:dyDescent="0.5">
      <c r="A10" s="530" t="s">
        <v>44</v>
      </c>
      <c r="B10" s="531"/>
      <c r="C10" s="531"/>
      <c r="D10" s="531"/>
      <c r="E10" s="531"/>
      <c r="F10" s="532"/>
      <c r="G10" s="531">
        <v>1</v>
      </c>
      <c r="H10" s="531"/>
      <c r="K10" s="530" t="s">
        <v>44</v>
      </c>
      <c r="L10" s="531"/>
      <c r="M10" s="531"/>
      <c r="N10" s="531"/>
      <c r="O10" s="531"/>
      <c r="P10" s="532"/>
      <c r="Q10" s="531">
        <v>2</v>
      </c>
      <c r="R10" s="531"/>
      <c r="U10" s="530" t="s">
        <v>44</v>
      </c>
      <c r="V10" s="531"/>
      <c r="W10" s="531"/>
      <c r="X10" s="531"/>
      <c r="Y10" s="531"/>
      <c r="Z10" s="532"/>
      <c r="AA10" s="531">
        <v>3</v>
      </c>
      <c r="AB10" s="531"/>
      <c r="AD10" s="530" t="s">
        <v>44</v>
      </c>
      <c r="AE10" s="531"/>
      <c r="AF10" s="531"/>
      <c r="AG10" s="531"/>
      <c r="AH10" s="531"/>
      <c r="AI10" s="532"/>
      <c r="AJ10" s="531">
        <v>4</v>
      </c>
      <c r="AK10" s="531"/>
      <c r="AN10" s="530" t="s">
        <v>44</v>
      </c>
      <c r="AO10" s="531"/>
      <c r="AP10" s="531"/>
      <c r="AQ10" s="531"/>
      <c r="AR10" s="531"/>
      <c r="AS10" s="532"/>
      <c r="AT10" s="531">
        <v>5</v>
      </c>
      <c r="AU10" s="531"/>
      <c r="AX10" s="530" t="s">
        <v>44</v>
      </c>
      <c r="AY10" s="531"/>
      <c r="AZ10" s="531"/>
      <c r="BA10" s="531"/>
      <c r="BB10" s="531"/>
      <c r="BC10" s="532"/>
      <c r="BD10" s="531">
        <v>6</v>
      </c>
      <c r="BE10" s="531"/>
      <c r="BH10" s="530" t="s">
        <v>44</v>
      </c>
      <c r="BI10" s="531"/>
      <c r="BJ10" s="531"/>
      <c r="BK10" s="531"/>
      <c r="BL10" s="531"/>
      <c r="BM10" s="532"/>
      <c r="BN10" s="531">
        <v>7</v>
      </c>
      <c r="BO10" s="531"/>
      <c r="BR10" s="530" t="s">
        <v>44</v>
      </c>
      <c r="BS10" s="531"/>
      <c r="BT10" s="531"/>
      <c r="BU10" s="531"/>
      <c r="BV10" s="531"/>
      <c r="BW10" s="532"/>
      <c r="BX10" s="531">
        <v>8</v>
      </c>
      <c r="BY10" s="531"/>
      <c r="CB10" s="530" t="s">
        <v>44</v>
      </c>
      <c r="CC10" s="531"/>
      <c r="CD10" s="531"/>
      <c r="CE10" s="531"/>
      <c r="CF10" s="531"/>
      <c r="CG10" s="532"/>
      <c r="CH10" s="531">
        <v>9</v>
      </c>
      <c r="CI10" s="531"/>
      <c r="CL10" s="530" t="s">
        <v>44</v>
      </c>
      <c r="CM10" s="531"/>
      <c r="CN10" s="531"/>
      <c r="CO10" s="531"/>
      <c r="CP10" s="531"/>
      <c r="CQ10" s="532"/>
      <c r="CR10" s="531">
        <v>10</v>
      </c>
      <c r="CS10" s="531"/>
      <c r="CV10" s="530" t="s">
        <v>44</v>
      </c>
      <c r="CW10" s="531"/>
      <c r="CX10" s="531"/>
      <c r="CY10" s="531"/>
      <c r="CZ10" s="531"/>
      <c r="DA10" s="532"/>
      <c r="DB10" s="531">
        <v>11</v>
      </c>
      <c r="DC10" s="531"/>
      <c r="DF10" s="530" t="s">
        <v>44</v>
      </c>
      <c r="DG10" s="531"/>
      <c r="DH10" s="531"/>
      <c r="DI10" s="531"/>
      <c r="DJ10" s="531"/>
      <c r="DK10" s="532"/>
      <c r="DL10" s="531">
        <v>12</v>
      </c>
      <c r="DM10" s="531"/>
      <c r="DP10" s="530" t="s">
        <v>44</v>
      </c>
      <c r="DQ10" s="531"/>
      <c r="DR10" s="531"/>
      <c r="DS10" s="531"/>
      <c r="DT10" s="531"/>
      <c r="DU10" s="532"/>
      <c r="DV10" s="531">
        <v>13</v>
      </c>
      <c r="DW10" s="531"/>
      <c r="DZ10" s="530" t="s">
        <v>44</v>
      </c>
      <c r="EA10" s="531"/>
      <c r="EB10" s="531"/>
      <c r="EC10" s="531"/>
      <c r="ED10" s="531"/>
      <c r="EE10" s="532"/>
      <c r="EF10" s="531">
        <v>14</v>
      </c>
      <c r="EG10" s="531"/>
      <c r="EJ10" s="530" t="s">
        <v>44</v>
      </c>
      <c r="EK10" s="531"/>
      <c r="EL10" s="531"/>
      <c r="EM10" s="531"/>
      <c r="EN10" s="531"/>
      <c r="EO10" s="532"/>
      <c r="EP10" s="531">
        <v>15</v>
      </c>
      <c r="EQ10" s="531"/>
      <c r="ET10" s="530" t="s">
        <v>44</v>
      </c>
      <c r="EU10" s="531"/>
      <c r="EV10" s="531"/>
      <c r="EW10" s="531"/>
      <c r="EX10" s="531"/>
      <c r="EY10" s="532"/>
      <c r="EZ10" s="531">
        <v>16</v>
      </c>
      <c r="FA10" s="531"/>
      <c r="FD10" s="530" t="s">
        <v>44</v>
      </c>
      <c r="FE10" s="531"/>
      <c r="FF10" s="531"/>
      <c r="FG10" s="531"/>
      <c r="FH10" s="531"/>
      <c r="FI10" s="532"/>
      <c r="FJ10" s="531">
        <v>17</v>
      </c>
      <c r="FK10" s="531"/>
      <c r="FN10" s="530" t="s">
        <v>44</v>
      </c>
      <c r="FO10" s="531"/>
      <c r="FP10" s="531"/>
      <c r="FQ10" s="531"/>
      <c r="FR10" s="531"/>
      <c r="FS10" s="532"/>
      <c r="FT10" s="531">
        <v>18</v>
      </c>
      <c r="FU10" s="531"/>
    </row>
    <row r="11" spans="1:177" ht="27" thickBot="1" x14ac:dyDescent="0.5">
      <c r="A11" s="548"/>
      <c r="B11" s="549"/>
      <c r="C11" s="549"/>
      <c r="D11" s="549"/>
      <c r="E11" s="549"/>
      <c r="F11" s="549"/>
      <c r="G11" s="549"/>
      <c r="H11" s="550"/>
      <c r="K11" s="548"/>
      <c r="L11" s="549"/>
      <c r="M11" s="549"/>
      <c r="N11" s="549"/>
      <c r="O11" s="549"/>
      <c r="P11" s="549"/>
      <c r="Q11" s="549"/>
      <c r="R11" s="550"/>
      <c r="U11" s="548"/>
      <c r="V11" s="549"/>
      <c r="W11" s="549"/>
      <c r="X11" s="549"/>
      <c r="Y11" s="549"/>
      <c r="Z11" s="549"/>
      <c r="AA11" s="549"/>
      <c r="AB11" s="550"/>
      <c r="AD11" s="548"/>
      <c r="AE11" s="549"/>
      <c r="AF11" s="549"/>
      <c r="AG11" s="549"/>
      <c r="AH11" s="549"/>
      <c r="AI11" s="549"/>
      <c r="AJ11" s="549"/>
      <c r="AK11" s="550"/>
      <c r="AN11" s="548"/>
      <c r="AO11" s="549"/>
      <c r="AP11" s="549"/>
      <c r="AQ11" s="549"/>
      <c r="AR11" s="549"/>
      <c r="AS11" s="549"/>
      <c r="AT11" s="549"/>
      <c r="AU11" s="550"/>
      <c r="AX11" s="548"/>
      <c r="AY11" s="549"/>
      <c r="AZ11" s="549"/>
      <c r="BA11" s="549"/>
      <c r="BB11" s="549"/>
      <c r="BC11" s="549"/>
      <c r="BD11" s="549"/>
      <c r="BE11" s="550"/>
      <c r="BH11" s="548"/>
      <c r="BI11" s="549"/>
      <c r="BJ11" s="549"/>
      <c r="BK11" s="549"/>
      <c r="BL11" s="549"/>
      <c r="BM11" s="549"/>
      <c r="BN11" s="549"/>
      <c r="BO11" s="550"/>
      <c r="BR11" s="548"/>
      <c r="BS11" s="549"/>
      <c r="BT11" s="549"/>
      <c r="BU11" s="549"/>
      <c r="BV11" s="549"/>
      <c r="BW11" s="549"/>
      <c r="BX11" s="549"/>
      <c r="BY11" s="550"/>
      <c r="CB11" s="548"/>
      <c r="CC11" s="549"/>
      <c r="CD11" s="549"/>
      <c r="CE11" s="549"/>
      <c r="CF11" s="549"/>
      <c r="CG11" s="549"/>
      <c r="CH11" s="549"/>
      <c r="CI11" s="550"/>
      <c r="CL11" s="548"/>
      <c r="CM11" s="549"/>
      <c r="CN11" s="549"/>
      <c r="CO11" s="549"/>
      <c r="CP11" s="549"/>
      <c r="CQ11" s="549"/>
      <c r="CR11" s="549"/>
      <c r="CS11" s="550"/>
      <c r="CV11" s="548"/>
      <c r="CW11" s="549"/>
      <c r="CX11" s="549"/>
      <c r="CY11" s="549"/>
      <c r="CZ11" s="549"/>
      <c r="DA11" s="549"/>
      <c r="DB11" s="549"/>
      <c r="DC11" s="550"/>
      <c r="DF11" s="548"/>
      <c r="DG11" s="549"/>
      <c r="DH11" s="549"/>
      <c r="DI11" s="549"/>
      <c r="DJ11" s="549"/>
      <c r="DK11" s="549"/>
      <c r="DL11" s="549"/>
      <c r="DM11" s="550"/>
      <c r="DP11" s="548"/>
      <c r="DQ11" s="549"/>
      <c r="DR11" s="549"/>
      <c r="DS11" s="549"/>
      <c r="DT11" s="549"/>
      <c r="DU11" s="549"/>
      <c r="DV11" s="549"/>
      <c r="DW11" s="550"/>
      <c r="DZ11" s="548"/>
      <c r="EA11" s="549"/>
      <c r="EB11" s="549"/>
      <c r="EC11" s="549"/>
      <c r="ED11" s="549"/>
      <c r="EE11" s="549"/>
      <c r="EF11" s="549"/>
      <c r="EG11" s="550"/>
      <c r="EJ11" s="548"/>
      <c r="EK11" s="549"/>
      <c r="EL11" s="549"/>
      <c r="EM11" s="549"/>
      <c r="EN11" s="549"/>
      <c r="EO11" s="549"/>
      <c r="EP11" s="549"/>
      <c r="EQ11" s="550"/>
      <c r="ET11" s="548"/>
      <c r="EU11" s="549"/>
      <c r="EV11" s="549"/>
      <c r="EW11" s="549"/>
      <c r="EX11" s="549"/>
      <c r="EY11" s="549"/>
      <c r="EZ11" s="549"/>
      <c r="FA11" s="550"/>
      <c r="FD11" s="548"/>
      <c r="FE11" s="549"/>
      <c r="FF11" s="549"/>
      <c r="FG11" s="549"/>
      <c r="FH11" s="549"/>
      <c r="FI11" s="549"/>
      <c r="FJ11" s="549"/>
      <c r="FK11" s="550"/>
      <c r="FN11" s="548"/>
      <c r="FO11" s="549"/>
      <c r="FP11" s="549"/>
      <c r="FQ11" s="549"/>
      <c r="FR11" s="549"/>
      <c r="FS11" s="549"/>
      <c r="FT11" s="549"/>
      <c r="FU11" s="550"/>
    </row>
    <row r="12" spans="1:177" x14ac:dyDescent="0.3">
      <c r="A12" s="9"/>
      <c r="B12" s="9" t="s">
        <v>23</v>
      </c>
      <c r="C12" t="s">
        <v>24</v>
      </c>
      <c r="D12" t="s">
        <v>25</v>
      </c>
      <c r="E12" t="s">
        <v>26</v>
      </c>
      <c r="F12" t="s">
        <v>27</v>
      </c>
      <c r="G12" t="s">
        <v>211</v>
      </c>
      <c r="H12" s="11"/>
      <c r="K12" s="9"/>
      <c r="L12" s="9" t="s">
        <v>23</v>
      </c>
      <c r="M12" t="s">
        <v>24</v>
      </c>
      <c r="N12" t="s">
        <v>25</v>
      </c>
      <c r="O12" t="s">
        <v>26</v>
      </c>
      <c r="P12" t="s">
        <v>27</v>
      </c>
      <c r="Q12" t="s">
        <v>28</v>
      </c>
      <c r="R12" s="11"/>
      <c r="U12" s="9"/>
      <c r="V12" s="9" t="s">
        <v>23</v>
      </c>
      <c r="W12" t="s">
        <v>24</v>
      </c>
      <c r="X12" t="s">
        <v>25</v>
      </c>
      <c r="Y12" t="s">
        <v>26</v>
      </c>
      <c r="Z12" t="s">
        <v>27</v>
      </c>
      <c r="AA12" t="s">
        <v>28</v>
      </c>
      <c r="AB12" s="11"/>
      <c r="AD12" s="9"/>
      <c r="AE12" s="9" t="s">
        <v>23</v>
      </c>
      <c r="AF12" t="s">
        <v>24</v>
      </c>
      <c r="AG12" t="s">
        <v>25</v>
      </c>
      <c r="AH12" t="s">
        <v>26</v>
      </c>
      <c r="AI12" t="s">
        <v>27</v>
      </c>
      <c r="AJ12" t="s">
        <v>28</v>
      </c>
      <c r="AK12" s="11"/>
      <c r="AN12" s="9"/>
      <c r="AO12" s="9" t="s">
        <v>23</v>
      </c>
      <c r="AP12" t="s">
        <v>24</v>
      </c>
      <c r="AQ12" t="s">
        <v>25</v>
      </c>
      <c r="AR12" t="s">
        <v>26</v>
      </c>
      <c r="AS12" t="s">
        <v>27</v>
      </c>
      <c r="AT12" t="s">
        <v>28</v>
      </c>
      <c r="AU12" s="11"/>
      <c r="AX12" s="9"/>
      <c r="AY12" s="9" t="s">
        <v>23</v>
      </c>
      <c r="AZ12" t="s">
        <v>24</v>
      </c>
      <c r="BA12" t="s">
        <v>25</v>
      </c>
      <c r="BB12" t="s">
        <v>26</v>
      </c>
      <c r="BC12" t="s">
        <v>27</v>
      </c>
      <c r="BD12" t="s">
        <v>28</v>
      </c>
      <c r="BE12" s="11"/>
      <c r="BH12" s="9"/>
      <c r="BI12" s="9" t="s">
        <v>23</v>
      </c>
      <c r="BJ12" t="s">
        <v>24</v>
      </c>
      <c r="BK12" t="s">
        <v>25</v>
      </c>
      <c r="BL12" t="s">
        <v>26</v>
      </c>
      <c r="BM12" t="s">
        <v>27</v>
      </c>
      <c r="BN12" t="s">
        <v>28</v>
      </c>
      <c r="BO12" s="11"/>
      <c r="BR12" s="9"/>
      <c r="BS12" s="9" t="s">
        <v>23</v>
      </c>
      <c r="BT12" t="s">
        <v>24</v>
      </c>
      <c r="BU12" t="s">
        <v>25</v>
      </c>
      <c r="BV12" t="s">
        <v>26</v>
      </c>
      <c r="BW12" t="s">
        <v>27</v>
      </c>
      <c r="BX12" t="s">
        <v>28</v>
      </c>
      <c r="BY12" s="11"/>
      <c r="CB12" s="9"/>
      <c r="CC12" s="9" t="s">
        <v>23</v>
      </c>
      <c r="CD12" t="s">
        <v>24</v>
      </c>
      <c r="CE12" t="s">
        <v>25</v>
      </c>
      <c r="CF12" t="s">
        <v>26</v>
      </c>
      <c r="CG12" t="s">
        <v>27</v>
      </c>
      <c r="CH12" t="s">
        <v>28</v>
      </c>
      <c r="CI12" s="11"/>
      <c r="CL12" s="9"/>
      <c r="CM12" s="9" t="s">
        <v>23</v>
      </c>
      <c r="CN12" t="s">
        <v>24</v>
      </c>
      <c r="CO12" t="s">
        <v>25</v>
      </c>
      <c r="CP12" t="s">
        <v>26</v>
      </c>
      <c r="CQ12" t="s">
        <v>27</v>
      </c>
      <c r="CR12" t="s">
        <v>28</v>
      </c>
      <c r="CS12" s="11"/>
      <c r="CV12" s="9"/>
      <c r="CW12" s="9" t="s">
        <v>23</v>
      </c>
      <c r="CX12" t="s">
        <v>24</v>
      </c>
      <c r="CY12" t="s">
        <v>25</v>
      </c>
      <c r="CZ12" t="s">
        <v>26</v>
      </c>
      <c r="DA12" t="s">
        <v>27</v>
      </c>
      <c r="DB12" t="s">
        <v>28</v>
      </c>
      <c r="DC12" s="11"/>
      <c r="DF12" s="9"/>
      <c r="DG12" s="9" t="s">
        <v>23</v>
      </c>
      <c r="DH12" t="s">
        <v>24</v>
      </c>
      <c r="DI12" t="s">
        <v>25</v>
      </c>
      <c r="DJ12" t="s">
        <v>26</v>
      </c>
      <c r="DK12" t="s">
        <v>27</v>
      </c>
      <c r="DL12" t="s">
        <v>28</v>
      </c>
      <c r="DM12" s="11"/>
      <c r="DP12" s="9"/>
      <c r="DQ12" s="9" t="s">
        <v>23</v>
      </c>
      <c r="DR12" t="s">
        <v>24</v>
      </c>
      <c r="DS12" t="s">
        <v>25</v>
      </c>
      <c r="DT12" t="s">
        <v>26</v>
      </c>
      <c r="DU12" t="s">
        <v>27</v>
      </c>
      <c r="DV12" t="s">
        <v>28</v>
      </c>
      <c r="DW12" s="11"/>
      <c r="DZ12" s="9"/>
      <c r="EA12" s="9" t="s">
        <v>23</v>
      </c>
      <c r="EB12" t="s">
        <v>24</v>
      </c>
      <c r="EC12" t="s">
        <v>25</v>
      </c>
      <c r="ED12" t="s">
        <v>26</v>
      </c>
      <c r="EE12" t="s">
        <v>27</v>
      </c>
      <c r="EF12" t="s">
        <v>28</v>
      </c>
      <c r="EG12" s="11"/>
      <c r="EJ12" s="9"/>
      <c r="EK12" s="9" t="s">
        <v>23</v>
      </c>
      <c r="EL12" t="s">
        <v>24</v>
      </c>
      <c r="EM12" t="s">
        <v>25</v>
      </c>
      <c r="EN12" t="s">
        <v>26</v>
      </c>
      <c r="EO12" t="s">
        <v>27</v>
      </c>
      <c r="EP12" t="s">
        <v>28</v>
      </c>
      <c r="EQ12" s="11"/>
      <c r="ET12" s="9"/>
      <c r="EU12" s="9" t="s">
        <v>23</v>
      </c>
      <c r="EV12" t="s">
        <v>24</v>
      </c>
      <c r="EW12" t="s">
        <v>25</v>
      </c>
      <c r="EX12" t="s">
        <v>26</v>
      </c>
      <c r="EY12" t="s">
        <v>27</v>
      </c>
      <c r="EZ12" t="s">
        <v>28</v>
      </c>
      <c r="FA12" s="11"/>
      <c r="FD12" s="9"/>
      <c r="FE12" s="9" t="s">
        <v>23</v>
      </c>
      <c r="FF12" t="s">
        <v>24</v>
      </c>
      <c r="FG12" t="s">
        <v>25</v>
      </c>
      <c r="FH12" t="s">
        <v>26</v>
      </c>
      <c r="FI12" t="s">
        <v>27</v>
      </c>
      <c r="FJ12" t="s">
        <v>28</v>
      </c>
      <c r="FK12" s="11"/>
      <c r="FN12" s="9"/>
      <c r="FO12" s="9" t="s">
        <v>23</v>
      </c>
      <c r="FP12" t="s">
        <v>24</v>
      </c>
      <c r="FQ12" t="s">
        <v>25</v>
      </c>
      <c r="FR12" t="s">
        <v>26</v>
      </c>
      <c r="FS12" t="s">
        <v>27</v>
      </c>
      <c r="FT12" t="s">
        <v>28</v>
      </c>
      <c r="FU12" s="11"/>
    </row>
    <row r="13" spans="1:177" x14ac:dyDescent="0.3">
      <c r="A13" s="9"/>
      <c r="B13" s="9" t="s">
        <v>301</v>
      </c>
      <c r="C13" s="10">
        <v>0.5</v>
      </c>
      <c r="D13" s="166">
        <f t="shared" ref="D13:D30" si="0">+IF(B13="","",INDEX(V_MANODEOBRA_MENSUAL,MATCH(B13,L_PERSONAL,0)))</f>
        <v>10800000</v>
      </c>
      <c r="E13" s="167">
        <f t="shared" ref="E13:E30" si="1">+IF(D13="","",INDEX(F_PRESTACIONAL,MATCH(B13,L_PERSONAL,0)))</f>
        <v>1.7740888888888888</v>
      </c>
      <c r="F13" s="165">
        <f>+IF(D13="","",E13*D13)</f>
        <v>19160160</v>
      </c>
      <c r="G13" s="165">
        <f>+IF(F13="","",F13*C13)</f>
        <v>9580080</v>
      </c>
      <c r="H13" s="11"/>
      <c r="K13" s="9"/>
      <c r="L13" s="9" t="s">
        <v>301</v>
      </c>
      <c r="M13" s="10">
        <v>0.5</v>
      </c>
      <c r="N13" s="166">
        <f t="shared" ref="N13:N30" si="2">+IF(L13="","",INDEX(V_MANODEOBRA_MENSUAL,MATCH(L13,L_PERSONAL,0)))</f>
        <v>10800000</v>
      </c>
      <c r="O13" s="167">
        <f t="shared" ref="O13:O30" si="3">+IF(N13="","",INDEX(F_PRESTACIONAL,MATCH(L13,L_PERSONAL,0)))</f>
        <v>1.7740888888888888</v>
      </c>
      <c r="P13" s="165">
        <f>+IF(N13="","",O13*N13)</f>
        <v>19160160</v>
      </c>
      <c r="Q13" s="136">
        <f>+IF(P13="","",P13*M13)</f>
        <v>9580080</v>
      </c>
      <c r="R13" s="11"/>
      <c r="U13" s="9"/>
      <c r="V13" s="9" t="s">
        <v>301</v>
      </c>
      <c r="W13" s="10">
        <v>0.5</v>
      </c>
      <c r="X13" s="166">
        <f t="shared" ref="X13:X30" si="4">+IF(V13="","",INDEX(V_MANODEOBRA_MENSUAL,MATCH(V13,L_PERSONAL,0)))</f>
        <v>10800000</v>
      </c>
      <c r="Y13" s="167">
        <f t="shared" ref="Y13:Y30" si="5">+IF(X13="","",INDEX(F_PRESTACIONAL,MATCH(V13,L_PERSONAL,0)))</f>
        <v>1.7740888888888888</v>
      </c>
      <c r="Z13" s="165">
        <f>+IF(X13="","",Y13*X13)</f>
        <v>19160160</v>
      </c>
      <c r="AA13" s="165">
        <f>+IF(Z13="","",Z13*W13)</f>
        <v>9580080</v>
      </c>
      <c r="AB13" s="11"/>
      <c r="AD13" s="9"/>
      <c r="AE13" s="9" t="s">
        <v>301</v>
      </c>
      <c r="AF13" s="10">
        <v>0.5</v>
      </c>
      <c r="AG13" s="166">
        <f t="shared" ref="AG13:AG30" si="6">+IF(AE13="","",INDEX(V_MANODEOBRA_MENSUAL,MATCH(AE13,L_PERSONAL,0)))</f>
        <v>10800000</v>
      </c>
      <c r="AH13" s="167">
        <f t="shared" ref="AH13:AH30" si="7">+IF(AG13="","",INDEX(F_PRESTACIONAL,MATCH(AE13,L_PERSONAL,0)))</f>
        <v>1.7740888888888888</v>
      </c>
      <c r="AI13" s="165">
        <f>+IF(AG13="","",AH13*AG13)</f>
        <v>19160160</v>
      </c>
      <c r="AJ13" s="165">
        <f>+IF(AI13="","",AI13*AF13)</f>
        <v>9580080</v>
      </c>
      <c r="AK13" s="11"/>
      <c r="AN13" s="9"/>
      <c r="AO13" s="9"/>
      <c r="AP13" s="10"/>
      <c r="AQ13" s="166" t="str">
        <f t="shared" ref="AQ13:AQ30" si="8">+IF(AO13="","",INDEX(V_MANODEOBRA_MENSUAL,MATCH(AO13,L_PERSONAL,0)))</f>
        <v/>
      </c>
      <c r="AR13" s="167" t="str">
        <f t="shared" ref="AR13:AR30" si="9">+IF(AQ13="","",INDEX(F_PRESTACIONAL,MATCH(AO13,L_PERSONAL,0)))</f>
        <v/>
      </c>
      <c r="AS13" s="165" t="str">
        <f>+IF(AQ13="","",AR13*AQ13)</f>
        <v/>
      </c>
      <c r="AT13" s="165" t="str">
        <f>+IF(AS13="","",AS13*AP13)</f>
        <v/>
      </c>
      <c r="AU13" s="11"/>
      <c r="AX13" s="9"/>
      <c r="AY13" s="9"/>
      <c r="AZ13" s="10"/>
      <c r="BA13" s="166" t="str">
        <f t="shared" ref="BA13:BA30" si="10">+IF(AY13="","",INDEX(V_MANODEOBRA_MENSUAL,MATCH(AY13,L_PERSONAL,0)))</f>
        <v/>
      </c>
      <c r="BB13" s="167" t="str">
        <f t="shared" ref="BB13:BB30" si="11">+IF(BA13="","",INDEX(F_PRESTACIONAL,MATCH(AY13,L_PERSONAL,0)))</f>
        <v/>
      </c>
      <c r="BC13" s="165" t="str">
        <f>+IF(BA13="","",BB13*BA13)</f>
        <v/>
      </c>
      <c r="BD13" s="165" t="str">
        <f>+IF(BC13="","",BC13*AZ13)</f>
        <v/>
      </c>
      <c r="BE13" s="11"/>
      <c r="BH13" s="9"/>
      <c r="BI13" s="9"/>
      <c r="BJ13" s="10"/>
      <c r="BK13" s="166" t="str">
        <f t="shared" ref="BK13:BK30" si="12">+IF(BI13="","",INDEX(V_MANODEOBRA_MENSUAL,MATCH(BI13,L_PERSONAL,0)))</f>
        <v/>
      </c>
      <c r="BL13" s="167" t="str">
        <f t="shared" ref="BL13:BL30" si="13">+IF(BK13="","",INDEX(F_PRESTACIONAL,MATCH(BI13,L_PERSONAL,0)))</f>
        <v/>
      </c>
      <c r="BM13" s="165" t="str">
        <f>+IF(BK13="","",BL13*BK13)</f>
        <v/>
      </c>
      <c r="BN13" s="165" t="str">
        <f>+IF(BM13="","",BM13*BJ13)</f>
        <v/>
      </c>
      <c r="BO13" s="11"/>
      <c r="BR13" s="9"/>
      <c r="BS13" s="9"/>
      <c r="BT13" s="10"/>
      <c r="BU13" s="166" t="str">
        <f t="shared" ref="BU13:BU30" si="14">+IF(BS13="","",INDEX(V_MANODEOBRA_MENSUAL,MATCH(BS13,L_PERSONAL,0)))</f>
        <v/>
      </c>
      <c r="BV13" s="167" t="str">
        <f t="shared" ref="BV13:BV30" si="15">+IF(BU13="","",INDEX(F_PRESTACIONAL,MATCH(BS13,L_PERSONAL,0)))</f>
        <v/>
      </c>
      <c r="BW13" s="165" t="str">
        <f>+IF(BU13="","",BV13*BU13)</f>
        <v/>
      </c>
      <c r="BX13" s="165" t="str">
        <f>+IF(BW13="","",BW13*BT13)</f>
        <v/>
      </c>
      <c r="BY13" s="11"/>
      <c r="CB13" s="9"/>
      <c r="CC13" s="9"/>
      <c r="CD13" s="10"/>
      <c r="CE13" s="166" t="str">
        <f t="shared" ref="CE13:CE30" si="16">+IF(CC13="","",INDEX(V_MANODEOBRA_MENSUAL,MATCH(CC13,L_PERSONAL,0)))</f>
        <v/>
      </c>
      <c r="CF13" s="167" t="str">
        <f t="shared" ref="CF13:CF30" si="17">+IF(CE13="","",INDEX(F_PRESTACIONAL,MATCH(CC13,L_PERSONAL,0)))</f>
        <v/>
      </c>
      <c r="CG13" s="165" t="str">
        <f>+IF(CE13="","",CF13*CE13)</f>
        <v/>
      </c>
      <c r="CH13" s="165" t="str">
        <f>+IF(CG13="","",CG13*CD13)</f>
        <v/>
      </c>
      <c r="CI13" s="11"/>
      <c r="CL13" s="9"/>
      <c r="CM13" s="9"/>
      <c r="CN13" s="10"/>
      <c r="CO13" s="166" t="str">
        <f t="shared" ref="CO13:CO30" si="18">+IF(CM13="","",INDEX(V_MANODEOBRA_MENSUAL,MATCH(CM13,L_PERSONAL,0)))</f>
        <v/>
      </c>
      <c r="CP13" s="167" t="str">
        <f t="shared" ref="CP13:CP30" si="19">+IF(CO13="","",INDEX(F_PRESTACIONAL,MATCH(CM13,L_PERSONAL,0)))</f>
        <v/>
      </c>
      <c r="CQ13" s="165" t="str">
        <f>+IF(CO13="","",CP13*CO13)</f>
        <v/>
      </c>
      <c r="CR13" s="165" t="str">
        <f>+IF(CQ13="","",CQ13*CN13)</f>
        <v/>
      </c>
      <c r="CS13" s="11"/>
      <c r="CV13" s="9"/>
      <c r="CW13" s="9"/>
      <c r="CX13" s="10"/>
      <c r="CY13" s="166" t="str">
        <f t="shared" ref="CY13:CY30" si="20">+IF(CW13="","",INDEX(V_MANODEOBRA_MENSUAL,MATCH(CW13,L_PERSONAL,0)))</f>
        <v/>
      </c>
      <c r="CZ13" s="167" t="str">
        <f t="shared" ref="CZ13:CZ30" si="21">+IF(CY13="","",INDEX(F_PRESTACIONAL,MATCH(CW13,L_PERSONAL,0)))</f>
        <v/>
      </c>
      <c r="DA13" s="165" t="str">
        <f>+IF(CY13="","",CZ13*CY13)</f>
        <v/>
      </c>
      <c r="DB13" s="165" t="str">
        <f>+IF(DA13="","",DA13*CX13)</f>
        <v/>
      </c>
      <c r="DC13" s="11"/>
      <c r="DF13" s="9"/>
      <c r="DG13" s="9"/>
      <c r="DH13" s="10"/>
      <c r="DI13" s="166" t="str">
        <f t="shared" ref="DI13:DI30" si="22">+IF(DG13="","",INDEX(V_MANODEOBRA_MENSUAL,MATCH(DG13,L_PERSONAL,0)))</f>
        <v/>
      </c>
      <c r="DJ13" s="167" t="str">
        <f t="shared" ref="DJ13:DJ30" si="23">+IF(DI13="","",INDEX(F_PRESTACIONAL,MATCH(DG13,L_PERSONAL,0)))</f>
        <v/>
      </c>
      <c r="DK13" s="165" t="str">
        <f>+IF(DI13="","",DJ13*DI13)</f>
        <v/>
      </c>
      <c r="DL13" s="165" t="str">
        <f>+IF(DK13="","",DK13*DH13)</f>
        <v/>
      </c>
      <c r="DM13" s="11"/>
      <c r="DP13" s="9"/>
      <c r="DQ13" s="9"/>
      <c r="DR13" s="10"/>
      <c r="DS13" s="166" t="str">
        <f t="shared" ref="DS13:DS30" si="24">+IF(DQ13="","",INDEX(V_MANODEOBRA_MENSUAL,MATCH(DQ13,L_PERSONAL,0)))</f>
        <v/>
      </c>
      <c r="DT13" s="167" t="str">
        <f t="shared" ref="DT13:DT30" si="25">+IF(DS13="","",INDEX(F_PRESTACIONAL,MATCH(DQ13,L_PERSONAL,0)))</f>
        <v/>
      </c>
      <c r="DU13" s="165" t="str">
        <f>+IF(DS13="","",DT13*DS13)</f>
        <v/>
      </c>
      <c r="DV13" s="165" t="str">
        <f>+IF(DU13="","",DU13*DR13)</f>
        <v/>
      </c>
      <c r="DW13" s="11"/>
      <c r="DZ13" s="9"/>
      <c r="EA13" s="9"/>
      <c r="EB13" s="10"/>
      <c r="EC13" s="166" t="str">
        <f t="shared" ref="EC13:EC30" si="26">+IF(EA13="","",INDEX(V_MANODEOBRA_MENSUAL,MATCH(EA13,L_PERSONAL,0)))</f>
        <v/>
      </c>
      <c r="ED13" s="167" t="str">
        <f t="shared" ref="ED13:ED30" si="27">+IF(EC13="","",INDEX(F_PRESTACIONAL,MATCH(EA13,L_PERSONAL,0)))</f>
        <v/>
      </c>
      <c r="EE13" s="165" t="str">
        <f>+IF(EC13="","",ED13*EC13)</f>
        <v/>
      </c>
      <c r="EF13" s="165" t="str">
        <f>+IF(EE13="","",EE13*EB13)</f>
        <v/>
      </c>
      <c r="EG13" s="11"/>
      <c r="EJ13" s="9"/>
      <c r="EK13" s="9"/>
      <c r="EL13" s="10"/>
      <c r="EM13" s="166" t="str">
        <f t="shared" ref="EM13:EM30" si="28">+IF(EK13="","",INDEX(V_MANODEOBRA_MENSUAL,MATCH(EK13,L_PERSONAL,0)))</f>
        <v/>
      </c>
      <c r="EN13" s="167" t="str">
        <f t="shared" ref="EN13:EN30" si="29">+IF(EM13="","",INDEX(F_PRESTACIONAL,MATCH(EK13,L_PERSONAL,0)))</f>
        <v/>
      </c>
      <c r="EO13" s="165" t="str">
        <f>+IF(EM13="","",EN13*EM13)</f>
        <v/>
      </c>
      <c r="EP13" s="165" t="str">
        <f>+IF(EO13="","",EO13*EL13)</f>
        <v/>
      </c>
      <c r="EQ13" s="11"/>
      <c r="ET13" s="9"/>
      <c r="EU13" s="9"/>
      <c r="EV13" s="10"/>
      <c r="EW13" s="166" t="str">
        <f t="shared" ref="EW13:EW30" si="30">+IF(EU13="","",INDEX(V_MANODEOBRA_MENSUAL,MATCH(EU13,L_PERSONAL,0)))</f>
        <v/>
      </c>
      <c r="EX13" s="167" t="str">
        <f t="shared" ref="EX13:EX30" si="31">+IF(EW13="","",INDEX(F_PRESTACIONAL,MATCH(EU13,L_PERSONAL,0)))</f>
        <v/>
      </c>
      <c r="EY13" s="165" t="str">
        <f>+IF(EW13="","",EX13*EW13)</f>
        <v/>
      </c>
      <c r="EZ13" s="165" t="str">
        <f>+IF(EY13="","",EY13*EV13)</f>
        <v/>
      </c>
      <c r="FA13" s="11"/>
      <c r="FD13" s="9"/>
      <c r="FE13" s="9"/>
      <c r="FF13" s="10"/>
      <c r="FG13" s="166" t="str">
        <f t="shared" ref="FG13:FG30" si="32">+IF(FE13="","",INDEX(V_MANODEOBRA_MENSUAL,MATCH(FE13,L_PERSONAL,0)))</f>
        <v/>
      </c>
      <c r="FH13" s="167" t="str">
        <f t="shared" ref="FH13:FH30" si="33">+IF(FG13="","",INDEX(F_PRESTACIONAL,MATCH(FE13,L_PERSONAL,0)))</f>
        <v/>
      </c>
      <c r="FI13" s="165" t="str">
        <f>+IF(FG13="","",FH13*FG13)</f>
        <v/>
      </c>
      <c r="FJ13" s="165" t="str">
        <f>+IF(FI13="","",FI13*FF13)</f>
        <v/>
      </c>
      <c r="FK13" s="11"/>
      <c r="FN13" s="9"/>
      <c r="FO13" s="9"/>
      <c r="FP13" s="10"/>
      <c r="FQ13" s="166" t="str">
        <f t="shared" ref="FQ13:FQ30" si="34">+IF(FO13="","",INDEX(V_MANODEOBRA_MENSUAL,MATCH(FO13,L_PERSONAL,0)))</f>
        <v/>
      </c>
      <c r="FR13" s="167" t="str">
        <f t="shared" ref="FR13:FR30" si="35">+IF(FQ13="","",INDEX(F_PRESTACIONAL,MATCH(FO13,L_PERSONAL,0)))</f>
        <v/>
      </c>
      <c r="FS13" s="165" t="str">
        <f>+IF(FQ13="","",FR13*FQ13)</f>
        <v/>
      </c>
      <c r="FT13" s="165" t="str">
        <f>+IF(FS13="","",FS13*FP13)</f>
        <v/>
      </c>
      <c r="FU13" s="11"/>
    </row>
    <row r="14" spans="1:177" x14ac:dyDescent="0.3">
      <c r="A14" s="9"/>
      <c r="B14" s="9" t="s">
        <v>474</v>
      </c>
      <c r="C14" s="10">
        <v>0.5</v>
      </c>
      <c r="D14" s="166" t="e">
        <f t="shared" si="0"/>
        <v>#N/A</v>
      </c>
      <c r="E14" s="167" t="e">
        <f t="shared" si="1"/>
        <v>#N/A</v>
      </c>
      <c r="F14" s="165" t="e">
        <f t="shared" ref="F14:F30" si="36">+IF(D14="","",E14*D14)</f>
        <v>#N/A</v>
      </c>
      <c r="G14" s="165" t="e">
        <f t="shared" ref="G14:G30" si="37">+IF(F14="","",F14*C14)</f>
        <v>#N/A</v>
      </c>
      <c r="H14" s="11"/>
      <c r="K14" s="9"/>
      <c r="L14" s="9" t="s">
        <v>474</v>
      </c>
      <c r="M14" s="10">
        <v>0.5</v>
      </c>
      <c r="N14" s="166" t="e">
        <f t="shared" si="2"/>
        <v>#N/A</v>
      </c>
      <c r="O14" s="167" t="e">
        <f t="shared" si="3"/>
        <v>#N/A</v>
      </c>
      <c r="P14" s="165" t="e">
        <f t="shared" ref="P14:P21" si="38">+IF(N14="","",O14*N14)</f>
        <v>#N/A</v>
      </c>
      <c r="Q14" s="136" t="e">
        <f t="shared" ref="Q14:Q21" si="39">+IF(P14="","",P14*M14)</f>
        <v>#N/A</v>
      </c>
      <c r="R14" s="11"/>
      <c r="U14" s="9"/>
      <c r="V14" s="9" t="s">
        <v>474</v>
      </c>
      <c r="W14" s="10">
        <v>0.5</v>
      </c>
      <c r="X14" s="166" t="e">
        <f t="shared" si="4"/>
        <v>#N/A</v>
      </c>
      <c r="Y14" s="167" t="e">
        <f t="shared" si="5"/>
        <v>#N/A</v>
      </c>
      <c r="Z14" s="165" t="e">
        <f t="shared" ref="Z14:Z21" si="40">+IF(X14="","",Y14*X14)</f>
        <v>#N/A</v>
      </c>
      <c r="AA14" s="165" t="e">
        <f t="shared" ref="AA14:AA21" si="41">+IF(Z14="","",Z14*W14)</f>
        <v>#N/A</v>
      </c>
      <c r="AB14" s="11"/>
      <c r="AD14" s="9"/>
      <c r="AE14" s="9" t="s">
        <v>474</v>
      </c>
      <c r="AF14" s="10">
        <v>0.5</v>
      </c>
      <c r="AG14" s="166" t="e">
        <f t="shared" si="6"/>
        <v>#N/A</v>
      </c>
      <c r="AH14" s="167" t="e">
        <f t="shared" si="7"/>
        <v>#N/A</v>
      </c>
      <c r="AI14" s="165" t="e">
        <f t="shared" ref="AI14:AI21" si="42">+IF(AG14="","",AH14*AG14)</f>
        <v>#N/A</v>
      </c>
      <c r="AJ14" s="165" t="e">
        <f t="shared" ref="AJ14:AJ21" si="43">+IF(AI14="","",AI14*AF14)</f>
        <v>#N/A</v>
      </c>
      <c r="AK14" s="11"/>
      <c r="AN14" s="9"/>
      <c r="AO14" s="9"/>
      <c r="AP14" s="10"/>
      <c r="AQ14" s="166" t="str">
        <f t="shared" si="8"/>
        <v/>
      </c>
      <c r="AR14" s="167" t="str">
        <f t="shared" si="9"/>
        <v/>
      </c>
      <c r="AS14" s="165" t="str">
        <f t="shared" ref="AS14:AS21" si="44">+IF(AQ14="","",AR14*AQ14)</f>
        <v/>
      </c>
      <c r="AT14" s="165" t="str">
        <f t="shared" ref="AT14:AT21" si="45">+IF(AS14="","",AS14*AP14)</f>
        <v/>
      </c>
      <c r="AU14" s="11"/>
      <c r="AX14" s="9"/>
      <c r="AY14" s="9"/>
      <c r="AZ14" s="10"/>
      <c r="BA14" s="166" t="str">
        <f t="shared" si="10"/>
        <v/>
      </c>
      <c r="BB14" s="167" t="str">
        <f t="shared" si="11"/>
        <v/>
      </c>
      <c r="BC14" s="165" t="str">
        <f t="shared" ref="BC14:BC21" si="46">+IF(BA14="","",BB14*BA14)</f>
        <v/>
      </c>
      <c r="BD14" s="165" t="str">
        <f t="shared" ref="BD14:BD21" si="47">+IF(BC14="","",BC14*AZ14)</f>
        <v/>
      </c>
      <c r="BE14" s="11"/>
      <c r="BH14" s="9"/>
      <c r="BI14" s="9"/>
      <c r="BJ14" s="10"/>
      <c r="BK14" s="166" t="str">
        <f t="shared" si="12"/>
        <v/>
      </c>
      <c r="BL14" s="167" t="str">
        <f t="shared" si="13"/>
        <v/>
      </c>
      <c r="BM14" s="165" t="str">
        <f t="shared" ref="BM14:BM21" si="48">+IF(BK14="","",BL14*BK14)</f>
        <v/>
      </c>
      <c r="BN14" s="165" t="str">
        <f t="shared" ref="BN14:BN21" si="49">+IF(BM14="","",BM14*BJ14)</f>
        <v/>
      </c>
      <c r="BO14" s="11"/>
      <c r="BR14" s="9"/>
      <c r="BS14" s="9"/>
      <c r="BT14" s="10"/>
      <c r="BU14" s="166" t="str">
        <f t="shared" si="14"/>
        <v/>
      </c>
      <c r="BV14" s="167" t="str">
        <f t="shared" si="15"/>
        <v/>
      </c>
      <c r="BW14" s="165" t="str">
        <f t="shared" ref="BW14:BW21" si="50">+IF(BU14="","",BV14*BU14)</f>
        <v/>
      </c>
      <c r="BX14" s="165" t="str">
        <f t="shared" ref="BX14:BX21" si="51">+IF(BW14="","",BW14*BT14)</f>
        <v/>
      </c>
      <c r="BY14" s="11"/>
      <c r="CB14" s="9"/>
      <c r="CC14" s="9"/>
      <c r="CD14" s="10"/>
      <c r="CE14" s="166" t="str">
        <f t="shared" si="16"/>
        <v/>
      </c>
      <c r="CF14" s="167" t="str">
        <f t="shared" si="17"/>
        <v/>
      </c>
      <c r="CG14" s="165" t="str">
        <f t="shared" ref="CG14:CG21" si="52">+IF(CE14="","",CF14*CE14)</f>
        <v/>
      </c>
      <c r="CH14" s="165" t="str">
        <f t="shared" ref="CH14:CH21" si="53">+IF(CG14="","",CG14*CD14)</f>
        <v/>
      </c>
      <c r="CI14" s="11"/>
      <c r="CL14" s="9"/>
      <c r="CM14" s="9"/>
      <c r="CN14" s="10"/>
      <c r="CO14" s="166" t="str">
        <f t="shared" si="18"/>
        <v/>
      </c>
      <c r="CP14" s="167" t="str">
        <f t="shared" si="19"/>
        <v/>
      </c>
      <c r="CQ14" s="165" t="str">
        <f t="shared" ref="CQ14:CQ21" si="54">+IF(CO14="","",CP14*CO14)</f>
        <v/>
      </c>
      <c r="CR14" s="165" t="str">
        <f t="shared" ref="CR14:CR21" si="55">+IF(CQ14="","",CQ14*CN14)</f>
        <v/>
      </c>
      <c r="CS14" s="11"/>
      <c r="CV14" s="9"/>
      <c r="CW14" s="9"/>
      <c r="CX14" s="10"/>
      <c r="CY14" s="166" t="str">
        <f t="shared" si="20"/>
        <v/>
      </c>
      <c r="CZ14" s="167" t="str">
        <f t="shared" si="21"/>
        <v/>
      </c>
      <c r="DA14" s="165" t="str">
        <f t="shared" ref="DA14:DA21" si="56">+IF(CY14="","",CZ14*CY14)</f>
        <v/>
      </c>
      <c r="DB14" s="165" t="str">
        <f t="shared" ref="DB14:DB21" si="57">+IF(DA14="","",DA14*CX14)</f>
        <v/>
      </c>
      <c r="DC14" s="11"/>
      <c r="DF14" s="9"/>
      <c r="DG14" s="9"/>
      <c r="DH14" s="10"/>
      <c r="DI14" s="166" t="str">
        <f t="shared" si="22"/>
        <v/>
      </c>
      <c r="DJ14" s="167" t="str">
        <f t="shared" si="23"/>
        <v/>
      </c>
      <c r="DK14" s="165" t="str">
        <f t="shared" ref="DK14:DK21" si="58">+IF(DI14="","",DJ14*DI14)</f>
        <v/>
      </c>
      <c r="DL14" s="165" t="str">
        <f t="shared" ref="DL14:DL21" si="59">+IF(DK14="","",DK14*DH14)</f>
        <v/>
      </c>
      <c r="DM14" s="11"/>
      <c r="DP14" s="9"/>
      <c r="DQ14" s="9"/>
      <c r="DR14" s="10"/>
      <c r="DS14" s="166" t="str">
        <f t="shared" si="24"/>
        <v/>
      </c>
      <c r="DT14" s="167" t="str">
        <f t="shared" si="25"/>
        <v/>
      </c>
      <c r="DU14" s="165" t="str">
        <f t="shared" ref="DU14:DU21" si="60">+IF(DS14="","",DT14*DS14)</f>
        <v/>
      </c>
      <c r="DV14" s="165" t="str">
        <f t="shared" ref="DV14:DV21" si="61">+IF(DU14="","",DU14*DR14)</f>
        <v/>
      </c>
      <c r="DW14" s="11"/>
      <c r="DZ14" s="9"/>
      <c r="EA14" s="9"/>
      <c r="EB14" s="10"/>
      <c r="EC14" s="166" t="str">
        <f t="shared" si="26"/>
        <v/>
      </c>
      <c r="ED14" s="167" t="str">
        <f t="shared" si="27"/>
        <v/>
      </c>
      <c r="EE14" s="165" t="str">
        <f t="shared" ref="EE14:EE21" si="62">+IF(EC14="","",ED14*EC14)</f>
        <v/>
      </c>
      <c r="EF14" s="165" t="str">
        <f t="shared" ref="EF14:EF21" si="63">+IF(EE14="","",EE14*EB14)</f>
        <v/>
      </c>
      <c r="EG14" s="11"/>
      <c r="EJ14" s="9"/>
      <c r="EK14" s="9"/>
      <c r="EL14" s="10"/>
      <c r="EM14" s="166" t="str">
        <f t="shared" si="28"/>
        <v/>
      </c>
      <c r="EN14" s="167" t="str">
        <f t="shared" si="29"/>
        <v/>
      </c>
      <c r="EO14" s="165" t="str">
        <f t="shared" ref="EO14:EO21" si="64">+IF(EM14="","",EN14*EM14)</f>
        <v/>
      </c>
      <c r="EP14" s="165" t="str">
        <f t="shared" ref="EP14:EP21" si="65">+IF(EO14="","",EO14*EL14)</f>
        <v/>
      </c>
      <c r="EQ14" s="11"/>
      <c r="ET14" s="9"/>
      <c r="EU14" s="9"/>
      <c r="EV14" s="10"/>
      <c r="EW14" s="166" t="str">
        <f t="shared" si="30"/>
        <v/>
      </c>
      <c r="EX14" s="167" t="str">
        <f t="shared" si="31"/>
        <v/>
      </c>
      <c r="EY14" s="165" t="str">
        <f t="shared" ref="EY14:EY21" si="66">+IF(EW14="","",EX14*EW14)</f>
        <v/>
      </c>
      <c r="EZ14" s="165" t="str">
        <f t="shared" ref="EZ14:EZ21" si="67">+IF(EY14="","",EY14*EV14)</f>
        <v/>
      </c>
      <c r="FA14" s="11"/>
      <c r="FD14" s="9"/>
      <c r="FE14" s="9"/>
      <c r="FF14" s="10"/>
      <c r="FG14" s="166" t="str">
        <f t="shared" si="32"/>
        <v/>
      </c>
      <c r="FH14" s="167" t="str">
        <f t="shared" si="33"/>
        <v/>
      </c>
      <c r="FI14" s="165" t="str">
        <f t="shared" ref="FI14:FI21" si="68">+IF(FG14="","",FH14*FG14)</f>
        <v/>
      </c>
      <c r="FJ14" s="165" t="str">
        <f t="shared" ref="FJ14:FJ21" si="69">+IF(FI14="","",FI14*FF14)</f>
        <v/>
      </c>
      <c r="FK14" s="11"/>
      <c r="FN14" s="9"/>
      <c r="FO14" s="9"/>
      <c r="FP14" s="10"/>
      <c r="FQ14" s="166" t="str">
        <f t="shared" si="34"/>
        <v/>
      </c>
      <c r="FR14" s="167" t="str">
        <f t="shared" si="35"/>
        <v/>
      </c>
      <c r="FS14" s="165" t="str">
        <f t="shared" ref="FS14:FS21" si="70">+IF(FQ14="","",FR14*FQ14)</f>
        <v/>
      </c>
      <c r="FT14" s="165" t="str">
        <f t="shared" ref="FT14:FT21" si="71">+IF(FS14="","",FS14*FP14)</f>
        <v/>
      </c>
      <c r="FU14" s="11"/>
    </row>
    <row r="15" spans="1:177" x14ac:dyDescent="0.3">
      <c r="A15" s="9"/>
      <c r="B15" s="9" t="s">
        <v>316</v>
      </c>
      <c r="C15" s="10">
        <v>0.5</v>
      </c>
      <c r="D15" s="166">
        <f t="shared" si="0"/>
        <v>4000000</v>
      </c>
      <c r="E15" s="167">
        <f t="shared" si="1"/>
        <v>2.0102000000000002</v>
      </c>
      <c r="F15" s="165">
        <f t="shared" si="36"/>
        <v>8040800.0000000009</v>
      </c>
      <c r="G15" s="165">
        <f t="shared" si="37"/>
        <v>4020400.0000000005</v>
      </c>
      <c r="H15" s="11"/>
      <c r="K15" s="9"/>
      <c r="L15" s="9" t="s">
        <v>316</v>
      </c>
      <c r="M15" s="10">
        <v>0.5</v>
      </c>
      <c r="N15" s="166">
        <f t="shared" si="2"/>
        <v>4000000</v>
      </c>
      <c r="O15" s="167">
        <f t="shared" si="3"/>
        <v>2.0102000000000002</v>
      </c>
      <c r="P15" s="165">
        <f t="shared" si="38"/>
        <v>8040800.0000000009</v>
      </c>
      <c r="Q15" s="136">
        <f t="shared" si="39"/>
        <v>4020400.0000000005</v>
      </c>
      <c r="R15" s="11"/>
      <c r="U15" s="9"/>
      <c r="V15" s="9" t="s">
        <v>316</v>
      </c>
      <c r="W15" s="10">
        <v>0.5</v>
      </c>
      <c r="X15" s="166">
        <f t="shared" si="4"/>
        <v>4000000</v>
      </c>
      <c r="Y15" s="167">
        <f t="shared" si="5"/>
        <v>2.0102000000000002</v>
      </c>
      <c r="Z15" s="165">
        <f t="shared" si="40"/>
        <v>8040800.0000000009</v>
      </c>
      <c r="AA15" s="165">
        <f t="shared" si="41"/>
        <v>4020400.0000000005</v>
      </c>
      <c r="AB15" s="11"/>
      <c r="AD15" s="9"/>
      <c r="AE15" s="9" t="s">
        <v>316</v>
      </c>
      <c r="AF15" s="10">
        <v>0.5</v>
      </c>
      <c r="AG15" s="166">
        <f t="shared" si="6"/>
        <v>4000000</v>
      </c>
      <c r="AH15" s="167">
        <f t="shared" si="7"/>
        <v>2.0102000000000002</v>
      </c>
      <c r="AI15" s="165">
        <f t="shared" si="42"/>
        <v>8040800.0000000009</v>
      </c>
      <c r="AJ15" s="165">
        <f t="shared" si="43"/>
        <v>4020400.0000000005</v>
      </c>
      <c r="AK15" s="11"/>
      <c r="AN15" s="9"/>
      <c r="AO15" s="9"/>
      <c r="AP15" s="10"/>
      <c r="AQ15" s="166" t="str">
        <f t="shared" si="8"/>
        <v/>
      </c>
      <c r="AR15" s="167" t="str">
        <f t="shared" si="9"/>
        <v/>
      </c>
      <c r="AS15" s="165" t="str">
        <f t="shared" si="44"/>
        <v/>
      </c>
      <c r="AT15" s="165" t="str">
        <f t="shared" si="45"/>
        <v/>
      </c>
      <c r="AU15" s="11"/>
      <c r="AX15" s="9"/>
      <c r="AY15" s="9"/>
      <c r="AZ15" s="10"/>
      <c r="BA15" s="166" t="str">
        <f t="shared" si="10"/>
        <v/>
      </c>
      <c r="BB15" s="167" t="str">
        <f t="shared" si="11"/>
        <v/>
      </c>
      <c r="BC15" s="165" t="str">
        <f t="shared" si="46"/>
        <v/>
      </c>
      <c r="BD15" s="165" t="str">
        <f t="shared" si="47"/>
        <v/>
      </c>
      <c r="BE15" s="11"/>
      <c r="BH15" s="9"/>
      <c r="BI15" s="9"/>
      <c r="BJ15" s="10"/>
      <c r="BK15" s="166" t="str">
        <f t="shared" si="12"/>
        <v/>
      </c>
      <c r="BL15" s="167" t="str">
        <f t="shared" si="13"/>
        <v/>
      </c>
      <c r="BM15" s="165" t="str">
        <f t="shared" si="48"/>
        <v/>
      </c>
      <c r="BN15" s="165" t="str">
        <f t="shared" si="49"/>
        <v/>
      </c>
      <c r="BO15" s="11"/>
      <c r="BR15" s="9"/>
      <c r="BS15" s="9"/>
      <c r="BT15" s="10"/>
      <c r="BU15" s="166" t="str">
        <f t="shared" si="14"/>
        <v/>
      </c>
      <c r="BV15" s="167" t="str">
        <f t="shared" si="15"/>
        <v/>
      </c>
      <c r="BW15" s="165" t="str">
        <f t="shared" si="50"/>
        <v/>
      </c>
      <c r="BX15" s="165" t="str">
        <f t="shared" si="51"/>
        <v/>
      </c>
      <c r="BY15" s="11"/>
      <c r="CB15" s="9"/>
      <c r="CC15" s="9"/>
      <c r="CD15" s="10"/>
      <c r="CE15" s="166" t="str">
        <f t="shared" si="16"/>
        <v/>
      </c>
      <c r="CF15" s="167" t="str">
        <f t="shared" si="17"/>
        <v/>
      </c>
      <c r="CG15" s="165" t="str">
        <f t="shared" si="52"/>
        <v/>
      </c>
      <c r="CH15" s="165" t="str">
        <f t="shared" si="53"/>
        <v/>
      </c>
      <c r="CI15" s="11"/>
      <c r="CL15" s="9"/>
      <c r="CM15" s="9"/>
      <c r="CN15" s="10"/>
      <c r="CO15" s="166" t="str">
        <f t="shared" si="18"/>
        <v/>
      </c>
      <c r="CP15" s="167" t="str">
        <f t="shared" si="19"/>
        <v/>
      </c>
      <c r="CQ15" s="165" t="str">
        <f t="shared" si="54"/>
        <v/>
      </c>
      <c r="CR15" s="165" t="str">
        <f t="shared" si="55"/>
        <v/>
      </c>
      <c r="CS15" s="11"/>
      <c r="CV15" s="9"/>
      <c r="CW15" s="9"/>
      <c r="CX15" s="10"/>
      <c r="CY15" s="166" t="str">
        <f t="shared" si="20"/>
        <v/>
      </c>
      <c r="CZ15" s="167" t="str">
        <f t="shared" si="21"/>
        <v/>
      </c>
      <c r="DA15" s="165" t="str">
        <f t="shared" si="56"/>
        <v/>
      </c>
      <c r="DB15" s="165" t="str">
        <f t="shared" si="57"/>
        <v/>
      </c>
      <c r="DC15" s="11"/>
      <c r="DF15" s="9"/>
      <c r="DG15" s="9"/>
      <c r="DH15" s="10"/>
      <c r="DI15" s="166" t="str">
        <f t="shared" si="22"/>
        <v/>
      </c>
      <c r="DJ15" s="167" t="str">
        <f t="shared" si="23"/>
        <v/>
      </c>
      <c r="DK15" s="165" t="str">
        <f t="shared" si="58"/>
        <v/>
      </c>
      <c r="DL15" s="165" t="str">
        <f t="shared" si="59"/>
        <v/>
      </c>
      <c r="DM15" s="11"/>
      <c r="DP15" s="9"/>
      <c r="DQ15" s="9"/>
      <c r="DR15" s="10"/>
      <c r="DS15" s="166" t="str">
        <f t="shared" si="24"/>
        <v/>
      </c>
      <c r="DT15" s="167" t="str">
        <f t="shared" si="25"/>
        <v/>
      </c>
      <c r="DU15" s="165" t="str">
        <f t="shared" si="60"/>
        <v/>
      </c>
      <c r="DV15" s="165" t="str">
        <f t="shared" si="61"/>
        <v/>
      </c>
      <c r="DW15" s="11"/>
      <c r="DZ15" s="9"/>
      <c r="EA15" s="9"/>
      <c r="EB15" s="10"/>
      <c r="EC15" s="166" t="str">
        <f t="shared" si="26"/>
        <v/>
      </c>
      <c r="ED15" s="167" t="str">
        <f t="shared" si="27"/>
        <v/>
      </c>
      <c r="EE15" s="165" t="str">
        <f t="shared" si="62"/>
        <v/>
      </c>
      <c r="EF15" s="165" t="str">
        <f t="shared" si="63"/>
        <v/>
      </c>
      <c r="EG15" s="11"/>
      <c r="EJ15" s="9"/>
      <c r="EK15" s="9"/>
      <c r="EL15" s="10"/>
      <c r="EM15" s="166" t="str">
        <f t="shared" si="28"/>
        <v/>
      </c>
      <c r="EN15" s="167" t="str">
        <f t="shared" si="29"/>
        <v/>
      </c>
      <c r="EO15" s="165" t="str">
        <f t="shared" si="64"/>
        <v/>
      </c>
      <c r="EP15" s="165" t="str">
        <f t="shared" si="65"/>
        <v/>
      </c>
      <c r="EQ15" s="11"/>
      <c r="ET15" s="9"/>
      <c r="EU15" s="9"/>
      <c r="EV15" s="10"/>
      <c r="EW15" s="166" t="str">
        <f t="shared" si="30"/>
        <v/>
      </c>
      <c r="EX15" s="167" t="str">
        <f t="shared" si="31"/>
        <v/>
      </c>
      <c r="EY15" s="165" t="str">
        <f t="shared" si="66"/>
        <v/>
      </c>
      <c r="EZ15" s="165" t="str">
        <f t="shared" si="67"/>
        <v/>
      </c>
      <c r="FA15" s="11"/>
      <c r="FD15" s="9"/>
      <c r="FE15" s="9"/>
      <c r="FF15" s="10"/>
      <c r="FG15" s="166" t="str">
        <f t="shared" si="32"/>
        <v/>
      </c>
      <c r="FH15" s="167" t="str">
        <f t="shared" si="33"/>
        <v/>
      </c>
      <c r="FI15" s="165" t="str">
        <f t="shared" si="68"/>
        <v/>
      </c>
      <c r="FJ15" s="165" t="str">
        <f t="shared" si="69"/>
        <v/>
      </c>
      <c r="FK15" s="11"/>
      <c r="FN15" s="9"/>
      <c r="FO15" s="9"/>
      <c r="FP15" s="10"/>
      <c r="FQ15" s="166" t="str">
        <f t="shared" si="34"/>
        <v/>
      </c>
      <c r="FR15" s="167" t="str">
        <f t="shared" si="35"/>
        <v/>
      </c>
      <c r="FS15" s="165" t="str">
        <f t="shared" si="70"/>
        <v/>
      </c>
      <c r="FT15" s="165" t="str">
        <f t="shared" si="71"/>
        <v/>
      </c>
      <c r="FU15" s="11"/>
    </row>
    <row r="16" spans="1:177" x14ac:dyDescent="0.3">
      <c r="A16" s="9"/>
      <c r="B16" s="9" t="s">
        <v>309</v>
      </c>
      <c r="C16" s="10">
        <v>0.5</v>
      </c>
      <c r="D16" s="166">
        <f t="shared" si="0"/>
        <v>4000000</v>
      </c>
      <c r="E16" s="167">
        <f t="shared" si="1"/>
        <v>2.0102000000000002</v>
      </c>
      <c r="F16" s="165">
        <f t="shared" si="36"/>
        <v>8040800.0000000009</v>
      </c>
      <c r="G16" s="165">
        <f t="shared" si="37"/>
        <v>4020400.0000000005</v>
      </c>
      <c r="H16" s="11"/>
      <c r="K16" s="9"/>
      <c r="L16" s="9" t="s">
        <v>309</v>
      </c>
      <c r="M16" s="10">
        <v>0.5</v>
      </c>
      <c r="N16" s="166">
        <f t="shared" si="2"/>
        <v>4000000</v>
      </c>
      <c r="O16" s="167">
        <f t="shared" si="3"/>
        <v>2.0102000000000002</v>
      </c>
      <c r="P16" s="165">
        <f t="shared" si="38"/>
        <v>8040800.0000000009</v>
      </c>
      <c r="Q16" s="136">
        <f t="shared" si="39"/>
        <v>4020400.0000000005</v>
      </c>
      <c r="R16" s="11"/>
      <c r="U16" s="9"/>
      <c r="V16" s="9" t="s">
        <v>309</v>
      </c>
      <c r="W16" s="10">
        <v>0.5</v>
      </c>
      <c r="X16" s="166">
        <f t="shared" si="4"/>
        <v>4000000</v>
      </c>
      <c r="Y16" s="167">
        <f t="shared" si="5"/>
        <v>2.0102000000000002</v>
      </c>
      <c r="Z16" s="165">
        <f t="shared" si="40"/>
        <v>8040800.0000000009</v>
      </c>
      <c r="AA16" s="165">
        <f t="shared" si="41"/>
        <v>4020400.0000000005</v>
      </c>
      <c r="AB16" s="11"/>
      <c r="AD16" s="9"/>
      <c r="AE16" s="9" t="s">
        <v>309</v>
      </c>
      <c r="AF16" s="10">
        <v>0.5</v>
      </c>
      <c r="AG16" s="166">
        <f t="shared" si="6"/>
        <v>4000000</v>
      </c>
      <c r="AH16" s="167">
        <f t="shared" si="7"/>
        <v>2.0102000000000002</v>
      </c>
      <c r="AI16" s="165">
        <f t="shared" si="42"/>
        <v>8040800.0000000009</v>
      </c>
      <c r="AJ16" s="165">
        <f t="shared" si="43"/>
        <v>4020400.0000000005</v>
      </c>
      <c r="AK16" s="11"/>
      <c r="AN16" s="9"/>
      <c r="AO16" s="9"/>
      <c r="AP16" s="10"/>
      <c r="AQ16" s="166" t="str">
        <f t="shared" si="8"/>
        <v/>
      </c>
      <c r="AR16" s="167" t="str">
        <f t="shared" si="9"/>
        <v/>
      </c>
      <c r="AS16" s="165" t="str">
        <f t="shared" si="44"/>
        <v/>
      </c>
      <c r="AT16" s="165" t="str">
        <f t="shared" si="45"/>
        <v/>
      </c>
      <c r="AU16" s="11"/>
      <c r="AX16" s="9"/>
      <c r="AY16" s="9"/>
      <c r="AZ16" s="10"/>
      <c r="BA16" s="166" t="str">
        <f t="shared" si="10"/>
        <v/>
      </c>
      <c r="BB16" s="167" t="str">
        <f t="shared" si="11"/>
        <v/>
      </c>
      <c r="BC16" s="165" t="str">
        <f t="shared" si="46"/>
        <v/>
      </c>
      <c r="BD16" s="165" t="str">
        <f t="shared" si="47"/>
        <v/>
      </c>
      <c r="BE16" s="11"/>
      <c r="BH16" s="9"/>
      <c r="BI16" s="9"/>
      <c r="BJ16" s="10"/>
      <c r="BK16" s="166" t="str">
        <f t="shared" si="12"/>
        <v/>
      </c>
      <c r="BL16" s="167" t="str">
        <f t="shared" si="13"/>
        <v/>
      </c>
      <c r="BM16" s="165" t="str">
        <f t="shared" si="48"/>
        <v/>
      </c>
      <c r="BN16" s="165" t="str">
        <f t="shared" si="49"/>
        <v/>
      </c>
      <c r="BO16" s="11"/>
      <c r="BR16" s="9"/>
      <c r="BS16" s="9"/>
      <c r="BT16" s="10"/>
      <c r="BU16" s="166" t="str">
        <f t="shared" si="14"/>
        <v/>
      </c>
      <c r="BV16" s="167" t="str">
        <f t="shared" si="15"/>
        <v/>
      </c>
      <c r="BW16" s="165" t="str">
        <f t="shared" si="50"/>
        <v/>
      </c>
      <c r="BX16" s="165" t="str">
        <f t="shared" si="51"/>
        <v/>
      </c>
      <c r="BY16" s="11"/>
      <c r="CB16" s="9"/>
      <c r="CC16" s="9"/>
      <c r="CD16" s="10"/>
      <c r="CE16" s="166" t="str">
        <f t="shared" si="16"/>
        <v/>
      </c>
      <c r="CF16" s="167" t="str">
        <f t="shared" si="17"/>
        <v/>
      </c>
      <c r="CG16" s="165" t="str">
        <f t="shared" si="52"/>
        <v/>
      </c>
      <c r="CH16" s="165" t="str">
        <f t="shared" si="53"/>
        <v/>
      </c>
      <c r="CI16" s="11"/>
      <c r="CL16" s="9"/>
      <c r="CM16" s="9"/>
      <c r="CN16" s="10"/>
      <c r="CO16" s="166" t="str">
        <f t="shared" si="18"/>
        <v/>
      </c>
      <c r="CP16" s="167" t="str">
        <f t="shared" si="19"/>
        <v/>
      </c>
      <c r="CQ16" s="165" t="str">
        <f t="shared" si="54"/>
        <v/>
      </c>
      <c r="CR16" s="165" t="str">
        <f t="shared" si="55"/>
        <v/>
      </c>
      <c r="CS16" s="11"/>
      <c r="CV16" s="9"/>
      <c r="CW16" s="9"/>
      <c r="CX16" s="10"/>
      <c r="CY16" s="166" t="str">
        <f t="shared" si="20"/>
        <v/>
      </c>
      <c r="CZ16" s="167" t="str">
        <f t="shared" si="21"/>
        <v/>
      </c>
      <c r="DA16" s="165" t="str">
        <f t="shared" si="56"/>
        <v/>
      </c>
      <c r="DB16" s="165" t="str">
        <f t="shared" si="57"/>
        <v/>
      </c>
      <c r="DC16" s="11"/>
      <c r="DF16" s="9"/>
      <c r="DG16" s="9"/>
      <c r="DH16" s="10"/>
      <c r="DI16" s="166" t="str">
        <f t="shared" si="22"/>
        <v/>
      </c>
      <c r="DJ16" s="167" t="str">
        <f t="shared" si="23"/>
        <v/>
      </c>
      <c r="DK16" s="165" t="str">
        <f t="shared" si="58"/>
        <v/>
      </c>
      <c r="DL16" s="165" t="str">
        <f t="shared" si="59"/>
        <v/>
      </c>
      <c r="DM16" s="11"/>
      <c r="DP16" s="9"/>
      <c r="DQ16" s="9"/>
      <c r="DR16" s="10"/>
      <c r="DS16" s="166" t="str">
        <f t="shared" si="24"/>
        <v/>
      </c>
      <c r="DT16" s="167" t="str">
        <f t="shared" si="25"/>
        <v/>
      </c>
      <c r="DU16" s="165" t="str">
        <f t="shared" si="60"/>
        <v/>
      </c>
      <c r="DV16" s="165" t="str">
        <f t="shared" si="61"/>
        <v/>
      </c>
      <c r="DW16" s="11"/>
      <c r="DZ16" s="9"/>
      <c r="EA16" s="9"/>
      <c r="EB16" s="10"/>
      <c r="EC16" s="166" t="str">
        <f t="shared" si="26"/>
        <v/>
      </c>
      <c r="ED16" s="167" t="str">
        <f t="shared" si="27"/>
        <v/>
      </c>
      <c r="EE16" s="165" t="str">
        <f t="shared" si="62"/>
        <v/>
      </c>
      <c r="EF16" s="165" t="str">
        <f t="shared" si="63"/>
        <v/>
      </c>
      <c r="EG16" s="11"/>
      <c r="EJ16" s="9"/>
      <c r="EK16" s="9"/>
      <c r="EL16" s="10"/>
      <c r="EM16" s="166" t="str">
        <f t="shared" si="28"/>
        <v/>
      </c>
      <c r="EN16" s="167" t="str">
        <f t="shared" si="29"/>
        <v/>
      </c>
      <c r="EO16" s="165" t="str">
        <f t="shared" si="64"/>
        <v/>
      </c>
      <c r="EP16" s="165" t="str">
        <f t="shared" si="65"/>
        <v/>
      </c>
      <c r="EQ16" s="11"/>
      <c r="ET16" s="9"/>
      <c r="EU16" s="9"/>
      <c r="EV16" s="10"/>
      <c r="EW16" s="166" t="str">
        <f t="shared" si="30"/>
        <v/>
      </c>
      <c r="EX16" s="167" t="str">
        <f t="shared" si="31"/>
        <v/>
      </c>
      <c r="EY16" s="165" t="str">
        <f t="shared" si="66"/>
        <v/>
      </c>
      <c r="EZ16" s="165" t="str">
        <f t="shared" si="67"/>
        <v/>
      </c>
      <c r="FA16" s="11"/>
      <c r="FD16" s="9"/>
      <c r="FE16" s="9"/>
      <c r="FF16" s="10"/>
      <c r="FG16" s="166" t="str">
        <f t="shared" si="32"/>
        <v/>
      </c>
      <c r="FH16" s="167" t="str">
        <f t="shared" si="33"/>
        <v/>
      </c>
      <c r="FI16" s="165" t="str">
        <f t="shared" si="68"/>
        <v/>
      </c>
      <c r="FJ16" s="165" t="str">
        <f t="shared" si="69"/>
        <v/>
      </c>
      <c r="FK16" s="11"/>
      <c r="FN16" s="9"/>
      <c r="FO16" s="9"/>
      <c r="FP16" s="10"/>
      <c r="FQ16" s="166" t="str">
        <f t="shared" si="34"/>
        <v/>
      </c>
      <c r="FR16" s="167" t="str">
        <f t="shared" si="35"/>
        <v/>
      </c>
      <c r="FS16" s="165" t="str">
        <f t="shared" si="70"/>
        <v/>
      </c>
      <c r="FT16" s="165" t="str">
        <f t="shared" si="71"/>
        <v/>
      </c>
      <c r="FU16" s="11"/>
    </row>
    <row r="17" spans="1:177" x14ac:dyDescent="0.3">
      <c r="A17" s="9"/>
      <c r="B17" s="9" t="s">
        <v>300</v>
      </c>
      <c r="C17" s="10">
        <v>1</v>
      </c>
      <c r="D17" s="166">
        <f t="shared" si="0"/>
        <v>4000000</v>
      </c>
      <c r="E17" s="167">
        <f t="shared" si="1"/>
        <v>2.0102000000000002</v>
      </c>
      <c r="F17" s="165">
        <f t="shared" si="36"/>
        <v>8040800.0000000009</v>
      </c>
      <c r="G17" s="165">
        <f t="shared" si="37"/>
        <v>8040800.0000000009</v>
      </c>
      <c r="H17" s="11"/>
      <c r="K17" s="9"/>
      <c r="L17" s="9" t="s">
        <v>300</v>
      </c>
      <c r="M17" s="10">
        <v>1</v>
      </c>
      <c r="N17" s="166">
        <f t="shared" si="2"/>
        <v>4000000</v>
      </c>
      <c r="O17" s="167">
        <f t="shared" si="3"/>
        <v>2.0102000000000002</v>
      </c>
      <c r="P17" s="165">
        <f t="shared" si="38"/>
        <v>8040800.0000000009</v>
      </c>
      <c r="Q17" s="136">
        <f t="shared" si="39"/>
        <v>8040800.0000000009</v>
      </c>
      <c r="R17" s="11"/>
      <c r="U17" s="9"/>
      <c r="V17" s="9" t="s">
        <v>300</v>
      </c>
      <c r="W17" s="10">
        <v>1</v>
      </c>
      <c r="X17" s="166">
        <f t="shared" si="4"/>
        <v>4000000</v>
      </c>
      <c r="Y17" s="167">
        <f t="shared" si="5"/>
        <v>2.0102000000000002</v>
      </c>
      <c r="Z17" s="165">
        <f t="shared" si="40"/>
        <v>8040800.0000000009</v>
      </c>
      <c r="AA17" s="165">
        <f t="shared" si="41"/>
        <v>8040800.0000000009</v>
      </c>
      <c r="AB17" s="11"/>
      <c r="AD17" s="9"/>
      <c r="AE17" s="9" t="s">
        <v>300</v>
      </c>
      <c r="AF17" s="10">
        <v>1</v>
      </c>
      <c r="AG17" s="166">
        <f t="shared" si="6"/>
        <v>4000000</v>
      </c>
      <c r="AH17" s="167">
        <f t="shared" si="7"/>
        <v>2.0102000000000002</v>
      </c>
      <c r="AI17" s="165">
        <f t="shared" si="42"/>
        <v>8040800.0000000009</v>
      </c>
      <c r="AJ17" s="165">
        <f t="shared" si="43"/>
        <v>8040800.0000000009</v>
      </c>
      <c r="AK17" s="11"/>
      <c r="AN17" s="9"/>
      <c r="AO17" s="9"/>
      <c r="AP17" s="10"/>
      <c r="AQ17" s="166" t="str">
        <f t="shared" si="8"/>
        <v/>
      </c>
      <c r="AR17" s="167" t="str">
        <f t="shared" si="9"/>
        <v/>
      </c>
      <c r="AS17" s="165" t="str">
        <f t="shared" si="44"/>
        <v/>
      </c>
      <c r="AT17" s="165" t="str">
        <f t="shared" si="45"/>
        <v/>
      </c>
      <c r="AU17" s="11"/>
      <c r="AX17" s="9"/>
      <c r="AY17" s="9"/>
      <c r="AZ17" s="10"/>
      <c r="BA17" s="166" t="str">
        <f t="shared" si="10"/>
        <v/>
      </c>
      <c r="BB17" s="167" t="str">
        <f t="shared" si="11"/>
        <v/>
      </c>
      <c r="BC17" s="165" t="str">
        <f t="shared" si="46"/>
        <v/>
      </c>
      <c r="BD17" s="165" t="str">
        <f t="shared" si="47"/>
        <v/>
      </c>
      <c r="BE17" s="11"/>
      <c r="BH17" s="9"/>
      <c r="BI17" s="9"/>
      <c r="BJ17" s="10"/>
      <c r="BK17" s="166" t="str">
        <f t="shared" si="12"/>
        <v/>
      </c>
      <c r="BL17" s="167" t="str">
        <f t="shared" si="13"/>
        <v/>
      </c>
      <c r="BM17" s="165" t="str">
        <f t="shared" si="48"/>
        <v/>
      </c>
      <c r="BN17" s="165" t="str">
        <f t="shared" si="49"/>
        <v/>
      </c>
      <c r="BO17" s="11"/>
      <c r="BR17" s="9"/>
      <c r="BS17" s="9"/>
      <c r="BT17" s="10"/>
      <c r="BU17" s="166" t="str">
        <f t="shared" si="14"/>
        <v/>
      </c>
      <c r="BV17" s="167" t="str">
        <f t="shared" si="15"/>
        <v/>
      </c>
      <c r="BW17" s="165" t="str">
        <f t="shared" si="50"/>
        <v/>
      </c>
      <c r="BX17" s="165" t="str">
        <f t="shared" si="51"/>
        <v/>
      </c>
      <c r="BY17" s="11"/>
      <c r="CB17" s="9"/>
      <c r="CC17" s="9"/>
      <c r="CD17" s="10"/>
      <c r="CE17" s="166" t="str">
        <f t="shared" si="16"/>
        <v/>
      </c>
      <c r="CF17" s="167" t="str">
        <f t="shared" si="17"/>
        <v/>
      </c>
      <c r="CG17" s="165" t="str">
        <f t="shared" si="52"/>
        <v/>
      </c>
      <c r="CH17" s="165" t="str">
        <f t="shared" si="53"/>
        <v/>
      </c>
      <c r="CI17" s="11"/>
      <c r="CL17" s="9"/>
      <c r="CM17" s="9"/>
      <c r="CN17" s="10"/>
      <c r="CO17" s="166" t="str">
        <f t="shared" si="18"/>
        <v/>
      </c>
      <c r="CP17" s="167" t="str">
        <f t="shared" si="19"/>
        <v/>
      </c>
      <c r="CQ17" s="165" t="str">
        <f t="shared" si="54"/>
        <v/>
      </c>
      <c r="CR17" s="165" t="str">
        <f t="shared" si="55"/>
        <v/>
      </c>
      <c r="CS17" s="11"/>
      <c r="CV17" s="9"/>
      <c r="CW17" s="9"/>
      <c r="CX17" s="10"/>
      <c r="CY17" s="166" t="str">
        <f t="shared" si="20"/>
        <v/>
      </c>
      <c r="CZ17" s="167" t="str">
        <f t="shared" si="21"/>
        <v/>
      </c>
      <c r="DA17" s="165" t="str">
        <f t="shared" si="56"/>
        <v/>
      </c>
      <c r="DB17" s="165" t="str">
        <f t="shared" si="57"/>
        <v/>
      </c>
      <c r="DC17" s="11"/>
      <c r="DF17" s="9"/>
      <c r="DG17" s="9"/>
      <c r="DH17" s="10"/>
      <c r="DI17" s="166" t="str">
        <f t="shared" si="22"/>
        <v/>
      </c>
      <c r="DJ17" s="167" t="str">
        <f t="shared" si="23"/>
        <v/>
      </c>
      <c r="DK17" s="165" t="str">
        <f t="shared" si="58"/>
        <v/>
      </c>
      <c r="DL17" s="165" t="str">
        <f t="shared" si="59"/>
        <v/>
      </c>
      <c r="DM17" s="11"/>
      <c r="DP17" s="9"/>
      <c r="DQ17" s="9"/>
      <c r="DR17" s="10"/>
      <c r="DS17" s="166" t="str">
        <f t="shared" si="24"/>
        <v/>
      </c>
      <c r="DT17" s="167" t="str">
        <f t="shared" si="25"/>
        <v/>
      </c>
      <c r="DU17" s="165" t="str">
        <f t="shared" si="60"/>
        <v/>
      </c>
      <c r="DV17" s="165" t="str">
        <f t="shared" si="61"/>
        <v/>
      </c>
      <c r="DW17" s="11"/>
      <c r="DZ17" s="9"/>
      <c r="EA17" s="9"/>
      <c r="EB17" s="10"/>
      <c r="EC17" s="166" t="str">
        <f t="shared" si="26"/>
        <v/>
      </c>
      <c r="ED17" s="167" t="str">
        <f t="shared" si="27"/>
        <v/>
      </c>
      <c r="EE17" s="165" t="str">
        <f t="shared" si="62"/>
        <v/>
      </c>
      <c r="EF17" s="165" t="str">
        <f t="shared" si="63"/>
        <v/>
      </c>
      <c r="EG17" s="11"/>
      <c r="EJ17" s="9"/>
      <c r="EK17" s="9"/>
      <c r="EL17" s="10"/>
      <c r="EM17" s="166" t="str">
        <f t="shared" si="28"/>
        <v/>
      </c>
      <c r="EN17" s="167" t="str">
        <f t="shared" si="29"/>
        <v/>
      </c>
      <c r="EO17" s="165" t="str">
        <f t="shared" si="64"/>
        <v/>
      </c>
      <c r="EP17" s="165" t="str">
        <f t="shared" si="65"/>
        <v/>
      </c>
      <c r="EQ17" s="11"/>
      <c r="ET17" s="9"/>
      <c r="EU17" s="9"/>
      <c r="EV17" s="10"/>
      <c r="EW17" s="166" t="str">
        <f t="shared" si="30"/>
        <v/>
      </c>
      <c r="EX17" s="167" t="str">
        <f t="shared" si="31"/>
        <v/>
      </c>
      <c r="EY17" s="165" t="str">
        <f t="shared" si="66"/>
        <v/>
      </c>
      <c r="EZ17" s="165" t="str">
        <f t="shared" si="67"/>
        <v/>
      </c>
      <c r="FA17" s="11"/>
      <c r="FD17" s="9"/>
      <c r="FE17" s="9"/>
      <c r="FF17" s="10"/>
      <c r="FG17" s="166" t="str">
        <f t="shared" si="32"/>
        <v/>
      </c>
      <c r="FH17" s="167" t="str">
        <f t="shared" si="33"/>
        <v/>
      </c>
      <c r="FI17" s="165" t="str">
        <f t="shared" si="68"/>
        <v/>
      </c>
      <c r="FJ17" s="165" t="str">
        <f t="shared" si="69"/>
        <v/>
      </c>
      <c r="FK17" s="11"/>
      <c r="FN17" s="9"/>
      <c r="FO17" s="9"/>
      <c r="FP17" s="10"/>
      <c r="FQ17" s="166" t="str">
        <f t="shared" si="34"/>
        <v/>
      </c>
      <c r="FR17" s="167" t="str">
        <f t="shared" si="35"/>
        <v/>
      </c>
      <c r="FS17" s="165" t="str">
        <f t="shared" si="70"/>
        <v/>
      </c>
      <c r="FT17" s="165" t="str">
        <f t="shared" si="71"/>
        <v/>
      </c>
      <c r="FU17" s="11"/>
    </row>
    <row r="18" spans="1:177" x14ac:dyDescent="0.3">
      <c r="A18" s="9"/>
      <c r="B18" s="9" t="s">
        <v>476</v>
      </c>
      <c r="C18" s="10">
        <v>1</v>
      </c>
      <c r="D18" s="166">
        <f t="shared" si="0"/>
        <v>3000000</v>
      </c>
      <c r="E18" s="167">
        <f t="shared" si="1"/>
        <v>2.1352000000000002</v>
      </c>
      <c r="F18" s="165">
        <f t="shared" si="36"/>
        <v>6405600.0000000009</v>
      </c>
      <c r="G18" s="165">
        <f t="shared" si="37"/>
        <v>6405600.0000000009</v>
      </c>
      <c r="H18" s="11"/>
      <c r="K18" s="9"/>
      <c r="L18" s="9" t="s">
        <v>476</v>
      </c>
      <c r="M18" s="10">
        <v>1</v>
      </c>
      <c r="N18" s="166">
        <f t="shared" si="2"/>
        <v>3000000</v>
      </c>
      <c r="O18" s="167">
        <f t="shared" si="3"/>
        <v>2.1352000000000002</v>
      </c>
      <c r="P18" s="165">
        <f t="shared" si="38"/>
        <v>6405600.0000000009</v>
      </c>
      <c r="Q18" s="136">
        <f t="shared" si="39"/>
        <v>6405600.0000000009</v>
      </c>
      <c r="R18" s="11"/>
      <c r="U18" s="9"/>
      <c r="V18" s="9" t="s">
        <v>476</v>
      </c>
      <c r="W18" s="10">
        <v>1</v>
      </c>
      <c r="X18" s="166">
        <f t="shared" si="4"/>
        <v>3000000</v>
      </c>
      <c r="Y18" s="167">
        <f t="shared" si="5"/>
        <v>2.1352000000000002</v>
      </c>
      <c r="Z18" s="165">
        <f t="shared" si="40"/>
        <v>6405600.0000000009</v>
      </c>
      <c r="AA18" s="165">
        <f t="shared" si="41"/>
        <v>6405600.0000000009</v>
      </c>
      <c r="AB18" s="11"/>
      <c r="AD18" s="9"/>
      <c r="AE18" s="9" t="s">
        <v>476</v>
      </c>
      <c r="AF18" s="10">
        <v>1</v>
      </c>
      <c r="AG18" s="166">
        <f t="shared" si="6"/>
        <v>3000000</v>
      </c>
      <c r="AH18" s="167">
        <f t="shared" si="7"/>
        <v>2.1352000000000002</v>
      </c>
      <c r="AI18" s="165">
        <f t="shared" si="42"/>
        <v>6405600.0000000009</v>
      </c>
      <c r="AJ18" s="165">
        <f t="shared" si="43"/>
        <v>6405600.0000000009</v>
      </c>
      <c r="AK18" s="11"/>
      <c r="AN18" s="9"/>
      <c r="AO18" s="9"/>
      <c r="AP18" s="10"/>
      <c r="AQ18" s="166" t="str">
        <f t="shared" si="8"/>
        <v/>
      </c>
      <c r="AR18" s="167" t="str">
        <f t="shared" si="9"/>
        <v/>
      </c>
      <c r="AS18" s="165" t="str">
        <f t="shared" si="44"/>
        <v/>
      </c>
      <c r="AT18" s="165" t="str">
        <f t="shared" si="45"/>
        <v/>
      </c>
      <c r="AU18" s="11"/>
      <c r="AX18" s="9"/>
      <c r="AY18" s="9"/>
      <c r="AZ18" s="10"/>
      <c r="BA18" s="166" t="str">
        <f t="shared" si="10"/>
        <v/>
      </c>
      <c r="BB18" s="167" t="str">
        <f t="shared" si="11"/>
        <v/>
      </c>
      <c r="BC18" s="165" t="str">
        <f t="shared" si="46"/>
        <v/>
      </c>
      <c r="BD18" s="165" t="str">
        <f t="shared" si="47"/>
        <v/>
      </c>
      <c r="BE18" s="11"/>
      <c r="BH18" s="9"/>
      <c r="BI18" s="9"/>
      <c r="BJ18" s="10"/>
      <c r="BK18" s="166" t="str">
        <f t="shared" si="12"/>
        <v/>
      </c>
      <c r="BL18" s="167" t="str">
        <f t="shared" si="13"/>
        <v/>
      </c>
      <c r="BM18" s="165" t="str">
        <f t="shared" si="48"/>
        <v/>
      </c>
      <c r="BN18" s="165" t="str">
        <f t="shared" si="49"/>
        <v/>
      </c>
      <c r="BO18" s="11"/>
      <c r="BR18" s="9"/>
      <c r="BS18" s="9"/>
      <c r="BT18" s="10"/>
      <c r="BU18" s="166" t="str">
        <f t="shared" si="14"/>
        <v/>
      </c>
      <c r="BV18" s="167" t="str">
        <f t="shared" si="15"/>
        <v/>
      </c>
      <c r="BW18" s="165" t="str">
        <f t="shared" si="50"/>
        <v/>
      </c>
      <c r="BX18" s="165" t="str">
        <f t="shared" si="51"/>
        <v/>
      </c>
      <c r="BY18" s="11"/>
      <c r="CB18" s="9"/>
      <c r="CC18" s="9"/>
      <c r="CD18" s="10"/>
      <c r="CE18" s="166" t="str">
        <f t="shared" si="16"/>
        <v/>
      </c>
      <c r="CF18" s="167" t="str">
        <f t="shared" si="17"/>
        <v/>
      </c>
      <c r="CG18" s="165" t="str">
        <f t="shared" si="52"/>
        <v/>
      </c>
      <c r="CH18" s="165" t="str">
        <f t="shared" si="53"/>
        <v/>
      </c>
      <c r="CI18" s="11"/>
      <c r="CL18" s="9"/>
      <c r="CM18" s="9"/>
      <c r="CN18" s="10"/>
      <c r="CO18" s="166" t="str">
        <f t="shared" si="18"/>
        <v/>
      </c>
      <c r="CP18" s="167" t="str">
        <f t="shared" si="19"/>
        <v/>
      </c>
      <c r="CQ18" s="165" t="str">
        <f t="shared" si="54"/>
        <v/>
      </c>
      <c r="CR18" s="165" t="str">
        <f t="shared" si="55"/>
        <v/>
      </c>
      <c r="CS18" s="11"/>
      <c r="CV18" s="9"/>
      <c r="CW18" s="9"/>
      <c r="CX18" s="10"/>
      <c r="CY18" s="166" t="str">
        <f t="shared" si="20"/>
        <v/>
      </c>
      <c r="CZ18" s="167" t="str">
        <f t="shared" si="21"/>
        <v/>
      </c>
      <c r="DA18" s="165" t="str">
        <f t="shared" si="56"/>
        <v/>
      </c>
      <c r="DB18" s="165" t="str">
        <f t="shared" si="57"/>
        <v/>
      </c>
      <c r="DC18" s="11"/>
      <c r="DF18" s="9"/>
      <c r="DG18" s="9"/>
      <c r="DH18" s="10"/>
      <c r="DI18" s="166" t="str">
        <f t="shared" si="22"/>
        <v/>
      </c>
      <c r="DJ18" s="167" t="str">
        <f t="shared" si="23"/>
        <v/>
      </c>
      <c r="DK18" s="165" t="str">
        <f t="shared" si="58"/>
        <v/>
      </c>
      <c r="DL18" s="165" t="str">
        <f t="shared" si="59"/>
        <v/>
      </c>
      <c r="DM18" s="11"/>
      <c r="DP18" s="9"/>
      <c r="DQ18" s="9"/>
      <c r="DR18" s="10"/>
      <c r="DS18" s="166" t="str">
        <f t="shared" si="24"/>
        <v/>
      </c>
      <c r="DT18" s="167" t="str">
        <f t="shared" si="25"/>
        <v/>
      </c>
      <c r="DU18" s="165" t="str">
        <f t="shared" si="60"/>
        <v/>
      </c>
      <c r="DV18" s="165" t="str">
        <f t="shared" si="61"/>
        <v/>
      </c>
      <c r="DW18" s="11"/>
      <c r="DZ18" s="9"/>
      <c r="EA18" s="9"/>
      <c r="EB18" s="10"/>
      <c r="EC18" s="166" t="str">
        <f t="shared" si="26"/>
        <v/>
      </c>
      <c r="ED18" s="167" t="str">
        <f t="shared" si="27"/>
        <v/>
      </c>
      <c r="EE18" s="165" t="str">
        <f t="shared" si="62"/>
        <v/>
      </c>
      <c r="EF18" s="165" t="str">
        <f t="shared" si="63"/>
        <v/>
      </c>
      <c r="EG18" s="11"/>
      <c r="EJ18" s="9"/>
      <c r="EK18" s="9"/>
      <c r="EL18" s="10"/>
      <c r="EM18" s="166" t="str">
        <f t="shared" si="28"/>
        <v/>
      </c>
      <c r="EN18" s="167" t="str">
        <f t="shared" si="29"/>
        <v/>
      </c>
      <c r="EO18" s="165" t="str">
        <f t="shared" si="64"/>
        <v/>
      </c>
      <c r="EP18" s="165" t="str">
        <f t="shared" si="65"/>
        <v/>
      </c>
      <c r="EQ18" s="11"/>
      <c r="ET18" s="9"/>
      <c r="EU18" s="9"/>
      <c r="EV18" s="10"/>
      <c r="EW18" s="166" t="str">
        <f t="shared" si="30"/>
        <v/>
      </c>
      <c r="EX18" s="167" t="str">
        <f t="shared" si="31"/>
        <v/>
      </c>
      <c r="EY18" s="165" t="str">
        <f t="shared" si="66"/>
        <v/>
      </c>
      <c r="EZ18" s="165" t="str">
        <f t="shared" si="67"/>
        <v/>
      </c>
      <c r="FA18" s="11"/>
      <c r="FD18" s="9"/>
      <c r="FE18" s="9"/>
      <c r="FF18" s="10"/>
      <c r="FG18" s="166" t="str">
        <f t="shared" si="32"/>
        <v/>
      </c>
      <c r="FH18" s="167" t="str">
        <f t="shared" si="33"/>
        <v/>
      </c>
      <c r="FI18" s="165" t="str">
        <f t="shared" si="68"/>
        <v/>
      </c>
      <c r="FJ18" s="165" t="str">
        <f t="shared" si="69"/>
        <v/>
      </c>
      <c r="FK18" s="11"/>
      <c r="FN18" s="9"/>
      <c r="FO18" s="9"/>
      <c r="FP18" s="10"/>
      <c r="FQ18" s="166" t="str">
        <f t="shared" si="34"/>
        <v/>
      </c>
      <c r="FR18" s="167" t="str">
        <f t="shared" si="35"/>
        <v/>
      </c>
      <c r="FS18" s="165" t="str">
        <f t="shared" si="70"/>
        <v/>
      </c>
      <c r="FT18" s="165" t="str">
        <f t="shared" si="71"/>
        <v/>
      </c>
      <c r="FU18" s="11"/>
    </row>
    <row r="19" spans="1:177" x14ac:dyDescent="0.3">
      <c r="A19" s="9"/>
      <c r="B19" s="9" t="s">
        <v>312</v>
      </c>
      <c r="C19" s="10">
        <v>0.5</v>
      </c>
      <c r="D19" s="166">
        <f t="shared" si="0"/>
        <v>3800000</v>
      </c>
      <c r="E19" s="167">
        <f t="shared" si="1"/>
        <v>2.029936842105263</v>
      </c>
      <c r="F19" s="165">
        <f t="shared" si="36"/>
        <v>7713760</v>
      </c>
      <c r="G19" s="165">
        <f t="shared" si="37"/>
        <v>3856880</v>
      </c>
      <c r="H19" s="11"/>
      <c r="K19" s="9"/>
      <c r="L19" s="9" t="s">
        <v>312</v>
      </c>
      <c r="M19" s="10">
        <v>0.5</v>
      </c>
      <c r="N19" s="166">
        <f t="shared" si="2"/>
        <v>3800000</v>
      </c>
      <c r="O19" s="167">
        <f t="shared" si="3"/>
        <v>2.029936842105263</v>
      </c>
      <c r="P19" s="165">
        <f t="shared" si="38"/>
        <v>7713760</v>
      </c>
      <c r="Q19" s="136">
        <f t="shared" si="39"/>
        <v>3856880</v>
      </c>
      <c r="R19" s="11"/>
      <c r="U19" s="9"/>
      <c r="V19" s="9" t="s">
        <v>312</v>
      </c>
      <c r="W19" s="10">
        <v>0.5</v>
      </c>
      <c r="X19" s="166">
        <f t="shared" si="4"/>
        <v>3800000</v>
      </c>
      <c r="Y19" s="167">
        <f t="shared" si="5"/>
        <v>2.029936842105263</v>
      </c>
      <c r="Z19" s="165">
        <f t="shared" si="40"/>
        <v>7713760</v>
      </c>
      <c r="AA19" s="165">
        <f t="shared" si="41"/>
        <v>3856880</v>
      </c>
      <c r="AB19" s="11"/>
      <c r="AD19" s="9"/>
      <c r="AE19" s="9" t="s">
        <v>312</v>
      </c>
      <c r="AF19" s="10">
        <v>0.5</v>
      </c>
      <c r="AG19" s="166">
        <f t="shared" si="6"/>
        <v>3800000</v>
      </c>
      <c r="AH19" s="167">
        <f t="shared" si="7"/>
        <v>2.029936842105263</v>
      </c>
      <c r="AI19" s="165">
        <f t="shared" si="42"/>
        <v>7713760</v>
      </c>
      <c r="AJ19" s="165">
        <f t="shared" si="43"/>
        <v>3856880</v>
      </c>
      <c r="AK19" s="11"/>
      <c r="AN19" s="9"/>
      <c r="AO19" s="9"/>
      <c r="AP19" s="10"/>
      <c r="AQ19" s="166" t="str">
        <f t="shared" si="8"/>
        <v/>
      </c>
      <c r="AR19" s="167" t="str">
        <f t="shared" si="9"/>
        <v/>
      </c>
      <c r="AS19" s="165" t="str">
        <f t="shared" si="44"/>
        <v/>
      </c>
      <c r="AT19" s="165" t="str">
        <f t="shared" si="45"/>
        <v/>
      </c>
      <c r="AU19" s="11"/>
      <c r="AX19" s="9"/>
      <c r="AY19" s="9"/>
      <c r="AZ19" s="10"/>
      <c r="BA19" s="166" t="str">
        <f t="shared" si="10"/>
        <v/>
      </c>
      <c r="BB19" s="167" t="str">
        <f t="shared" si="11"/>
        <v/>
      </c>
      <c r="BC19" s="165" t="str">
        <f t="shared" si="46"/>
        <v/>
      </c>
      <c r="BD19" s="165" t="str">
        <f t="shared" si="47"/>
        <v/>
      </c>
      <c r="BE19" s="11"/>
      <c r="BH19" s="9"/>
      <c r="BI19" s="9"/>
      <c r="BJ19" s="10"/>
      <c r="BK19" s="166" t="str">
        <f t="shared" si="12"/>
        <v/>
      </c>
      <c r="BL19" s="167" t="str">
        <f t="shared" si="13"/>
        <v/>
      </c>
      <c r="BM19" s="165" t="str">
        <f t="shared" si="48"/>
        <v/>
      </c>
      <c r="BN19" s="165" t="str">
        <f t="shared" si="49"/>
        <v/>
      </c>
      <c r="BO19" s="11"/>
      <c r="BR19" s="9"/>
      <c r="BS19" s="9"/>
      <c r="BT19" s="10"/>
      <c r="BU19" s="166" t="str">
        <f t="shared" si="14"/>
        <v/>
      </c>
      <c r="BV19" s="167" t="str">
        <f t="shared" si="15"/>
        <v/>
      </c>
      <c r="BW19" s="165" t="str">
        <f t="shared" si="50"/>
        <v/>
      </c>
      <c r="BX19" s="165" t="str">
        <f t="shared" si="51"/>
        <v/>
      </c>
      <c r="BY19" s="11"/>
      <c r="CB19" s="9"/>
      <c r="CC19" s="9"/>
      <c r="CD19" s="10"/>
      <c r="CE19" s="166" t="str">
        <f t="shared" si="16"/>
        <v/>
      </c>
      <c r="CF19" s="167" t="str">
        <f t="shared" si="17"/>
        <v/>
      </c>
      <c r="CG19" s="165" t="str">
        <f t="shared" si="52"/>
        <v/>
      </c>
      <c r="CH19" s="165" t="str">
        <f t="shared" si="53"/>
        <v/>
      </c>
      <c r="CI19" s="11"/>
      <c r="CL19" s="9"/>
      <c r="CM19" s="9"/>
      <c r="CN19" s="10"/>
      <c r="CO19" s="166" t="str">
        <f t="shared" si="18"/>
        <v/>
      </c>
      <c r="CP19" s="167" t="str">
        <f t="shared" si="19"/>
        <v/>
      </c>
      <c r="CQ19" s="165" t="str">
        <f t="shared" si="54"/>
        <v/>
      </c>
      <c r="CR19" s="165" t="str">
        <f t="shared" si="55"/>
        <v/>
      </c>
      <c r="CS19" s="11"/>
      <c r="CV19" s="9"/>
      <c r="CW19" s="9"/>
      <c r="CX19" s="10"/>
      <c r="CY19" s="166" t="str">
        <f t="shared" si="20"/>
        <v/>
      </c>
      <c r="CZ19" s="167" t="str">
        <f t="shared" si="21"/>
        <v/>
      </c>
      <c r="DA19" s="165" t="str">
        <f t="shared" si="56"/>
        <v/>
      </c>
      <c r="DB19" s="165" t="str">
        <f t="shared" si="57"/>
        <v/>
      </c>
      <c r="DC19" s="11"/>
      <c r="DF19" s="9"/>
      <c r="DG19" s="9"/>
      <c r="DH19" s="10"/>
      <c r="DI19" s="166" t="str">
        <f t="shared" si="22"/>
        <v/>
      </c>
      <c r="DJ19" s="167" t="str">
        <f t="shared" si="23"/>
        <v/>
      </c>
      <c r="DK19" s="165" t="str">
        <f t="shared" si="58"/>
        <v/>
      </c>
      <c r="DL19" s="165" t="str">
        <f t="shared" si="59"/>
        <v/>
      </c>
      <c r="DM19" s="11"/>
      <c r="DP19" s="9"/>
      <c r="DQ19" s="9"/>
      <c r="DR19" s="10"/>
      <c r="DS19" s="166" t="str">
        <f t="shared" si="24"/>
        <v/>
      </c>
      <c r="DT19" s="167" t="str">
        <f t="shared" si="25"/>
        <v/>
      </c>
      <c r="DU19" s="165" t="str">
        <f t="shared" si="60"/>
        <v/>
      </c>
      <c r="DV19" s="165" t="str">
        <f t="shared" si="61"/>
        <v/>
      </c>
      <c r="DW19" s="11"/>
      <c r="DZ19" s="9"/>
      <c r="EA19" s="9"/>
      <c r="EB19" s="10"/>
      <c r="EC19" s="166" t="str">
        <f t="shared" si="26"/>
        <v/>
      </c>
      <c r="ED19" s="167" t="str">
        <f t="shared" si="27"/>
        <v/>
      </c>
      <c r="EE19" s="165" t="str">
        <f t="shared" si="62"/>
        <v/>
      </c>
      <c r="EF19" s="165" t="str">
        <f t="shared" si="63"/>
        <v/>
      </c>
      <c r="EG19" s="11"/>
      <c r="EJ19" s="9"/>
      <c r="EK19" s="9"/>
      <c r="EL19" s="10"/>
      <c r="EM19" s="166" t="str">
        <f t="shared" si="28"/>
        <v/>
      </c>
      <c r="EN19" s="167" t="str">
        <f t="shared" si="29"/>
        <v/>
      </c>
      <c r="EO19" s="165" t="str">
        <f t="shared" si="64"/>
        <v/>
      </c>
      <c r="EP19" s="165" t="str">
        <f t="shared" si="65"/>
        <v/>
      </c>
      <c r="EQ19" s="11"/>
      <c r="ET19" s="9"/>
      <c r="EU19" s="9"/>
      <c r="EV19" s="10"/>
      <c r="EW19" s="166" t="str">
        <f t="shared" si="30"/>
        <v/>
      </c>
      <c r="EX19" s="167" t="str">
        <f t="shared" si="31"/>
        <v/>
      </c>
      <c r="EY19" s="165" t="str">
        <f t="shared" si="66"/>
        <v/>
      </c>
      <c r="EZ19" s="165" t="str">
        <f t="shared" si="67"/>
        <v/>
      </c>
      <c r="FA19" s="11"/>
      <c r="FD19" s="9"/>
      <c r="FE19" s="9"/>
      <c r="FF19" s="10"/>
      <c r="FG19" s="166" t="str">
        <f t="shared" si="32"/>
        <v/>
      </c>
      <c r="FH19" s="167" t="str">
        <f t="shared" si="33"/>
        <v/>
      </c>
      <c r="FI19" s="165" t="str">
        <f t="shared" si="68"/>
        <v/>
      </c>
      <c r="FJ19" s="165" t="str">
        <f t="shared" si="69"/>
        <v/>
      </c>
      <c r="FK19" s="11"/>
      <c r="FN19" s="9"/>
      <c r="FO19" s="9"/>
      <c r="FP19" s="10"/>
      <c r="FQ19" s="166" t="str">
        <f t="shared" si="34"/>
        <v/>
      </c>
      <c r="FR19" s="167" t="str">
        <f t="shared" si="35"/>
        <v/>
      </c>
      <c r="FS19" s="165" t="str">
        <f t="shared" si="70"/>
        <v/>
      </c>
      <c r="FT19" s="165" t="str">
        <f t="shared" si="71"/>
        <v/>
      </c>
      <c r="FU19" s="11"/>
    </row>
    <row r="20" spans="1:177" x14ac:dyDescent="0.3">
      <c r="A20" s="9"/>
      <c r="B20" s="9" t="s">
        <v>477</v>
      </c>
      <c r="C20" s="10">
        <v>1</v>
      </c>
      <c r="D20" s="166">
        <f t="shared" si="0"/>
        <v>1400000</v>
      </c>
      <c r="E20" s="167">
        <f t="shared" si="1"/>
        <v>1.6352</v>
      </c>
      <c r="F20" s="165">
        <f t="shared" si="36"/>
        <v>2289280</v>
      </c>
      <c r="G20" s="165">
        <f t="shared" si="37"/>
        <v>2289280</v>
      </c>
      <c r="H20" s="11"/>
      <c r="K20" s="9"/>
      <c r="L20" s="9" t="s">
        <v>477</v>
      </c>
      <c r="M20" s="10">
        <v>1</v>
      </c>
      <c r="N20" s="166">
        <f t="shared" si="2"/>
        <v>1400000</v>
      </c>
      <c r="O20" s="167">
        <f t="shared" si="3"/>
        <v>1.6352</v>
      </c>
      <c r="P20" s="165">
        <f t="shared" si="38"/>
        <v>2289280</v>
      </c>
      <c r="Q20" s="136">
        <f t="shared" si="39"/>
        <v>2289280</v>
      </c>
      <c r="R20" s="11"/>
      <c r="U20" s="9"/>
      <c r="V20" s="9" t="s">
        <v>477</v>
      </c>
      <c r="W20" s="10">
        <v>1</v>
      </c>
      <c r="X20" s="166">
        <f t="shared" si="4"/>
        <v>1400000</v>
      </c>
      <c r="Y20" s="167">
        <f t="shared" si="5"/>
        <v>1.6352</v>
      </c>
      <c r="Z20" s="165">
        <f t="shared" si="40"/>
        <v>2289280</v>
      </c>
      <c r="AA20" s="165">
        <f t="shared" si="41"/>
        <v>2289280</v>
      </c>
      <c r="AB20" s="11"/>
      <c r="AD20" s="9"/>
      <c r="AE20" s="9" t="s">
        <v>477</v>
      </c>
      <c r="AF20" s="10">
        <v>1</v>
      </c>
      <c r="AG20" s="166">
        <f t="shared" si="6"/>
        <v>1400000</v>
      </c>
      <c r="AH20" s="167">
        <f t="shared" si="7"/>
        <v>1.6352</v>
      </c>
      <c r="AI20" s="165">
        <f t="shared" si="42"/>
        <v>2289280</v>
      </c>
      <c r="AJ20" s="165">
        <f t="shared" si="43"/>
        <v>2289280</v>
      </c>
      <c r="AK20" s="11"/>
      <c r="AN20" s="9"/>
      <c r="AO20" s="9"/>
      <c r="AP20" s="10"/>
      <c r="AQ20" s="166" t="str">
        <f t="shared" si="8"/>
        <v/>
      </c>
      <c r="AR20" s="167" t="str">
        <f t="shared" si="9"/>
        <v/>
      </c>
      <c r="AS20" s="165" t="str">
        <f t="shared" si="44"/>
        <v/>
      </c>
      <c r="AT20" s="165" t="str">
        <f t="shared" si="45"/>
        <v/>
      </c>
      <c r="AU20" s="11"/>
      <c r="AX20" s="9"/>
      <c r="AY20" s="9"/>
      <c r="AZ20" s="10"/>
      <c r="BA20" s="166" t="str">
        <f t="shared" si="10"/>
        <v/>
      </c>
      <c r="BB20" s="167" t="str">
        <f t="shared" si="11"/>
        <v/>
      </c>
      <c r="BC20" s="165" t="str">
        <f t="shared" si="46"/>
        <v/>
      </c>
      <c r="BD20" s="165" t="str">
        <f t="shared" si="47"/>
        <v/>
      </c>
      <c r="BE20" s="11"/>
      <c r="BH20" s="9"/>
      <c r="BI20" s="9"/>
      <c r="BJ20" s="10"/>
      <c r="BK20" s="166" t="str">
        <f t="shared" si="12"/>
        <v/>
      </c>
      <c r="BL20" s="167" t="str">
        <f t="shared" si="13"/>
        <v/>
      </c>
      <c r="BM20" s="165" t="str">
        <f t="shared" si="48"/>
        <v/>
      </c>
      <c r="BN20" s="165" t="str">
        <f t="shared" si="49"/>
        <v/>
      </c>
      <c r="BO20" s="11"/>
      <c r="BR20" s="9"/>
      <c r="BS20" s="9"/>
      <c r="BT20" s="10"/>
      <c r="BU20" s="166" t="str">
        <f t="shared" si="14"/>
        <v/>
      </c>
      <c r="BV20" s="167" t="str">
        <f t="shared" si="15"/>
        <v/>
      </c>
      <c r="BW20" s="165" t="str">
        <f t="shared" si="50"/>
        <v/>
      </c>
      <c r="BX20" s="165" t="str">
        <f t="shared" si="51"/>
        <v/>
      </c>
      <c r="BY20" s="11"/>
      <c r="CB20" s="9"/>
      <c r="CC20" s="9"/>
      <c r="CD20" s="10"/>
      <c r="CE20" s="166" t="str">
        <f t="shared" si="16"/>
        <v/>
      </c>
      <c r="CF20" s="167" t="str">
        <f t="shared" si="17"/>
        <v/>
      </c>
      <c r="CG20" s="165" t="str">
        <f t="shared" si="52"/>
        <v/>
      </c>
      <c r="CH20" s="165" t="str">
        <f t="shared" si="53"/>
        <v/>
      </c>
      <c r="CI20" s="11"/>
      <c r="CL20" s="9"/>
      <c r="CM20" s="9"/>
      <c r="CN20" s="10"/>
      <c r="CO20" s="166" t="str">
        <f t="shared" si="18"/>
        <v/>
      </c>
      <c r="CP20" s="167" t="str">
        <f t="shared" si="19"/>
        <v/>
      </c>
      <c r="CQ20" s="165" t="str">
        <f t="shared" si="54"/>
        <v/>
      </c>
      <c r="CR20" s="165" t="str">
        <f t="shared" si="55"/>
        <v/>
      </c>
      <c r="CS20" s="11"/>
      <c r="CV20" s="9"/>
      <c r="CW20" s="9"/>
      <c r="CX20" s="10"/>
      <c r="CY20" s="166" t="str">
        <f t="shared" si="20"/>
        <v/>
      </c>
      <c r="CZ20" s="167" t="str">
        <f t="shared" si="21"/>
        <v/>
      </c>
      <c r="DA20" s="165" t="str">
        <f t="shared" si="56"/>
        <v/>
      </c>
      <c r="DB20" s="165" t="str">
        <f t="shared" si="57"/>
        <v/>
      </c>
      <c r="DC20" s="11"/>
      <c r="DF20" s="9"/>
      <c r="DG20" s="9"/>
      <c r="DH20" s="10"/>
      <c r="DI20" s="166" t="str">
        <f t="shared" si="22"/>
        <v/>
      </c>
      <c r="DJ20" s="167" t="str">
        <f t="shared" si="23"/>
        <v/>
      </c>
      <c r="DK20" s="165" t="str">
        <f t="shared" si="58"/>
        <v/>
      </c>
      <c r="DL20" s="165" t="str">
        <f t="shared" si="59"/>
        <v/>
      </c>
      <c r="DM20" s="11"/>
      <c r="DP20" s="9"/>
      <c r="DQ20" s="9"/>
      <c r="DR20" s="10"/>
      <c r="DS20" s="166" t="str">
        <f t="shared" si="24"/>
        <v/>
      </c>
      <c r="DT20" s="167" t="str">
        <f t="shared" si="25"/>
        <v/>
      </c>
      <c r="DU20" s="165" t="str">
        <f t="shared" si="60"/>
        <v/>
      </c>
      <c r="DV20" s="165" t="str">
        <f t="shared" si="61"/>
        <v/>
      </c>
      <c r="DW20" s="11"/>
      <c r="DZ20" s="9"/>
      <c r="EA20" s="9"/>
      <c r="EB20" s="10"/>
      <c r="EC20" s="166" t="str">
        <f t="shared" si="26"/>
        <v/>
      </c>
      <c r="ED20" s="167" t="str">
        <f t="shared" si="27"/>
        <v/>
      </c>
      <c r="EE20" s="165" t="str">
        <f t="shared" si="62"/>
        <v/>
      </c>
      <c r="EF20" s="165" t="str">
        <f t="shared" si="63"/>
        <v/>
      </c>
      <c r="EG20" s="11"/>
      <c r="EJ20" s="9"/>
      <c r="EK20" s="9"/>
      <c r="EL20" s="10"/>
      <c r="EM20" s="166" t="str">
        <f t="shared" si="28"/>
        <v/>
      </c>
      <c r="EN20" s="167" t="str">
        <f t="shared" si="29"/>
        <v/>
      </c>
      <c r="EO20" s="165" t="str">
        <f t="shared" si="64"/>
        <v/>
      </c>
      <c r="EP20" s="165" t="str">
        <f t="shared" si="65"/>
        <v/>
      </c>
      <c r="EQ20" s="11"/>
      <c r="ET20" s="9"/>
      <c r="EU20" s="9"/>
      <c r="EV20" s="10"/>
      <c r="EW20" s="166" t="str">
        <f t="shared" si="30"/>
        <v/>
      </c>
      <c r="EX20" s="167" t="str">
        <f t="shared" si="31"/>
        <v/>
      </c>
      <c r="EY20" s="165" t="str">
        <f t="shared" si="66"/>
        <v/>
      </c>
      <c r="EZ20" s="165" t="str">
        <f t="shared" si="67"/>
        <v/>
      </c>
      <c r="FA20" s="11"/>
      <c r="FD20" s="9"/>
      <c r="FE20" s="9"/>
      <c r="FF20" s="10"/>
      <c r="FG20" s="166" t="str">
        <f t="shared" si="32"/>
        <v/>
      </c>
      <c r="FH20" s="167" t="str">
        <f t="shared" si="33"/>
        <v/>
      </c>
      <c r="FI20" s="165" t="str">
        <f t="shared" si="68"/>
        <v/>
      </c>
      <c r="FJ20" s="165" t="str">
        <f t="shared" si="69"/>
        <v/>
      </c>
      <c r="FK20" s="11"/>
      <c r="FN20" s="9"/>
      <c r="FO20" s="9"/>
      <c r="FP20" s="10"/>
      <c r="FQ20" s="166" t="str">
        <f t="shared" si="34"/>
        <v/>
      </c>
      <c r="FR20" s="167" t="str">
        <f t="shared" si="35"/>
        <v/>
      </c>
      <c r="FS20" s="165" t="str">
        <f t="shared" si="70"/>
        <v/>
      </c>
      <c r="FT20" s="165" t="str">
        <f t="shared" si="71"/>
        <v/>
      </c>
      <c r="FU20" s="11"/>
    </row>
    <row r="21" spans="1:177" x14ac:dyDescent="0.3">
      <c r="A21" s="9"/>
      <c r="B21" s="9" t="s">
        <v>310</v>
      </c>
      <c r="C21" s="10">
        <v>1</v>
      </c>
      <c r="D21" s="166">
        <f t="shared" si="0"/>
        <v>3000000</v>
      </c>
      <c r="E21" s="167">
        <f t="shared" si="1"/>
        <v>2.1352000000000002</v>
      </c>
      <c r="F21" s="165">
        <f t="shared" si="36"/>
        <v>6405600.0000000009</v>
      </c>
      <c r="G21" s="165">
        <f t="shared" si="37"/>
        <v>6405600.0000000009</v>
      </c>
      <c r="H21" s="11"/>
      <c r="K21" s="9"/>
      <c r="L21" s="9" t="s">
        <v>310</v>
      </c>
      <c r="M21" s="10">
        <v>1</v>
      </c>
      <c r="N21" s="166">
        <f t="shared" si="2"/>
        <v>3000000</v>
      </c>
      <c r="O21" s="167">
        <f t="shared" si="3"/>
        <v>2.1352000000000002</v>
      </c>
      <c r="P21" s="165">
        <f t="shared" si="38"/>
        <v>6405600.0000000009</v>
      </c>
      <c r="Q21" s="136">
        <f t="shared" si="39"/>
        <v>6405600.0000000009</v>
      </c>
      <c r="R21" s="11"/>
      <c r="U21" s="9"/>
      <c r="V21" s="9" t="s">
        <v>310</v>
      </c>
      <c r="W21" s="10">
        <v>1</v>
      </c>
      <c r="X21" s="166">
        <f t="shared" si="4"/>
        <v>3000000</v>
      </c>
      <c r="Y21" s="167">
        <f t="shared" si="5"/>
        <v>2.1352000000000002</v>
      </c>
      <c r="Z21" s="165">
        <f t="shared" si="40"/>
        <v>6405600.0000000009</v>
      </c>
      <c r="AA21" s="165">
        <f t="shared" si="41"/>
        <v>6405600.0000000009</v>
      </c>
      <c r="AB21" s="11"/>
      <c r="AD21" s="9"/>
      <c r="AE21" s="9" t="s">
        <v>310</v>
      </c>
      <c r="AF21" s="10">
        <v>1</v>
      </c>
      <c r="AG21" s="166">
        <f t="shared" si="6"/>
        <v>3000000</v>
      </c>
      <c r="AH21" s="167">
        <f t="shared" si="7"/>
        <v>2.1352000000000002</v>
      </c>
      <c r="AI21" s="165">
        <f t="shared" si="42"/>
        <v>6405600.0000000009</v>
      </c>
      <c r="AJ21" s="165">
        <f t="shared" si="43"/>
        <v>6405600.0000000009</v>
      </c>
      <c r="AK21" s="11"/>
      <c r="AN21" s="9"/>
      <c r="AO21" s="9"/>
      <c r="AP21" s="10"/>
      <c r="AQ21" s="166" t="str">
        <f t="shared" si="8"/>
        <v/>
      </c>
      <c r="AR21" s="167" t="str">
        <f t="shared" si="9"/>
        <v/>
      </c>
      <c r="AS21" s="165" t="str">
        <f t="shared" si="44"/>
        <v/>
      </c>
      <c r="AT21" s="165" t="str">
        <f t="shared" si="45"/>
        <v/>
      </c>
      <c r="AU21" s="11"/>
      <c r="AX21" s="9"/>
      <c r="AY21" s="9"/>
      <c r="AZ21" s="10"/>
      <c r="BA21" s="166" t="str">
        <f t="shared" si="10"/>
        <v/>
      </c>
      <c r="BB21" s="167" t="str">
        <f t="shared" si="11"/>
        <v/>
      </c>
      <c r="BC21" s="165" t="str">
        <f t="shared" si="46"/>
        <v/>
      </c>
      <c r="BD21" s="165" t="str">
        <f t="shared" si="47"/>
        <v/>
      </c>
      <c r="BE21" s="11"/>
      <c r="BH21" s="9"/>
      <c r="BI21" s="9"/>
      <c r="BJ21" s="10"/>
      <c r="BK21" s="166" t="str">
        <f t="shared" si="12"/>
        <v/>
      </c>
      <c r="BL21" s="167" t="str">
        <f t="shared" si="13"/>
        <v/>
      </c>
      <c r="BM21" s="165" t="str">
        <f t="shared" si="48"/>
        <v/>
      </c>
      <c r="BN21" s="165" t="str">
        <f t="shared" si="49"/>
        <v/>
      </c>
      <c r="BO21" s="11"/>
      <c r="BR21" s="9"/>
      <c r="BS21" s="9"/>
      <c r="BT21" s="10"/>
      <c r="BU21" s="166" t="str">
        <f t="shared" si="14"/>
        <v/>
      </c>
      <c r="BV21" s="167" t="str">
        <f t="shared" si="15"/>
        <v/>
      </c>
      <c r="BW21" s="165" t="str">
        <f t="shared" si="50"/>
        <v/>
      </c>
      <c r="BX21" s="165" t="str">
        <f t="shared" si="51"/>
        <v/>
      </c>
      <c r="BY21" s="11"/>
      <c r="CB21" s="9"/>
      <c r="CC21" s="9"/>
      <c r="CD21" s="10"/>
      <c r="CE21" s="166" t="str">
        <f t="shared" si="16"/>
        <v/>
      </c>
      <c r="CF21" s="167" t="str">
        <f t="shared" si="17"/>
        <v/>
      </c>
      <c r="CG21" s="165" t="str">
        <f t="shared" si="52"/>
        <v/>
      </c>
      <c r="CH21" s="165" t="str">
        <f t="shared" si="53"/>
        <v/>
      </c>
      <c r="CI21" s="11"/>
      <c r="CL21" s="9"/>
      <c r="CM21" s="9"/>
      <c r="CN21" s="10"/>
      <c r="CO21" s="166" t="str">
        <f t="shared" si="18"/>
        <v/>
      </c>
      <c r="CP21" s="167" t="str">
        <f t="shared" si="19"/>
        <v/>
      </c>
      <c r="CQ21" s="165" t="str">
        <f t="shared" si="54"/>
        <v/>
      </c>
      <c r="CR21" s="165" t="str">
        <f t="shared" si="55"/>
        <v/>
      </c>
      <c r="CS21" s="11"/>
      <c r="CV21" s="9"/>
      <c r="CW21" s="9"/>
      <c r="CX21" s="10"/>
      <c r="CY21" s="166" t="str">
        <f t="shared" si="20"/>
        <v/>
      </c>
      <c r="CZ21" s="167" t="str">
        <f t="shared" si="21"/>
        <v/>
      </c>
      <c r="DA21" s="165" t="str">
        <f t="shared" si="56"/>
        <v/>
      </c>
      <c r="DB21" s="165" t="str">
        <f t="shared" si="57"/>
        <v/>
      </c>
      <c r="DC21" s="11"/>
      <c r="DF21" s="9"/>
      <c r="DG21" s="9"/>
      <c r="DH21" s="10"/>
      <c r="DI21" s="166" t="str">
        <f t="shared" si="22"/>
        <v/>
      </c>
      <c r="DJ21" s="167" t="str">
        <f t="shared" si="23"/>
        <v/>
      </c>
      <c r="DK21" s="165" t="str">
        <f t="shared" si="58"/>
        <v/>
      </c>
      <c r="DL21" s="165" t="str">
        <f t="shared" si="59"/>
        <v/>
      </c>
      <c r="DM21" s="11"/>
      <c r="DP21" s="9"/>
      <c r="DQ21" s="9"/>
      <c r="DR21" s="10"/>
      <c r="DS21" s="166" t="str">
        <f t="shared" si="24"/>
        <v/>
      </c>
      <c r="DT21" s="167" t="str">
        <f t="shared" si="25"/>
        <v/>
      </c>
      <c r="DU21" s="165" t="str">
        <f t="shared" si="60"/>
        <v/>
      </c>
      <c r="DV21" s="165" t="str">
        <f t="shared" si="61"/>
        <v/>
      </c>
      <c r="DW21" s="11"/>
      <c r="DZ21" s="9"/>
      <c r="EA21" s="9"/>
      <c r="EB21" s="10"/>
      <c r="EC21" s="166" t="str">
        <f t="shared" si="26"/>
        <v/>
      </c>
      <c r="ED21" s="167" t="str">
        <f t="shared" si="27"/>
        <v/>
      </c>
      <c r="EE21" s="165" t="str">
        <f t="shared" si="62"/>
        <v/>
      </c>
      <c r="EF21" s="165" t="str">
        <f t="shared" si="63"/>
        <v/>
      </c>
      <c r="EG21" s="11"/>
      <c r="EJ21" s="9"/>
      <c r="EK21" s="9"/>
      <c r="EL21" s="10"/>
      <c r="EM21" s="166" t="str">
        <f t="shared" si="28"/>
        <v/>
      </c>
      <c r="EN21" s="167" t="str">
        <f t="shared" si="29"/>
        <v/>
      </c>
      <c r="EO21" s="165" t="str">
        <f t="shared" si="64"/>
        <v/>
      </c>
      <c r="EP21" s="165" t="str">
        <f t="shared" si="65"/>
        <v/>
      </c>
      <c r="EQ21" s="11"/>
      <c r="ET21" s="9"/>
      <c r="EU21" s="9"/>
      <c r="EV21" s="10"/>
      <c r="EW21" s="166" t="str">
        <f t="shared" si="30"/>
        <v/>
      </c>
      <c r="EX21" s="167" t="str">
        <f t="shared" si="31"/>
        <v/>
      </c>
      <c r="EY21" s="165" t="str">
        <f t="shared" si="66"/>
        <v/>
      </c>
      <c r="EZ21" s="165" t="str">
        <f t="shared" si="67"/>
        <v/>
      </c>
      <c r="FA21" s="11"/>
      <c r="FD21" s="9"/>
      <c r="FE21" s="9"/>
      <c r="FF21" s="10"/>
      <c r="FG21" s="166" t="str">
        <f t="shared" si="32"/>
        <v/>
      </c>
      <c r="FH21" s="167" t="str">
        <f t="shared" si="33"/>
        <v/>
      </c>
      <c r="FI21" s="165" t="str">
        <f t="shared" si="68"/>
        <v/>
      </c>
      <c r="FJ21" s="165" t="str">
        <f t="shared" si="69"/>
        <v/>
      </c>
      <c r="FK21" s="11"/>
      <c r="FN21" s="9"/>
      <c r="FO21" s="9"/>
      <c r="FP21" s="10"/>
      <c r="FQ21" s="166" t="str">
        <f t="shared" si="34"/>
        <v/>
      </c>
      <c r="FR21" s="167" t="str">
        <f t="shared" si="35"/>
        <v/>
      </c>
      <c r="FS21" s="165" t="str">
        <f t="shared" si="70"/>
        <v/>
      </c>
      <c r="FT21" s="165" t="str">
        <f t="shared" si="71"/>
        <v/>
      </c>
      <c r="FU21" s="11"/>
    </row>
    <row r="22" spans="1:177" x14ac:dyDescent="0.3">
      <c r="A22" s="9"/>
      <c r="B22" s="9" t="s">
        <v>307</v>
      </c>
      <c r="C22" s="10">
        <v>0.5</v>
      </c>
      <c r="D22" s="166">
        <f t="shared" si="0"/>
        <v>2500000</v>
      </c>
      <c r="E22" s="167">
        <f t="shared" si="1"/>
        <v>2.2351999999999999</v>
      </c>
      <c r="F22" s="165">
        <f>+IF(D22="","",E22*D22)</f>
        <v>5588000</v>
      </c>
      <c r="G22" s="165">
        <f>+IF(F22="","",F22*C22)</f>
        <v>2794000</v>
      </c>
      <c r="H22" s="11"/>
      <c r="K22" s="9"/>
      <c r="L22" s="9" t="s">
        <v>307</v>
      </c>
      <c r="M22" s="10">
        <v>0.5</v>
      </c>
      <c r="N22" s="166">
        <f t="shared" si="2"/>
        <v>2500000</v>
      </c>
      <c r="O22" s="167">
        <f t="shared" si="3"/>
        <v>2.2351999999999999</v>
      </c>
      <c r="P22" s="165">
        <f>+IF(N22="","",O22*N22)</f>
        <v>5588000</v>
      </c>
      <c r="Q22" s="136">
        <f>+IF(P22="","",P22*M22)</f>
        <v>2794000</v>
      </c>
      <c r="R22" s="11"/>
      <c r="U22" s="9"/>
      <c r="V22" s="9" t="s">
        <v>307</v>
      </c>
      <c r="W22" s="10">
        <v>0.5</v>
      </c>
      <c r="X22" s="166">
        <f t="shared" si="4"/>
        <v>2500000</v>
      </c>
      <c r="Y22" s="167">
        <f t="shared" si="5"/>
        <v>2.2351999999999999</v>
      </c>
      <c r="Z22" s="165">
        <f>+IF(X22="","",Y22*X22)</f>
        <v>5588000</v>
      </c>
      <c r="AA22" s="165">
        <f>+IF(Z22="","",Z22*W22)</f>
        <v>2794000</v>
      </c>
      <c r="AB22" s="11"/>
      <c r="AD22" s="9"/>
      <c r="AE22" s="9" t="s">
        <v>307</v>
      </c>
      <c r="AF22" s="10">
        <v>0.5</v>
      </c>
      <c r="AG22" s="166">
        <f t="shared" si="6"/>
        <v>2500000</v>
      </c>
      <c r="AH22" s="167">
        <f t="shared" si="7"/>
        <v>2.2351999999999999</v>
      </c>
      <c r="AI22" s="165">
        <f>+IF(AG22="","",AH22*AG22)</f>
        <v>5588000</v>
      </c>
      <c r="AJ22" s="165">
        <f>+IF(AI22="","",AI22*AF22)</f>
        <v>2794000</v>
      </c>
      <c r="AK22" s="11"/>
      <c r="AN22" s="9"/>
      <c r="AO22" s="9"/>
      <c r="AP22" s="10"/>
      <c r="AQ22" s="166" t="str">
        <f t="shared" si="8"/>
        <v/>
      </c>
      <c r="AR22" s="167" t="str">
        <f t="shared" si="9"/>
        <v/>
      </c>
      <c r="AS22" s="165" t="str">
        <f>+IF(AQ22="","",AR22*AQ22)</f>
        <v/>
      </c>
      <c r="AT22" s="165" t="str">
        <f>+IF(AS22="","",AS22*AP22)</f>
        <v/>
      </c>
      <c r="AU22" s="11"/>
      <c r="AX22" s="9"/>
      <c r="AY22" s="9"/>
      <c r="AZ22" s="10"/>
      <c r="BA22" s="166" t="str">
        <f t="shared" si="10"/>
        <v/>
      </c>
      <c r="BB22" s="167" t="str">
        <f t="shared" si="11"/>
        <v/>
      </c>
      <c r="BC22" s="165" t="str">
        <f>+IF(BA22="","",BB22*BA22)</f>
        <v/>
      </c>
      <c r="BD22" s="165" t="str">
        <f>+IF(BC22="","",BC22*AZ22)</f>
        <v/>
      </c>
      <c r="BE22" s="11"/>
      <c r="BH22" s="9"/>
      <c r="BI22" s="9"/>
      <c r="BJ22" s="10"/>
      <c r="BK22" s="166" t="str">
        <f t="shared" si="12"/>
        <v/>
      </c>
      <c r="BL22" s="167" t="str">
        <f t="shared" si="13"/>
        <v/>
      </c>
      <c r="BM22" s="165" t="str">
        <f>+IF(BK22="","",BL22*BK22)</f>
        <v/>
      </c>
      <c r="BN22" s="165" t="str">
        <f>+IF(BM22="","",BM22*BJ22)</f>
        <v/>
      </c>
      <c r="BO22" s="11"/>
      <c r="BR22" s="9"/>
      <c r="BS22" s="9"/>
      <c r="BT22" s="10"/>
      <c r="BU22" s="166" t="str">
        <f t="shared" si="14"/>
        <v/>
      </c>
      <c r="BV22" s="167" t="str">
        <f t="shared" si="15"/>
        <v/>
      </c>
      <c r="BW22" s="165" t="str">
        <f>+IF(BU22="","",BV22*BU22)</f>
        <v/>
      </c>
      <c r="BX22" s="165" t="str">
        <f>+IF(BW22="","",BW22*BT22)</f>
        <v/>
      </c>
      <c r="BY22" s="11"/>
      <c r="CB22" s="9"/>
      <c r="CC22" s="9"/>
      <c r="CD22" s="10"/>
      <c r="CE22" s="166" t="str">
        <f t="shared" si="16"/>
        <v/>
      </c>
      <c r="CF22" s="167" t="str">
        <f t="shared" si="17"/>
        <v/>
      </c>
      <c r="CG22" s="165" t="str">
        <f>+IF(CE22="","",CF22*CE22)</f>
        <v/>
      </c>
      <c r="CH22" s="165" t="str">
        <f>+IF(CG22="","",CG22*CD22)</f>
        <v/>
      </c>
      <c r="CI22" s="11"/>
      <c r="CL22" s="9"/>
      <c r="CM22" s="9"/>
      <c r="CN22" s="10"/>
      <c r="CO22" s="166" t="str">
        <f t="shared" si="18"/>
        <v/>
      </c>
      <c r="CP22" s="167" t="str">
        <f t="shared" si="19"/>
        <v/>
      </c>
      <c r="CQ22" s="165" t="str">
        <f>+IF(CO22="","",CP22*CO22)</f>
        <v/>
      </c>
      <c r="CR22" s="165" t="str">
        <f>+IF(CQ22="","",CQ22*CN22)</f>
        <v/>
      </c>
      <c r="CS22" s="11"/>
      <c r="CV22" s="9"/>
      <c r="CW22" s="9"/>
      <c r="CX22" s="10"/>
      <c r="CY22" s="166" t="str">
        <f t="shared" si="20"/>
        <v/>
      </c>
      <c r="CZ22" s="167" t="str">
        <f t="shared" si="21"/>
        <v/>
      </c>
      <c r="DA22" s="165" t="str">
        <f>+IF(CY22="","",CZ22*CY22)</f>
        <v/>
      </c>
      <c r="DB22" s="165" t="str">
        <f>+IF(DA22="","",DA22*CX22)</f>
        <v/>
      </c>
      <c r="DC22" s="11"/>
      <c r="DF22" s="9"/>
      <c r="DG22" s="9"/>
      <c r="DH22" s="10"/>
      <c r="DI22" s="166" t="str">
        <f t="shared" si="22"/>
        <v/>
      </c>
      <c r="DJ22" s="167" t="str">
        <f t="shared" si="23"/>
        <v/>
      </c>
      <c r="DK22" s="165" t="str">
        <f>+IF(DI22="","",DJ22*DI22)</f>
        <v/>
      </c>
      <c r="DL22" s="165" t="str">
        <f>+IF(DK22="","",DK22*DH22)</f>
        <v/>
      </c>
      <c r="DM22" s="11"/>
      <c r="DP22" s="9"/>
      <c r="DQ22" s="9"/>
      <c r="DR22" s="10"/>
      <c r="DS22" s="166" t="str">
        <f t="shared" si="24"/>
        <v/>
      </c>
      <c r="DT22" s="167" t="str">
        <f t="shared" si="25"/>
        <v/>
      </c>
      <c r="DU22" s="165" t="str">
        <f>+IF(DS22="","",DT22*DS22)</f>
        <v/>
      </c>
      <c r="DV22" s="165" t="str">
        <f>+IF(DU22="","",DU22*DR22)</f>
        <v/>
      </c>
      <c r="DW22" s="11"/>
      <c r="DZ22" s="9"/>
      <c r="EA22" s="9"/>
      <c r="EB22" s="10"/>
      <c r="EC22" s="166" t="str">
        <f t="shared" si="26"/>
        <v/>
      </c>
      <c r="ED22" s="167" t="str">
        <f t="shared" si="27"/>
        <v/>
      </c>
      <c r="EE22" s="165" t="str">
        <f>+IF(EC22="","",ED22*EC22)</f>
        <v/>
      </c>
      <c r="EF22" s="165" t="str">
        <f>+IF(EE22="","",EE22*EB22)</f>
        <v/>
      </c>
      <c r="EG22" s="11"/>
      <c r="EJ22" s="9"/>
      <c r="EK22" s="9"/>
      <c r="EL22" s="10"/>
      <c r="EM22" s="166" t="str">
        <f t="shared" si="28"/>
        <v/>
      </c>
      <c r="EN22" s="167" t="str">
        <f t="shared" si="29"/>
        <v/>
      </c>
      <c r="EO22" s="165" t="str">
        <f>+IF(EM22="","",EN22*EM22)</f>
        <v/>
      </c>
      <c r="EP22" s="165" t="str">
        <f>+IF(EO22="","",EO22*EL22)</f>
        <v/>
      </c>
      <c r="EQ22" s="11"/>
      <c r="ET22" s="9"/>
      <c r="EU22" s="9"/>
      <c r="EV22" s="10"/>
      <c r="EW22" s="166" t="str">
        <f t="shared" si="30"/>
        <v/>
      </c>
      <c r="EX22" s="167" t="str">
        <f t="shared" si="31"/>
        <v/>
      </c>
      <c r="EY22" s="165" t="str">
        <f>+IF(EW22="","",EX22*EW22)</f>
        <v/>
      </c>
      <c r="EZ22" s="165" t="str">
        <f>+IF(EY22="","",EY22*EV22)</f>
        <v/>
      </c>
      <c r="FA22" s="11"/>
      <c r="FD22" s="9"/>
      <c r="FE22" s="9"/>
      <c r="FF22" s="10"/>
      <c r="FG22" s="166" t="str">
        <f t="shared" si="32"/>
        <v/>
      </c>
      <c r="FH22" s="167" t="str">
        <f t="shared" si="33"/>
        <v/>
      </c>
      <c r="FI22" s="165" t="str">
        <f>+IF(FG22="","",FH22*FG22)</f>
        <v/>
      </c>
      <c r="FJ22" s="165" t="str">
        <f>+IF(FI22="","",FI22*FF22)</f>
        <v/>
      </c>
      <c r="FK22" s="11"/>
      <c r="FN22" s="9"/>
      <c r="FO22" s="9"/>
      <c r="FP22" s="10"/>
      <c r="FQ22" s="166" t="str">
        <f t="shared" si="34"/>
        <v/>
      </c>
      <c r="FR22" s="167" t="str">
        <f t="shared" si="35"/>
        <v/>
      </c>
      <c r="FS22" s="165" t="str">
        <f>+IF(FQ22="","",FR22*FQ22)</f>
        <v/>
      </c>
      <c r="FT22" s="165" t="str">
        <f>+IF(FS22="","",FS22*FP22)</f>
        <v/>
      </c>
      <c r="FU22" s="11"/>
    </row>
    <row r="23" spans="1:177" x14ac:dyDescent="0.3">
      <c r="A23" s="9"/>
      <c r="B23" s="9"/>
      <c r="C23" s="10"/>
      <c r="D23" s="166" t="str">
        <f t="shared" si="0"/>
        <v/>
      </c>
      <c r="E23" s="167" t="str">
        <f t="shared" si="1"/>
        <v/>
      </c>
      <c r="F23" s="165" t="str">
        <f>+IF(D23="","",E23*D23)</f>
        <v/>
      </c>
      <c r="G23" s="165" t="str">
        <f>+IF(F23="","",F23*C23)</f>
        <v/>
      </c>
      <c r="H23" s="11"/>
      <c r="K23" s="9"/>
      <c r="L23" s="9"/>
      <c r="M23" s="10"/>
      <c r="N23" s="166" t="str">
        <f t="shared" si="2"/>
        <v/>
      </c>
      <c r="O23" s="167" t="str">
        <f t="shared" si="3"/>
        <v/>
      </c>
      <c r="P23" s="165" t="str">
        <f>+IF(N23="","",O23*N23)</f>
        <v/>
      </c>
      <c r="Q23" s="136" t="str">
        <f>+IF(P23="","",P23*M23)</f>
        <v/>
      </c>
      <c r="R23" s="11"/>
      <c r="U23" s="9"/>
      <c r="V23" s="9"/>
      <c r="W23" s="10"/>
      <c r="X23" s="166" t="str">
        <f t="shared" si="4"/>
        <v/>
      </c>
      <c r="Y23" s="167" t="str">
        <f t="shared" si="5"/>
        <v/>
      </c>
      <c r="Z23" s="165" t="str">
        <f>+IF(X23="","",Y23*X23)</f>
        <v/>
      </c>
      <c r="AA23" s="165" t="str">
        <f>+IF(Z23="","",Z23*W23)</f>
        <v/>
      </c>
      <c r="AB23" s="11"/>
      <c r="AD23" s="9"/>
      <c r="AE23" s="9"/>
      <c r="AF23" s="10"/>
      <c r="AG23" s="166" t="str">
        <f t="shared" si="6"/>
        <v/>
      </c>
      <c r="AH23" s="167" t="str">
        <f t="shared" si="7"/>
        <v/>
      </c>
      <c r="AI23" s="165" t="str">
        <f>+IF(AG23="","",AH23*AG23)</f>
        <v/>
      </c>
      <c r="AJ23" s="165" t="str">
        <f>+IF(AI23="","",AI23*AF23)</f>
        <v/>
      </c>
      <c r="AK23" s="11"/>
      <c r="AN23" s="9"/>
      <c r="AO23" s="9"/>
      <c r="AP23" s="10"/>
      <c r="AQ23" s="166" t="str">
        <f t="shared" si="8"/>
        <v/>
      </c>
      <c r="AR23" s="167" t="str">
        <f t="shared" si="9"/>
        <v/>
      </c>
      <c r="AS23" s="165" t="str">
        <f>+IF(AQ23="","",AR23*AQ23)</f>
        <v/>
      </c>
      <c r="AT23" s="165" t="str">
        <f>+IF(AS23="","",AS23*AP23)</f>
        <v/>
      </c>
      <c r="AU23" s="11"/>
      <c r="AX23" s="9"/>
      <c r="AY23" s="9"/>
      <c r="AZ23" s="10"/>
      <c r="BA23" s="166" t="str">
        <f t="shared" si="10"/>
        <v/>
      </c>
      <c r="BB23" s="167" t="str">
        <f t="shared" si="11"/>
        <v/>
      </c>
      <c r="BC23" s="165" t="str">
        <f>+IF(BA23="","",BB23*BA23)</f>
        <v/>
      </c>
      <c r="BD23" s="165" t="str">
        <f>+IF(BC23="","",BC23*AZ23)</f>
        <v/>
      </c>
      <c r="BE23" s="11"/>
      <c r="BH23" s="9"/>
      <c r="BI23" s="9"/>
      <c r="BJ23" s="10"/>
      <c r="BK23" s="166" t="str">
        <f t="shared" si="12"/>
        <v/>
      </c>
      <c r="BL23" s="167" t="str">
        <f t="shared" si="13"/>
        <v/>
      </c>
      <c r="BM23" s="165" t="str">
        <f>+IF(BK23="","",BL23*BK23)</f>
        <v/>
      </c>
      <c r="BN23" s="165" t="str">
        <f>+IF(BM23="","",BM23*BJ23)</f>
        <v/>
      </c>
      <c r="BO23" s="11"/>
      <c r="BR23" s="9"/>
      <c r="BS23" s="9"/>
      <c r="BT23" s="10"/>
      <c r="BU23" s="166" t="str">
        <f t="shared" si="14"/>
        <v/>
      </c>
      <c r="BV23" s="167" t="str">
        <f t="shared" si="15"/>
        <v/>
      </c>
      <c r="BW23" s="165" t="str">
        <f>+IF(BU23="","",BV23*BU23)</f>
        <v/>
      </c>
      <c r="BX23" s="165" t="str">
        <f>+IF(BW23="","",BW23*BT23)</f>
        <v/>
      </c>
      <c r="BY23" s="11"/>
      <c r="CB23" s="9"/>
      <c r="CC23" s="9"/>
      <c r="CD23" s="10"/>
      <c r="CE23" s="166" t="str">
        <f t="shared" si="16"/>
        <v/>
      </c>
      <c r="CF23" s="167" t="str">
        <f t="shared" si="17"/>
        <v/>
      </c>
      <c r="CG23" s="165" t="str">
        <f>+IF(CE23="","",CF23*CE23)</f>
        <v/>
      </c>
      <c r="CH23" s="165" t="str">
        <f>+IF(CG23="","",CG23*CD23)</f>
        <v/>
      </c>
      <c r="CI23" s="11"/>
      <c r="CL23" s="9"/>
      <c r="CM23" s="9"/>
      <c r="CN23" s="10"/>
      <c r="CO23" s="166" t="str">
        <f t="shared" si="18"/>
        <v/>
      </c>
      <c r="CP23" s="167" t="str">
        <f t="shared" si="19"/>
        <v/>
      </c>
      <c r="CQ23" s="165" t="str">
        <f>+IF(CO23="","",CP23*CO23)</f>
        <v/>
      </c>
      <c r="CR23" s="165" t="str">
        <f>+IF(CQ23="","",CQ23*CN23)</f>
        <v/>
      </c>
      <c r="CS23" s="11"/>
      <c r="CV23" s="9"/>
      <c r="CW23" s="9"/>
      <c r="CX23" s="10"/>
      <c r="CY23" s="166" t="str">
        <f t="shared" si="20"/>
        <v/>
      </c>
      <c r="CZ23" s="167" t="str">
        <f t="shared" si="21"/>
        <v/>
      </c>
      <c r="DA23" s="165" t="str">
        <f>+IF(CY23="","",CZ23*CY23)</f>
        <v/>
      </c>
      <c r="DB23" s="165" t="str">
        <f>+IF(DA23="","",DA23*CX23)</f>
        <v/>
      </c>
      <c r="DC23" s="11"/>
      <c r="DF23" s="9"/>
      <c r="DG23" s="9"/>
      <c r="DH23" s="10"/>
      <c r="DI23" s="166" t="str">
        <f t="shared" si="22"/>
        <v/>
      </c>
      <c r="DJ23" s="167" t="str">
        <f t="shared" si="23"/>
        <v/>
      </c>
      <c r="DK23" s="165" t="str">
        <f>+IF(DI23="","",DJ23*DI23)</f>
        <v/>
      </c>
      <c r="DL23" s="165" t="str">
        <f>+IF(DK23="","",DK23*DH23)</f>
        <v/>
      </c>
      <c r="DM23" s="11"/>
      <c r="DP23" s="9"/>
      <c r="DQ23" s="9"/>
      <c r="DR23" s="10"/>
      <c r="DS23" s="166" t="str">
        <f t="shared" si="24"/>
        <v/>
      </c>
      <c r="DT23" s="167" t="str">
        <f t="shared" si="25"/>
        <v/>
      </c>
      <c r="DU23" s="165" t="str">
        <f>+IF(DS23="","",DT23*DS23)</f>
        <v/>
      </c>
      <c r="DV23" s="165" t="str">
        <f>+IF(DU23="","",DU23*DR23)</f>
        <v/>
      </c>
      <c r="DW23" s="11"/>
      <c r="DZ23" s="9"/>
      <c r="EA23" s="9"/>
      <c r="EB23" s="10"/>
      <c r="EC23" s="166" t="str">
        <f t="shared" si="26"/>
        <v/>
      </c>
      <c r="ED23" s="167" t="str">
        <f t="shared" si="27"/>
        <v/>
      </c>
      <c r="EE23" s="165" t="str">
        <f>+IF(EC23="","",ED23*EC23)</f>
        <v/>
      </c>
      <c r="EF23" s="165" t="str">
        <f>+IF(EE23="","",EE23*EB23)</f>
        <v/>
      </c>
      <c r="EG23" s="11"/>
      <c r="EJ23" s="9"/>
      <c r="EK23" s="9"/>
      <c r="EL23" s="10"/>
      <c r="EM23" s="166" t="str">
        <f t="shared" si="28"/>
        <v/>
      </c>
      <c r="EN23" s="167" t="str">
        <f t="shared" si="29"/>
        <v/>
      </c>
      <c r="EO23" s="165" t="str">
        <f>+IF(EM23="","",EN23*EM23)</f>
        <v/>
      </c>
      <c r="EP23" s="165" t="str">
        <f>+IF(EO23="","",EO23*EL23)</f>
        <v/>
      </c>
      <c r="EQ23" s="11"/>
      <c r="ET23" s="9"/>
      <c r="EU23" s="9"/>
      <c r="EV23" s="10"/>
      <c r="EW23" s="166" t="str">
        <f t="shared" si="30"/>
        <v/>
      </c>
      <c r="EX23" s="167" t="str">
        <f t="shared" si="31"/>
        <v/>
      </c>
      <c r="EY23" s="165" t="str">
        <f>+IF(EW23="","",EX23*EW23)</f>
        <v/>
      </c>
      <c r="EZ23" s="165" t="str">
        <f>+IF(EY23="","",EY23*EV23)</f>
        <v/>
      </c>
      <c r="FA23" s="11"/>
      <c r="FD23" s="9"/>
      <c r="FE23" s="9"/>
      <c r="FF23" s="10"/>
      <c r="FG23" s="166" t="str">
        <f t="shared" si="32"/>
        <v/>
      </c>
      <c r="FH23" s="167" t="str">
        <f t="shared" si="33"/>
        <v/>
      </c>
      <c r="FI23" s="165" t="str">
        <f>+IF(FG23="","",FH23*FG23)</f>
        <v/>
      </c>
      <c r="FJ23" s="165" t="str">
        <f>+IF(FI23="","",FI23*FF23)</f>
        <v/>
      </c>
      <c r="FK23" s="11"/>
      <c r="FN23" s="9"/>
      <c r="FO23" s="9"/>
      <c r="FP23" s="10"/>
      <c r="FQ23" s="166" t="str">
        <f t="shared" si="34"/>
        <v/>
      </c>
      <c r="FR23" s="167" t="str">
        <f t="shared" si="35"/>
        <v/>
      </c>
      <c r="FS23" s="165" t="str">
        <f>+IF(FQ23="","",FR23*FQ23)</f>
        <v/>
      </c>
      <c r="FT23" s="165" t="str">
        <f>+IF(FS23="","",FS23*FP23)</f>
        <v/>
      </c>
      <c r="FU23" s="11"/>
    </row>
    <row r="24" spans="1:177" x14ac:dyDescent="0.3">
      <c r="A24" s="9"/>
      <c r="B24" s="9" t="s">
        <v>313</v>
      </c>
      <c r="C24" s="10">
        <v>0.5</v>
      </c>
      <c r="D24" s="166">
        <f t="shared" si="0"/>
        <v>1400000</v>
      </c>
      <c r="E24" s="167">
        <f t="shared" si="1"/>
        <v>1.6352</v>
      </c>
      <c r="F24" s="165">
        <f>+IF(D24="","",E24*D24)</f>
        <v>2289280</v>
      </c>
      <c r="G24" s="165">
        <f>+IF(F24="","",F24*C24)</f>
        <v>1144640</v>
      </c>
      <c r="H24" s="11"/>
      <c r="K24" s="9"/>
      <c r="L24" s="9" t="s">
        <v>313</v>
      </c>
      <c r="M24" s="10">
        <v>0.5</v>
      </c>
      <c r="N24" s="166">
        <f t="shared" si="2"/>
        <v>1400000</v>
      </c>
      <c r="O24" s="167">
        <f t="shared" si="3"/>
        <v>1.6352</v>
      </c>
      <c r="P24" s="165">
        <f>+IF(N24="","",O24*N24)</f>
        <v>2289280</v>
      </c>
      <c r="Q24" s="136">
        <f>+IF(P24="","",P24*M24)</f>
        <v>1144640</v>
      </c>
      <c r="R24" s="11"/>
      <c r="U24" s="9"/>
      <c r="V24" s="9" t="s">
        <v>313</v>
      </c>
      <c r="W24" s="10">
        <v>0.5</v>
      </c>
      <c r="X24" s="166">
        <f t="shared" si="4"/>
        <v>1400000</v>
      </c>
      <c r="Y24" s="167">
        <f t="shared" si="5"/>
        <v>1.6352</v>
      </c>
      <c r="Z24" s="165">
        <f>+IF(X24="","",Y24*X24)</f>
        <v>2289280</v>
      </c>
      <c r="AA24" s="165">
        <f>+IF(Z24="","",Z24*W24)</f>
        <v>1144640</v>
      </c>
      <c r="AB24" s="11"/>
      <c r="AD24" s="9"/>
      <c r="AE24" s="9" t="s">
        <v>313</v>
      </c>
      <c r="AF24" s="10">
        <v>0.5</v>
      </c>
      <c r="AG24" s="166">
        <f t="shared" si="6"/>
        <v>1400000</v>
      </c>
      <c r="AH24" s="167">
        <f t="shared" si="7"/>
        <v>1.6352</v>
      </c>
      <c r="AI24" s="165">
        <f>+IF(AG24="","",AH24*AG24)</f>
        <v>2289280</v>
      </c>
      <c r="AJ24" s="165">
        <f>+IF(AI24="","",AI24*AF24)</f>
        <v>1144640</v>
      </c>
      <c r="AK24" s="11"/>
      <c r="AN24" s="9"/>
      <c r="AO24" s="9"/>
      <c r="AP24" s="10"/>
      <c r="AQ24" s="166" t="str">
        <f t="shared" si="8"/>
        <v/>
      </c>
      <c r="AR24" s="167" t="str">
        <f t="shared" si="9"/>
        <v/>
      </c>
      <c r="AS24" s="165" t="str">
        <f>+IF(AQ24="","",AR24*AQ24)</f>
        <v/>
      </c>
      <c r="AT24" s="165" t="str">
        <f>+IF(AS24="","",AS24*AP24)</f>
        <v/>
      </c>
      <c r="AU24" s="11"/>
      <c r="AX24" s="9"/>
      <c r="AY24" s="9"/>
      <c r="AZ24" s="10"/>
      <c r="BA24" s="166" t="str">
        <f t="shared" si="10"/>
        <v/>
      </c>
      <c r="BB24" s="167" t="str">
        <f t="shared" si="11"/>
        <v/>
      </c>
      <c r="BC24" s="165" t="str">
        <f>+IF(BA24="","",BB24*BA24)</f>
        <v/>
      </c>
      <c r="BD24" s="165" t="str">
        <f>+IF(BC24="","",BC24*AZ24)</f>
        <v/>
      </c>
      <c r="BE24" s="11"/>
      <c r="BH24" s="9"/>
      <c r="BI24" s="9"/>
      <c r="BJ24" s="10"/>
      <c r="BK24" s="166" t="str">
        <f t="shared" si="12"/>
        <v/>
      </c>
      <c r="BL24" s="167" t="str">
        <f t="shared" si="13"/>
        <v/>
      </c>
      <c r="BM24" s="165" t="str">
        <f>+IF(BK24="","",BL24*BK24)</f>
        <v/>
      </c>
      <c r="BN24" s="165" t="str">
        <f>+IF(BM24="","",BM24*BJ24)</f>
        <v/>
      </c>
      <c r="BO24" s="11"/>
      <c r="BR24" s="9"/>
      <c r="BS24" s="9"/>
      <c r="BT24" s="10"/>
      <c r="BU24" s="166" t="str">
        <f t="shared" si="14"/>
        <v/>
      </c>
      <c r="BV24" s="167" t="str">
        <f t="shared" si="15"/>
        <v/>
      </c>
      <c r="BW24" s="165" t="str">
        <f>+IF(BU24="","",BV24*BU24)</f>
        <v/>
      </c>
      <c r="BX24" s="165" t="str">
        <f>+IF(BW24="","",BW24*BT24)</f>
        <v/>
      </c>
      <c r="BY24" s="11"/>
      <c r="CB24" s="9"/>
      <c r="CC24" s="9"/>
      <c r="CD24" s="10"/>
      <c r="CE24" s="166" t="str">
        <f t="shared" si="16"/>
        <v/>
      </c>
      <c r="CF24" s="167" t="str">
        <f t="shared" si="17"/>
        <v/>
      </c>
      <c r="CG24" s="165" t="str">
        <f>+IF(CE24="","",CF24*CE24)</f>
        <v/>
      </c>
      <c r="CH24" s="165" t="str">
        <f>+IF(CG24="","",CG24*CD24)</f>
        <v/>
      </c>
      <c r="CI24" s="11"/>
      <c r="CL24" s="9"/>
      <c r="CM24" s="9"/>
      <c r="CN24" s="10"/>
      <c r="CO24" s="166" t="str">
        <f t="shared" si="18"/>
        <v/>
      </c>
      <c r="CP24" s="167" t="str">
        <f t="shared" si="19"/>
        <v/>
      </c>
      <c r="CQ24" s="165" t="str">
        <f>+IF(CO24="","",CP24*CO24)</f>
        <v/>
      </c>
      <c r="CR24" s="165" t="str">
        <f>+IF(CQ24="","",CQ24*CN24)</f>
        <v/>
      </c>
      <c r="CS24" s="11"/>
      <c r="CV24" s="9"/>
      <c r="CW24" s="9"/>
      <c r="CX24" s="10"/>
      <c r="CY24" s="166" t="str">
        <f t="shared" si="20"/>
        <v/>
      </c>
      <c r="CZ24" s="167" t="str">
        <f t="shared" si="21"/>
        <v/>
      </c>
      <c r="DA24" s="165" t="str">
        <f>+IF(CY24="","",CZ24*CY24)</f>
        <v/>
      </c>
      <c r="DB24" s="165" t="str">
        <f>+IF(DA24="","",DA24*CX24)</f>
        <v/>
      </c>
      <c r="DC24" s="11"/>
      <c r="DF24" s="9"/>
      <c r="DG24" s="9"/>
      <c r="DH24" s="10"/>
      <c r="DI24" s="166" t="str">
        <f t="shared" si="22"/>
        <v/>
      </c>
      <c r="DJ24" s="167" t="str">
        <f t="shared" si="23"/>
        <v/>
      </c>
      <c r="DK24" s="165" t="str">
        <f>+IF(DI24="","",DJ24*DI24)</f>
        <v/>
      </c>
      <c r="DL24" s="165" t="str">
        <f>+IF(DK24="","",DK24*DH24)</f>
        <v/>
      </c>
      <c r="DM24" s="11"/>
      <c r="DP24" s="9"/>
      <c r="DQ24" s="9"/>
      <c r="DR24" s="10"/>
      <c r="DS24" s="166" t="str">
        <f t="shared" si="24"/>
        <v/>
      </c>
      <c r="DT24" s="167" t="str">
        <f t="shared" si="25"/>
        <v/>
      </c>
      <c r="DU24" s="165" t="str">
        <f>+IF(DS24="","",DT24*DS24)</f>
        <v/>
      </c>
      <c r="DV24" s="165" t="str">
        <f>+IF(DU24="","",DU24*DR24)</f>
        <v/>
      </c>
      <c r="DW24" s="11"/>
      <c r="DZ24" s="9"/>
      <c r="EA24" s="9"/>
      <c r="EB24" s="10"/>
      <c r="EC24" s="166" t="str">
        <f t="shared" si="26"/>
        <v/>
      </c>
      <c r="ED24" s="167" t="str">
        <f t="shared" si="27"/>
        <v/>
      </c>
      <c r="EE24" s="165" t="str">
        <f>+IF(EC24="","",ED24*EC24)</f>
        <v/>
      </c>
      <c r="EF24" s="165" t="str">
        <f>+IF(EE24="","",EE24*EB24)</f>
        <v/>
      </c>
      <c r="EG24" s="11"/>
      <c r="EJ24" s="9"/>
      <c r="EK24" s="9"/>
      <c r="EL24" s="10"/>
      <c r="EM24" s="166" t="str">
        <f t="shared" si="28"/>
        <v/>
      </c>
      <c r="EN24" s="167" t="str">
        <f t="shared" si="29"/>
        <v/>
      </c>
      <c r="EO24" s="165" t="str">
        <f>+IF(EM24="","",EN24*EM24)</f>
        <v/>
      </c>
      <c r="EP24" s="165" t="str">
        <f>+IF(EO24="","",EO24*EL24)</f>
        <v/>
      </c>
      <c r="EQ24" s="11"/>
      <c r="ET24" s="9"/>
      <c r="EU24" s="9"/>
      <c r="EV24" s="10"/>
      <c r="EW24" s="166" t="str">
        <f t="shared" si="30"/>
        <v/>
      </c>
      <c r="EX24" s="167" t="str">
        <f t="shared" si="31"/>
        <v/>
      </c>
      <c r="EY24" s="165" t="str">
        <f>+IF(EW24="","",EX24*EW24)</f>
        <v/>
      </c>
      <c r="EZ24" s="165" t="str">
        <f>+IF(EY24="","",EY24*EV24)</f>
        <v/>
      </c>
      <c r="FA24" s="11"/>
      <c r="FD24" s="9"/>
      <c r="FE24" s="9"/>
      <c r="FF24" s="10"/>
      <c r="FG24" s="166" t="str">
        <f t="shared" si="32"/>
        <v/>
      </c>
      <c r="FH24" s="167" t="str">
        <f t="shared" si="33"/>
        <v/>
      </c>
      <c r="FI24" s="165" t="str">
        <f>+IF(FG24="","",FH24*FG24)</f>
        <v/>
      </c>
      <c r="FJ24" s="165" t="str">
        <f>+IF(FI24="","",FI24*FF24)</f>
        <v/>
      </c>
      <c r="FK24" s="11"/>
      <c r="FN24" s="9"/>
      <c r="FO24" s="9"/>
      <c r="FP24" s="10"/>
      <c r="FQ24" s="166" t="str">
        <f t="shared" si="34"/>
        <v/>
      </c>
      <c r="FR24" s="167" t="str">
        <f t="shared" si="35"/>
        <v/>
      </c>
      <c r="FS24" s="165" t="str">
        <f>+IF(FQ24="","",FR24*FQ24)</f>
        <v/>
      </c>
      <c r="FT24" s="165" t="str">
        <f>+IF(FS24="","",FS24*FP24)</f>
        <v/>
      </c>
      <c r="FU24" s="11"/>
    </row>
    <row r="25" spans="1:177" x14ac:dyDescent="0.3">
      <c r="A25" s="9"/>
      <c r="B25" s="9" t="s">
        <v>314</v>
      </c>
      <c r="C25" s="10">
        <v>0.5</v>
      </c>
      <c r="D25" s="166">
        <f t="shared" si="0"/>
        <v>2500000</v>
      </c>
      <c r="E25" s="167">
        <f t="shared" si="1"/>
        <v>2.2351999999999999</v>
      </c>
      <c r="F25" s="165">
        <f t="shared" si="36"/>
        <v>5588000</v>
      </c>
      <c r="G25" s="165">
        <f t="shared" si="37"/>
        <v>2794000</v>
      </c>
      <c r="H25" s="11"/>
      <c r="K25" s="9"/>
      <c r="L25" s="9" t="s">
        <v>314</v>
      </c>
      <c r="M25" s="10">
        <v>0.5</v>
      </c>
      <c r="N25" s="166">
        <f t="shared" si="2"/>
        <v>2500000</v>
      </c>
      <c r="O25" s="167">
        <f t="shared" si="3"/>
        <v>2.2351999999999999</v>
      </c>
      <c r="P25" s="165">
        <f t="shared" ref="P25:P30" si="72">+IF(N25="","",O25*N25)</f>
        <v>5588000</v>
      </c>
      <c r="Q25" s="136">
        <f t="shared" ref="Q25:Q30" si="73">+IF(P25="","",P25*M25)</f>
        <v>2794000</v>
      </c>
      <c r="R25" s="11"/>
      <c r="U25" s="9"/>
      <c r="V25" s="9" t="s">
        <v>314</v>
      </c>
      <c r="W25" s="10">
        <v>0.5</v>
      </c>
      <c r="X25" s="166">
        <f t="shared" si="4"/>
        <v>2500000</v>
      </c>
      <c r="Y25" s="167">
        <f t="shared" si="5"/>
        <v>2.2351999999999999</v>
      </c>
      <c r="Z25" s="165">
        <f t="shared" ref="Z25:Z30" si="74">+IF(X25="","",Y25*X25)</f>
        <v>5588000</v>
      </c>
      <c r="AA25" s="165">
        <f t="shared" ref="AA25:AA30" si="75">+IF(Z25="","",Z25*W25)</f>
        <v>2794000</v>
      </c>
      <c r="AB25" s="11"/>
      <c r="AD25" s="9"/>
      <c r="AE25" s="9" t="s">
        <v>314</v>
      </c>
      <c r="AF25" s="10">
        <v>0.5</v>
      </c>
      <c r="AG25" s="166">
        <f t="shared" si="6"/>
        <v>2500000</v>
      </c>
      <c r="AH25" s="167">
        <f t="shared" si="7"/>
        <v>2.2351999999999999</v>
      </c>
      <c r="AI25" s="165">
        <f t="shared" ref="AI25:AI30" si="76">+IF(AG25="","",AH25*AG25)</f>
        <v>5588000</v>
      </c>
      <c r="AJ25" s="165">
        <f t="shared" ref="AJ25:AJ30" si="77">+IF(AI25="","",AI25*AF25)</f>
        <v>2794000</v>
      </c>
      <c r="AK25" s="11"/>
      <c r="AN25" s="9"/>
      <c r="AO25" s="9"/>
      <c r="AP25" s="10"/>
      <c r="AQ25" s="166" t="str">
        <f t="shared" si="8"/>
        <v/>
      </c>
      <c r="AR25" s="167" t="str">
        <f t="shared" si="9"/>
        <v/>
      </c>
      <c r="AS25" s="165" t="str">
        <f t="shared" ref="AS25:AS30" si="78">+IF(AQ25="","",AR25*AQ25)</f>
        <v/>
      </c>
      <c r="AT25" s="165" t="str">
        <f t="shared" ref="AT25:AT30" si="79">+IF(AS25="","",AS25*AP25)</f>
        <v/>
      </c>
      <c r="AU25" s="11"/>
      <c r="AX25" s="9"/>
      <c r="AY25" s="9"/>
      <c r="AZ25" s="10"/>
      <c r="BA25" s="166" t="str">
        <f t="shared" si="10"/>
        <v/>
      </c>
      <c r="BB25" s="167" t="str">
        <f t="shared" si="11"/>
        <v/>
      </c>
      <c r="BC25" s="165" t="str">
        <f t="shared" ref="BC25:BC30" si="80">+IF(BA25="","",BB25*BA25)</f>
        <v/>
      </c>
      <c r="BD25" s="165" t="str">
        <f t="shared" ref="BD25:BD30" si="81">+IF(BC25="","",BC25*AZ25)</f>
        <v/>
      </c>
      <c r="BE25" s="11"/>
      <c r="BH25" s="9"/>
      <c r="BI25" s="9"/>
      <c r="BJ25" s="10"/>
      <c r="BK25" s="166" t="str">
        <f t="shared" si="12"/>
        <v/>
      </c>
      <c r="BL25" s="167" t="str">
        <f t="shared" si="13"/>
        <v/>
      </c>
      <c r="BM25" s="165" t="str">
        <f t="shared" ref="BM25:BM30" si="82">+IF(BK25="","",BL25*BK25)</f>
        <v/>
      </c>
      <c r="BN25" s="165" t="str">
        <f t="shared" ref="BN25:BN30" si="83">+IF(BM25="","",BM25*BJ25)</f>
        <v/>
      </c>
      <c r="BO25" s="11"/>
      <c r="BR25" s="9"/>
      <c r="BS25" s="9"/>
      <c r="BT25" s="10"/>
      <c r="BU25" s="166" t="str">
        <f t="shared" si="14"/>
        <v/>
      </c>
      <c r="BV25" s="167" t="str">
        <f t="shared" si="15"/>
        <v/>
      </c>
      <c r="BW25" s="165" t="str">
        <f t="shared" ref="BW25:BW30" si="84">+IF(BU25="","",BV25*BU25)</f>
        <v/>
      </c>
      <c r="BX25" s="165" t="str">
        <f t="shared" ref="BX25:BX30" si="85">+IF(BW25="","",BW25*BT25)</f>
        <v/>
      </c>
      <c r="BY25" s="11"/>
      <c r="CB25" s="9"/>
      <c r="CC25" s="9"/>
      <c r="CD25" s="10"/>
      <c r="CE25" s="166" t="str">
        <f t="shared" si="16"/>
        <v/>
      </c>
      <c r="CF25" s="167" t="str">
        <f t="shared" si="17"/>
        <v/>
      </c>
      <c r="CG25" s="165" t="str">
        <f t="shared" ref="CG25:CG30" si="86">+IF(CE25="","",CF25*CE25)</f>
        <v/>
      </c>
      <c r="CH25" s="165" t="str">
        <f t="shared" ref="CH25:CH30" si="87">+IF(CG25="","",CG25*CD25)</f>
        <v/>
      </c>
      <c r="CI25" s="11"/>
      <c r="CL25" s="9"/>
      <c r="CM25" s="9"/>
      <c r="CN25" s="10"/>
      <c r="CO25" s="166" t="str">
        <f t="shared" si="18"/>
        <v/>
      </c>
      <c r="CP25" s="167" t="str">
        <f t="shared" si="19"/>
        <v/>
      </c>
      <c r="CQ25" s="165" t="str">
        <f t="shared" ref="CQ25:CQ30" si="88">+IF(CO25="","",CP25*CO25)</f>
        <v/>
      </c>
      <c r="CR25" s="165" t="str">
        <f t="shared" ref="CR25:CR30" si="89">+IF(CQ25="","",CQ25*CN25)</f>
        <v/>
      </c>
      <c r="CS25" s="11"/>
      <c r="CV25" s="9"/>
      <c r="CW25" s="9"/>
      <c r="CX25" s="10"/>
      <c r="CY25" s="166" t="str">
        <f t="shared" si="20"/>
        <v/>
      </c>
      <c r="CZ25" s="167" t="str">
        <f t="shared" si="21"/>
        <v/>
      </c>
      <c r="DA25" s="165" t="str">
        <f t="shared" ref="DA25:DA30" si="90">+IF(CY25="","",CZ25*CY25)</f>
        <v/>
      </c>
      <c r="DB25" s="165" t="str">
        <f t="shared" ref="DB25:DB30" si="91">+IF(DA25="","",DA25*CX25)</f>
        <v/>
      </c>
      <c r="DC25" s="11"/>
      <c r="DF25" s="9"/>
      <c r="DG25" s="9"/>
      <c r="DH25" s="10"/>
      <c r="DI25" s="166" t="str">
        <f t="shared" si="22"/>
        <v/>
      </c>
      <c r="DJ25" s="167" t="str">
        <f t="shared" si="23"/>
        <v/>
      </c>
      <c r="DK25" s="165" t="str">
        <f t="shared" ref="DK25:DK30" si="92">+IF(DI25="","",DJ25*DI25)</f>
        <v/>
      </c>
      <c r="DL25" s="165" t="str">
        <f t="shared" ref="DL25:DL30" si="93">+IF(DK25="","",DK25*DH25)</f>
        <v/>
      </c>
      <c r="DM25" s="11"/>
      <c r="DP25" s="9"/>
      <c r="DQ25" s="9"/>
      <c r="DR25" s="10"/>
      <c r="DS25" s="166" t="str">
        <f t="shared" si="24"/>
        <v/>
      </c>
      <c r="DT25" s="167" t="str">
        <f t="shared" si="25"/>
        <v/>
      </c>
      <c r="DU25" s="165" t="str">
        <f t="shared" ref="DU25:DU30" si="94">+IF(DS25="","",DT25*DS25)</f>
        <v/>
      </c>
      <c r="DV25" s="165" t="str">
        <f t="shared" ref="DV25:DV30" si="95">+IF(DU25="","",DU25*DR25)</f>
        <v/>
      </c>
      <c r="DW25" s="11"/>
      <c r="DZ25" s="9"/>
      <c r="EA25" s="9"/>
      <c r="EB25" s="10"/>
      <c r="EC25" s="166" t="str">
        <f t="shared" si="26"/>
        <v/>
      </c>
      <c r="ED25" s="167" t="str">
        <f t="shared" si="27"/>
        <v/>
      </c>
      <c r="EE25" s="165" t="str">
        <f t="shared" ref="EE25:EE30" si="96">+IF(EC25="","",ED25*EC25)</f>
        <v/>
      </c>
      <c r="EF25" s="165" t="str">
        <f t="shared" ref="EF25:EF30" si="97">+IF(EE25="","",EE25*EB25)</f>
        <v/>
      </c>
      <c r="EG25" s="11"/>
      <c r="EJ25" s="9"/>
      <c r="EK25" s="9"/>
      <c r="EL25" s="10"/>
      <c r="EM25" s="166" t="str">
        <f t="shared" si="28"/>
        <v/>
      </c>
      <c r="EN25" s="167" t="str">
        <f t="shared" si="29"/>
        <v/>
      </c>
      <c r="EO25" s="165" t="str">
        <f t="shared" ref="EO25:EO30" si="98">+IF(EM25="","",EN25*EM25)</f>
        <v/>
      </c>
      <c r="EP25" s="165" t="str">
        <f t="shared" ref="EP25:EP30" si="99">+IF(EO25="","",EO25*EL25)</f>
        <v/>
      </c>
      <c r="EQ25" s="11"/>
      <c r="ET25" s="9"/>
      <c r="EU25" s="9"/>
      <c r="EV25" s="10"/>
      <c r="EW25" s="166" t="str">
        <f t="shared" si="30"/>
        <v/>
      </c>
      <c r="EX25" s="167" t="str">
        <f t="shared" si="31"/>
        <v/>
      </c>
      <c r="EY25" s="165" t="str">
        <f t="shared" ref="EY25:EY30" si="100">+IF(EW25="","",EX25*EW25)</f>
        <v/>
      </c>
      <c r="EZ25" s="165" t="str">
        <f t="shared" ref="EZ25:EZ30" si="101">+IF(EY25="","",EY25*EV25)</f>
        <v/>
      </c>
      <c r="FA25" s="11"/>
      <c r="FD25" s="9"/>
      <c r="FE25" s="9"/>
      <c r="FF25" s="10"/>
      <c r="FG25" s="166" t="str">
        <f t="shared" si="32"/>
        <v/>
      </c>
      <c r="FH25" s="167" t="str">
        <f t="shared" si="33"/>
        <v/>
      </c>
      <c r="FI25" s="165" t="str">
        <f t="shared" ref="FI25:FI30" si="102">+IF(FG25="","",FH25*FG25)</f>
        <v/>
      </c>
      <c r="FJ25" s="165" t="str">
        <f t="shared" ref="FJ25:FJ30" si="103">+IF(FI25="","",FI25*FF25)</f>
        <v/>
      </c>
      <c r="FK25" s="11"/>
      <c r="FN25" s="9"/>
      <c r="FO25" s="9"/>
      <c r="FP25" s="10"/>
      <c r="FQ25" s="166" t="str">
        <f t="shared" si="34"/>
        <v/>
      </c>
      <c r="FR25" s="167" t="str">
        <f t="shared" si="35"/>
        <v/>
      </c>
      <c r="FS25" s="165" t="str">
        <f t="shared" ref="FS25:FS30" si="104">+IF(FQ25="","",FR25*FQ25)</f>
        <v/>
      </c>
      <c r="FT25" s="165" t="str">
        <f t="shared" ref="FT25:FT30" si="105">+IF(FS25="","",FS25*FP25)</f>
        <v/>
      </c>
      <c r="FU25" s="11"/>
    </row>
    <row r="26" spans="1:177" x14ac:dyDescent="0.3">
      <c r="A26" s="9"/>
      <c r="B26" s="9" t="s">
        <v>315</v>
      </c>
      <c r="C26" s="10">
        <v>1</v>
      </c>
      <c r="D26" s="166" t="e">
        <f t="shared" si="0"/>
        <v>#N/A</v>
      </c>
      <c r="E26" s="167" t="e">
        <f t="shared" si="1"/>
        <v>#N/A</v>
      </c>
      <c r="F26" s="165" t="e">
        <f t="shared" si="36"/>
        <v>#N/A</v>
      </c>
      <c r="G26" s="165" t="e">
        <f t="shared" si="37"/>
        <v>#N/A</v>
      </c>
      <c r="H26" s="11"/>
      <c r="K26" s="9"/>
      <c r="L26" s="9" t="s">
        <v>315</v>
      </c>
      <c r="M26" s="10">
        <v>1</v>
      </c>
      <c r="N26" s="166" t="e">
        <f t="shared" si="2"/>
        <v>#N/A</v>
      </c>
      <c r="O26" s="167" t="e">
        <f t="shared" si="3"/>
        <v>#N/A</v>
      </c>
      <c r="P26" s="165" t="e">
        <f t="shared" si="72"/>
        <v>#N/A</v>
      </c>
      <c r="Q26" s="136" t="e">
        <f t="shared" si="73"/>
        <v>#N/A</v>
      </c>
      <c r="R26" s="11"/>
      <c r="U26" s="9"/>
      <c r="V26" s="9" t="s">
        <v>315</v>
      </c>
      <c r="W26" s="10">
        <v>1</v>
      </c>
      <c r="X26" s="166" t="e">
        <f t="shared" si="4"/>
        <v>#N/A</v>
      </c>
      <c r="Y26" s="167" t="e">
        <f t="shared" si="5"/>
        <v>#N/A</v>
      </c>
      <c r="Z26" s="165" t="e">
        <f t="shared" si="74"/>
        <v>#N/A</v>
      </c>
      <c r="AA26" s="165" t="e">
        <f t="shared" si="75"/>
        <v>#N/A</v>
      </c>
      <c r="AB26" s="11"/>
      <c r="AD26" s="9"/>
      <c r="AE26" s="9" t="s">
        <v>315</v>
      </c>
      <c r="AF26" s="10">
        <v>1</v>
      </c>
      <c r="AG26" s="166" t="e">
        <f t="shared" si="6"/>
        <v>#N/A</v>
      </c>
      <c r="AH26" s="167" t="e">
        <f t="shared" si="7"/>
        <v>#N/A</v>
      </c>
      <c r="AI26" s="165" t="e">
        <f t="shared" si="76"/>
        <v>#N/A</v>
      </c>
      <c r="AJ26" s="165" t="e">
        <f t="shared" si="77"/>
        <v>#N/A</v>
      </c>
      <c r="AK26" s="11"/>
      <c r="AN26" s="9"/>
      <c r="AO26" s="9"/>
      <c r="AP26" s="10"/>
      <c r="AQ26" s="166" t="str">
        <f t="shared" si="8"/>
        <v/>
      </c>
      <c r="AR26" s="167" t="str">
        <f t="shared" si="9"/>
        <v/>
      </c>
      <c r="AS26" s="165" t="str">
        <f t="shared" si="78"/>
        <v/>
      </c>
      <c r="AT26" s="165" t="str">
        <f t="shared" si="79"/>
        <v/>
      </c>
      <c r="AU26" s="11"/>
      <c r="AX26" s="9"/>
      <c r="AY26" s="9"/>
      <c r="AZ26" s="10"/>
      <c r="BA26" s="166" t="str">
        <f t="shared" si="10"/>
        <v/>
      </c>
      <c r="BB26" s="167" t="str">
        <f t="shared" si="11"/>
        <v/>
      </c>
      <c r="BC26" s="165" t="str">
        <f t="shared" si="80"/>
        <v/>
      </c>
      <c r="BD26" s="165" t="str">
        <f t="shared" si="81"/>
        <v/>
      </c>
      <c r="BE26" s="11"/>
      <c r="BH26" s="9"/>
      <c r="BI26" s="9"/>
      <c r="BJ26" s="10"/>
      <c r="BK26" s="166" t="str">
        <f t="shared" si="12"/>
        <v/>
      </c>
      <c r="BL26" s="167" t="str">
        <f t="shared" si="13"/>
        <v/>
      </c>
      <c r="BM26" s="165" t="str">
        <f t="shared" si="82"/>
        <v/>
      </c>
      <c r="BN26" s="165" t="str">
        <f t="shared" si="83"/>
        <v/>
      </c>
      <c r="BO26" s="11"/>
      <c r="BR26" s="9"/>
      <c r="BS26" s="9"/>
      <c r="BT26" s="10"/>
      <c r="BU26" s="166" t="str">
        <f t="shared" si="14"/>
        <v/>
      </c>
      <c r="BV26" s="167" t="str">
        <f t="shared" si="15"/>
        <v/>
      </c>
      <c r="BW26" s="165" t="str">
        <f t="shared" si="84"/>
        <v/>
      </c>
      <c r="BX26" s="165" t="str">
        <f t="shared" si="85"/>
        <v/>
      </c>
      <c r="BY26" s="11"/>
      <c r="CB26" s="9"/>
      <c r="CC26" s="9"/>
      <c r="CD26" s="10"/>
      <c r="CE26" s="166" t="str">
        <f t="shared" si="16"/>
        <v/>
      </c>
      <c r="CF26" s="167" t="str">
        <f t="shared" si="17"/>
        <v/>
      </c>
      <c r="CG26" s="165" t="str">
        <f t="shared" si="86"/>
        <v/>
      </c>
      <c r="CH26" s="165" t="str">
        <f t="shared" si="87"/>
        <v/>
      </c>
      <c r="CI26" s="11"/>
      <c r="CL26" s="9"/>
      <c r="CM26" s="9"/>
      <c r="CN26" s="10"/>
      <c r="CO26" s="166" t="str">
        <f t="shared" si="18"/>
        <v/>
      </c>
      <c r="CP26" s="167" t="str">
        <f t="shared" si="19"/>
        <v/>
      </c>
      <c r="CQ26" s="165" t="str">
        <f t="shared" si="88"/>
        <v/>
      </c>
      <c r="CR26" s="165" t="str">
        <f t="shared" si="89"/>
        <v/>
      </c>
      <c r="CS26" s="11"/>
      <c r="CV26" s="9"/>
      <c r="CW26" s="9"/>
      <c r="CX26" s="10"/>
      <c r="CY26" s="166" t="str">
        <f t="shared" si="20"/>
        <v/>
      </c>
      <c r="CZ26" s="167" t="str">
        <f t="shared" si="21"/>
        <v/>
      </c>
      <c r="DA26" s="165" t="str">
        <f t="shared" si="90"/>
        <v/>
      </c>
      <c r="DB26" s="165" t="str">
        <f t="shared" si="91"/>
        <v/>
      </c>
      <c r="DC26" s="11"/>
      <c r="DF26" s="9"/>
      <c r="DG26" s="9"/>
      <c r="DH26" s="10"/>
      <c r="DI26" s="166" t="str">
        <f t="shared" si="22"/>
        <v/>
      </c>
      <c r="DJ26" s="167" t="str">
        <f t="shared" si="23"/>
        <v/>
      </c>
      <c r="DK26" s="165" t="str">
        <f t="shared" si="92"/>
        <v/>
      </c>
      <c r="DL26" s="165" t="str">
        <f t="shared" si="93"/>
        <v/>
      </c>
      <c r="DM26" s="11"/>
      <c r="DP26" s="9"/>
      <c r="DQ26" s="9"/>
      <c r="DR26" s="10"/>
      <c r="DS26" s="166" t="str">
        <f t="shared" si="24"/>
        <v/>
      </c>
      <c r="DT26" s="167" t="str">
        <f t="shared" si="25"/>
        <v/>
      </c>
      <c r="DU26" s="165" t="str">
        <f t="shared" si="94"/>
        <v/>
      </c>
      <c r="DV26" s="165" t="str">
        <f t="shared" si="95"/>
        <v/>
      </c>
      <c r="DW26" s="11"/>
      <c r="DZ26" s="9"/>
      <c r="EA26" s="9"/>
      <c r="EB26" s="10"/>
      <c r="EC26" s="166" t="str">
        <f t="shared" si="26"/>
        <v/>
      </c>
      <c r="ED26" s="167" t="str">
        <f t="shared" si="27"/>
        <v/>
      </c>
      <c r="EE26" s="165" t="str">
        <f t="shared" si="96"/>
        <v/>
      </c>
      <c r="EF26" s="165" t="str">
        <f t="shared" si="97"/>
        <v/>
      </c>
      <c r="EG26" s="11"/>
      <c r="EJ26" s="9"/>
      <c r="EK26" s="9"/>
      <c r="EL26" s="10"/>
      <c r="EM26" s="166" t="str">
        <f t="shared" si="28"/>
        <v/>
      </c>
      <c r="EN26" s="167" t="str">
        <f t="shared" si="29"/>
        <v/>
      </c>
      <c r="EO26" s="165" t="str">
        <f t="shared" si="98"/>
        <v/>
      </c>
      <c r="EP26" s="165" t="str">
        <f t="shared" si="99"/>
        <v/>
      </c>
      <c r="EQ26" s="11"/>
      <c r="ET26" s="9"/>
      <c r="EU26" s="9"/>
      <c r="EV26" s="10"/>
      <c r="EW26" s="166" t="str">
        <f t="shared" si="30"/>
        <v/>
      </c>
      <c r="EX26" s="167" t="str">
        <f t="shared" si="31"/>
        <v/>
      </c>
      <c r="EY26" s="165" t="str">
        <f t="shared" si="100"/>
        <v/>
      </c>
      <c r="EZ26" s="165" t="str">
        <f t="shared" si="101"/>
        <v/>
      </c>
      <c r="FA26" s="11"/>
      <c r="FD26" s="9"/>
      <c r="FE26" s="9"/>
      <c r="FF26" s="10"/>
      <c r="FG26" s="166" t="str">
        <f t="shared" si="32"/>
        <v/>
      </c>
      <c r="FH26" s="167" t="str">
        <f t="shared" si="33"/>
        <v/>
      </c>
      <c r="FI26" s="165" t="str">
        <f t="shared" si="102"/>
        <v/>
      </c>
      <c r="FJ26" s="165" t="str">
        <f t="shared" si="103"/>
        <v/>
      </c>
      <c r="FK26" s="11"/>
      <c r="FN26" s="9"/>
      <c r="FO26" s="9"/>
      <c r="FP26" s="10"/>
      <c r="FQ26" s="166" t="str">
        <f t="shared" si="34"/>
        <v/>
      </c>
      <c r="FR26" s="167" t="str">
        <f t="shared" si="35"/>
        <v/>
      </c>
      <c r="FS26" s="165" t="str">
        <f t="shared" si="104"/>
        <v/>
      </c>
      <c r="FT26" s="165" t="str">
        <f t="shared" si="105"/>
        <v/>
      </c>
      <c r="FU26" s="11"/>
    </row>
    <row r="27" spans="1:177" x14ac:dyDescent="0.3">
      <c r="A27" s="9"/>
      <c r="B27" s="9" t="s">
        <v>478</v>
      </c>
      <c r="C27" s="10">
        <v>2</v>
      </c>
      <c r="D27" s="166">
        <f t="shared" si="0"/>
        <v>3000000</v>
      </c>
      <c r="E27" s="167">
        <f t="shared" si="1"/>
        <v>2.1352000000000002</v>
      </c>
      <c r="F27" s="165">
        <f t="shared" si="36"/>
        <v>6405600.0000000009</v>
      </c>
      <c r="G27" s="165">
        <f t="shared" si="37"/>
        <v>12811200.000000002</v>
      </c>
      <c r="H27" s="11"/>
      <c r="K27" s="9"/>
      <c r="L27" s="9" t="s">
        <v>478</v>
      </c>
      <c r="M27" s="10">
        <v>2</v>
      </c>
      <c r="N27" s="166">
        <f t="shared" si="2"/>
        <v>3000000</v>
      </c>
      <c r="O27" s="167">
        <f t="shared" si="3"/>
        <v>2.1352000000000002</v>
      </c>
      <c r="P27" s="165">
        <f t="shared" si="72"/>
        <v>6405600.0000000009</v>
      </c>
      <c r="Q27" s="136">
        <f t="shared" si="73"/>
        <v>12811200.000000002</v>
      </c>
      <c r="R27" s="11"/>
      <c r="U27" s="9"/>
      <c r="V27" s="9" t="s">
        <v>478</v>
      </c>
      <c r="W27" s="10">
        <v>2</v>
      </c>
      <c r="X27" s="166">
        <f t="shared" si="4"/>
        <v>3000000</v>
      </c>
      <c r="Y27" s="167">
        <f t="shared" si="5"/>
        <v>2.1352000000000002</v>
      </c>
      <c r="Z27" s="165">
        <f t="shared" si="74"/>
        <v>6405600.0000000009</v>
      </c>
      <c r="AA27" s="165">
        <f t="shared" si="75"/>
        <v>12811200.000000002</v>
      </c>
      <c r="AB27" s="11"/>
      <c r="AD27" s="9"/>
      <c r="AE27" s="9" t="s">
        <v>478</v>
      </c>
      <c r="AF27" s="10">
        <v>2</v>
      </c>
      <c r="AG27" s="166">
        <f t="shared" si="6"/>
        <v>3000000</v>
      </c>
      <c r="AH27" s="167">
        <f t="shared" si="7"/>
        <v>2.1352000000000002</v>
      </c>
      <c r="AI27" s="165">
        <f t="shared" si="76"/>
        <v>6405600.0000000009</v>
      </c>
      <c r="AJ27" s="165">
        <f t="shared" si="77"/>
        <v>12811200.000000002</v>
      </c>
      <c r="AK27" s="11"/>
      <c r="AN27" s="9"/>
      <c r="AO27" s="9"/>
      <c r="AP27" s="10"/>
      <c r="AQ27" s="166" t="str">
        <f t="shared" si="8"/>
        <v/>
      </c>
      <c r="AR27" s="167" t="str">
        <f t="shared" si="9"/>
        <v/>
      </c>
      <c r="AS27" s="165" t="str">
        <f t="shared" si="78"/>
        <v/>
      </c>
      <c r="AT27" s="165" t="str">
        <f t="shared" si="79"/>
        <v/>
      </c>
      <c r="AU27" s="11"/>
      <c r="AX27" s="9"/>
      <c r="AY27" s="9"/>
      <c r="AZ27" s="10"/>
      <c r="BA27" s="166" t="str">
        <f t="shared" si="10"/>
        <v/>
      </c>
      <c r="BB27" s="167" t="str">
        <f t="shared" si="11"/>
        <v/>
      </c>
      <c r="BC27" s="165" t="str">
        <f t="shared" si="80"/>
        <v/>
      </c>
      <c r="BD27" s="165" t="str">
        <f t="shared" si="81"/>
        <v/>
      </c>
      <c r="BE27" s="11"/>
      <c r="BH27" s="9"/>
      <c r="BI27" s="9"/>
      <c r="BJ27" s="10"/>
      <c r="BK27" s="166" t="str">
        <f t="shared" si="12"/>
        <v/>
      </c>
      <c r="BL27" s="167" t="str">
        <f t="shared" si="13"/>
        <v/>
      </c>
      <c r="BM27" s="165" t="str">
        <f t="shared" si="82"/>
        <v/>
      </c>
      <c r="BN27" s="165" t="str">
        <f t="shared" si="83"/>
        <v/>
      </c>
      <c r="BO27" s="11"/>
      <c r="BR27" s="9"/>
      <c r="BS27" s="9"/>
      <c r="BT27" s="10"/>
      <c r="BU27" s="166" t="str">
        <f t="shared" si="14"/>
        <v/>
      </c>
      <c r="BV27" s="167" t="str">
        <f t="shared" si="15"/>
        <v/>
      </c>
      <c r="BW27" s="165" t="str">
        <f t="shared" si="84"/>
        <v/>
      </c>
      <c r="BX27" s="165" t="str">
        <f t="shared" si="85"/>
        <v/>
      </c>
      <c r="BY27" s="11"/>
      <c r="CB27" s="9"/>
      <c r="CC27" s="9"/>
      <c r="CD27" s="10"/>
      <c r="CE27" s="166" t="str">
        <f t="shared" si="16"/>
        <v/>
      </c>
      <c r="CF27" s="167" t="str">
        <f t="shared" si="17"/>
        <v/>
      </c>
      <c r="CG27" s="165" t="str">
        <f t="shared" si="86"/>
        <v/>
      </c>
      <c r="CH27" s="165" t="str">
        <f t="shared" si="87"/>
        <v/>
      </c>
      <c r="CI27" s="11"/>
      <c r="CL27" s="9"/>
      <c r="CM27" s="9"/>
      <c r="CN27" s="10"/>
      <c r="CO27" s="166" t="str">
        <f t="shared" si="18"/>
        <v/>
      </c>
      <c r="CP27" s="167" t="str">
        <f t="shared" si="19"/>
        <v/>
      </c>
      <c r="CQ27" s="165" t="str">
        <f t="shared" si="88"/>
        <v/>
      </c>
      <c r="CR27" s="165" t="str">
        <f t="shared" si="89"/>
        <v/>
      </c>
      <c r="CS27" s="11"/>
      <c r="CV27" s="9"/>
      <c r="CW27" s="9"/>
      <c r="CX27" s="10"/>
      <c r="CY27" s="166" t="str">
        <f t="shared" si="20"/>
        <v/>
      </c>
      <c r="CZ27" s="167" t="str">
        <f t="shared" si="21"/>
        <v/>
      </c>
      <c r="DA27" s="165" t="str">
        <f t="shared" si="90"/>
        <v/>
      </c>
      <c r="DB27" s="165" t="str">
        <f t="shared" si="91"/>
        <v/>
      </c>
      <c r="DC27" s="11"/>
      <c r="DF27" s="9"/>
      <c r="DG27" s="9"/>
      <c r="DH27" s="10"/>
      <c r="DI27" s="166" t="str">
        <f t="shared" si="22"/>
        <v/>
      </c>
      <c r="DJ27" s="167" t="str">
        <f t="shared" si="23"/>
        <v/>
      </c>
      <c r="DK27" s="165" t="str">
        <f t="shared" si="92"/>
        <v/>
      </c>
      <c r="DL27" s="165" t="str">
        <f t="shared" si="93"/>
        <v/>
      </c>
      <c r="DM27" s="11"/>
      <c r="DP27" s="9"/>
      <c r="DQ27" s="9"/>
      <c r="DR27" s="10"/>
      <c r="DS27" s="166" t="str">
        <f t="shared" si="24"/>
        <v/>
      </c>
      <c r="DT27" s="167" t="str">
        <f t="shared" si="25"/>
        <v/>
      </c>
      <c r="DU27" s="165" t="str">
        <f t="shared" si="94"/>
        <v/>
      </c>
      <c r="DV27" s="165" t="str">
        <f t="shared" si="95"/>
        <v/>
      </c>
      <c r="DW27" s="11"/>
      <c r="DZ27" s="9"/>
      <c r="EA27" s="9"/>
      <c r="EB27" s="10"/>
      <c r="EC27" s="166" t="str">
        <f t="shared" si="26"/>
        <v/>
      </c>
      <c r="ED27" s="167" t="str">
        <f t="shared" si="27"/>
        <v/>
      </c>
      <c r="EE27" s="165" t="str">
        <f t="shared" si="96"/>
        <v/>
      </c>
      <c r="EF27" s="165" t="str">
        <f t="shared" si="97"/>
        <v/>
      </c>
      <c r="EG27" s="11"/>
      <c r="EJ27" s="9"/>
      <c r="EK27" s="9"/>
      <c r="EL27" s="10"/>
      <c r="EM27" s="166" t="str">
        <f t="shared" si="28"/>
        <v/>
      </c>
      <c r="EN27" s="167" t="str">
        <f t="shared" si="29"/>
        <v/>
      </c>
      <c r="EO27" s="165" t="str">
        <f t="shared" si="98"/>
        <v/>
      </c>
      <c r="EP27" s="165" t="str">
        <f t="shared" si="99"/>
        <v/>
      </c>
      <c r="EQ27" s="11"/>
      <c r="ET27" s="9"/>
      <c r="EU27" s="9"/>
      <c r="EV27" s="10"/>
      <c r="EW27" s="166" t="str">
        <f t="shared" si="30"/>
        <v/>
      </c>
      <c r="EX27" s="167" t="str">
        <f t="shared" si="31"/>
        <v/>
      </c>
      <c r="EY27" s="165" t="str">
        <f t="shared" si="100"/>
        <v/>
      </c>
      <c r="EZ27" s="165" t="str">
        <f t="shared" si="101"/>
        <v/>
      </c>
      <c r="FA27" s="11"/>
      <c r="FD27" s="9"/>
      <c r="FE27" s="9"/>
      <c r="FF27" s="10"/>
      <c r="FG27" s="166" t="str">
        <f t="shared" si="32"/>
        <v/>
      </c>
      <c r="FH27" s="167" t="str">
        <f t="shared" si="33"/>
        <v/>
      </c>
      <c r="FI27" s="165" t="str">
        <f t="shared" si="102"/>
        <v/>
      </c>
      <c r="FJ27" s="165" t="str">
        <f t="shared" si="103"/>
        <v/>
      </c>
      <c r="FK27" s="11"/>
      <c r="FN27" s="9"/>
      <c r="FO27" s="9"/>
      <c r="FP27" s="10"/>
      <c r="FQ27" s="166" t="str">
        <f t="shared" si="34"/>
        <v/>
      </c>
      <c r="FR27" s="167" t="str">
        <f t="shared" si="35"/>
        <v/>
      </c>
      <c r="FS27" s="165" t="str">
        <f t="shared" si="104"/>
        <v/>
      </c>
      <c r="FT27" s="165" t="str">
        <f t="shared" si="105"/>
        <v/>
      </c>
      <c r="FU27" s="11"/>
    </row>
    <row r="28" spans="1:177" x14ac:dyDescent="0.3">
      <c r="A28" s="9"/>
      <c r="B28" s="9" t="s">
        <v>479</v>
      </c>
      <c r="C28" s="10">
        <v>1</v>
      </c>
      <c r="D28" s="166">
        <f t="shared" si="0"/>
        <v>4000000</v>
      </c>
      <c r="E28" s="167">
        <f t="shared" si="1"/>
        <v>2.0102000000000002</v>
      </c>
      <c r="F28" s="165">
        <f t="shared" si="36"/>
        <v>8040800.0000000009</v>
      </c>
      <c r="G28" s="165">
        <f t="shared" si="37"/>
        <v>8040800.0000000009</v>
      </c>
      <c r="H28" s="11"/>
      <c r="K28" s="9"/>
      <c r="L28" s="9" t="s">
        <v>479</v>
      </c>
      <c r="M28" s="10">
        <v>1</v>
      </c>
      <c r="N28" s="166">
        <f t="shared" si="2"/>
        <v>4000000</v>
      </c>
      <c r="O28" s="167">
        <f t="shared" si="3"/>
        <v>2.0102000000000002</v>
      </c>
      <c r="P28" s="165">
        <f t="shared" si="72"/>
        <v>8040800.0000000009</v>
      </c>
      <c r="Q28" s="136">
        <f t="shared" si="73"/>
        <v>8040800.0000000009</v>
      </c>
      <c r="R28" s="11"/>
      <c r="U28" s="9"/>
      <c r="V28" s="9" t="s">
        <v>479</v>
      </c>
      <c r="W28" s="10">
        <v>1</v>
      </c>
      <c r="X28" s="166">
        <f t="shared" si="4"/>
        <v>4000000</v>
      </c>
      <c r="Y28" s="167">
        <f t="shared" si="5"/>
        <v>2.0102000000000002</v>
      </c>
      <c r="Z28" s="165">
        <f t="shared" si="74"/>
        <v>8040800.0000000009</v>
      </c>
      <c r="AA28" s="165">
        <f t="shared" si="75"/>
        <v>8040800.0000000009</v>
      </c>
      <c r="AB28" s="11"/>
      <c r="AD28" s="9"/>
      <c r="AE28" s="9" t="s">
        <v>479</v>
      </c>
      <c r="AF28" s="10">
        <v>1</v>
      </c>
      <c r="AG28" s="166">
        <f t="shared" si="6"/>
        <v>4000000</v>
      </c>
      <c r="AH28" s="167">
        <f t="shared" si="7"/>
        <v>2.0102000000000002</v>
      </c>
      <c r="AI28" s="165">
        <f t="shared" si="76"/>
        <v>8040800.0000000009</v>
      </c>
      <c r="AJ28" s="165">
        <f t="shared" si="77"/>
        <v>8040800.0000000009</v>
      </c>
      <c r="AK28" s="11"/>
      <c r="AN28" s="9"/>
      <c r="AO28" s="9"/>
      <c r="AP28" s="10"/>
      <c r="AQ28" s="166" t="str">
        <f t="shared" si="8"/>
        <v/>
      </c>
      <c r="AR28" s="167" t="str">
        <f t="shared" si="9"/>
        <v/>
      </c>
      <c r="AS28" s="165" t="str">
        <f t="shared" si="78"/>
        <v/>
      </c>
      <c r="AT28" s="165" t="str">
        <f t="shared" si="79"/>
        <v/>
      </c>
      <c r="AU28" s="11"/>
      <c r="AX28" s="9"/>
      <c r="AY28" s="9"/>
      <c r="AZ28" s="10"/>
      <c r="BA28" s="166" t="str">
        <f t="shared" si="10"/>
        <v/>
      </c>
      <c r="BB28" s="167" t="str">
        <f t="shared" si="11"/>
        <v/>
      </c>
      <c r="BC28" s="165" t="str">
        <f t="shared" si="80"/>
        <v/>
      </c>
      <c r="BD28" s="165" t="str">
        <f t="shared" si="81"/>
        <v/>
      </c>
      <c r="BE28" s="11"/>
      <c r="BH28" s="9"/>
      <c r="BI28" s="9"/>
      <c r="BJ28" s="10"/>
      <c r="BK28" s="166" t="str">
        <f t="shared" si="12"/>
        <v/>
      </c>
      <c r="BL28" s="167" t="str">
        <f t="shared" si="13"/>
        <v/>
      </c>
      <c r="BM28" s="165" t="str">
        <f t="shared" si="82"/>
        <v/>
      </c>
      <c r="BN28" s="165" t="str">
        <f t="shared" si="83"/>
        <v/>
      </c>
      <c r="BO28" s="11"/>
      <c r="BR28" s="9"/>
      <c r="BS28" s="9"/>
      <c r="BT28" s="10"/>
      <c r="BU28" s="166" t="str">
        <f t="shared" si="14"/>
        <v/>
      </c>
      <c r="BV28" s="167" t="str">
        <f t="shared" si="15"/>
        <v/>
      </c>
      <c r="BW28" s="165" t="str">
        <f t="shared" si="84"/>
        <v/>
      </c>
      <c r="BX28" s="165" t="str">
        <f t="shared" si="85"/>
        <v/>
      </c>
      <c r="BY28" s="11"/>
      <c r="CB28" s="9"/>
      <c r="CC28" s="9"/>
      <c r="CD28" s="10"/>
      <c r="CE28" s="166" t="str">
        <f t="shared" si="16"/>
        <v/>
      </c>
      <c r="CF28" s="167" t="str">
        <f t="shared" si="17"/>
        <v/>
      </c>
      <c r="CG28" s="165" t="str">
        <f t="shared" si="86"/>
        <v/>
      </c>
      <c r="CH28" s="165" t="str">
        <f t="shared" si="87"/>
        <v/>
      </c>
      <c r="CI28" s="11"/>
      <c r="CL28" s="9"/>
      <c r="CM28" s="9"/>
      <c r="CN28" s="10"/>
      <c r="CO28" s="166" t="str">
        <f t="shared" si="18"/>
        <v/>
      </c>
      <c r="CP28" s="167" t="str">
        <f t="shared" si="19"/>
        <v/>
      </c>
      <c r="CQ28" s="165" t="str">
        <f t="shared" si="88"/>
        <v/>
      </c>
      <c r="CR28" s="165" t="str">
        <f t="shared" si="89"/>
        <v/>
      </c>
      <c r="CS28" s="11"/>
      <c r="CV28" s="9"/>
      <c r="CW28" s="9"/>
      <c r="CX28" s="10"/>
      <c r="CY28" s="166" t="str">
        <f t="shared" si="20"/>
        <v/>
      </c>
      <c r="CZ28" s="167" t="str">
        <f t="shared" si="21"/>
        <v/>
      </c>
      <c r="DA28" s="165" t="str">
        <f t="shared" si="90"/>
        <v/>
      </c>
      <c r="DB28" s="165" t="str">
        <f t="shared" si="91"/>
        <v/>
      </c>
      <c r="DC28" s="11"/>
      <c r="DF28" s="9"/>
      <c r="DG28" s="9"/>
      <c r="DH28" s="10"/>
      <c r="DI28" s="166" t="str">
        <f t="shared" si="22"/>
        <v/>
      </c>
      <c r="DJ28" s="167" t="str">
        <f t="shared" si="23"/>
        <v/>
      </c>
      <c r="DK28" s="165" t="str">
        <f t="shared" si="92"/>
        <v/>
      </c>
      <c r="DL28" s="165" t="str">
        <f t="shared" si="93"/>
        <v/>
      </c>
      <c r="DM28" s="11"/>
      <c r="DP28" s="9"/>
      <c r="DQ28" s="9"/>
      <c r="DR28" s="10"/>
      <c r="DS28" s="166" t="str">
        <f t="shared" si="24"/>
        <v/>
      </c>
      <c r="DT28" s="167" t="str">
        <f t="shared" si="25"/>
        <v/>
      </c>
      <c r="DU28" s="165" t="str">
        <f t="shared" si="94"/>
        <v/>
      </c>
      <c r="DV28" s="165" t="str">
        <f t="shared" si="95"/>
        <v/>
      </c>
      <c r="DW28" s="11"/>
      <c r="DZ28" s="9"/>
      <c r="EA28" s="9"/>
      <c r="EB28" s="10"/>
      <c r="EC28" s="166" t="str">
        <f t="shared" si="26"/>
        <v/>
      </c>
      <c r="ED28" s="167" t="str">
        <f t="shared" si="27"/>
        <v/>
      </c>
      <c r="EE28" s="165" t="str">
        <f t="shared" si="96"/>
        <v/>
      </c>
      <c r="EF28" s="165" t="str">
        <f t="shared" si="97"/>
        <v/>
      </c>
      <c r="EG28" s="11"/>
      <c r="EJ28" s="9"/>
      <c r="EK28" s="9"/>
      <c r="EL28" s="10"/>
      <c r="EM28" s="166" t="str">
        <f t="shared" si="28"/>
        <v/>
      </c>
      <c r="EN28" s="167" t="str">
        <f t="shared" si="29"/>
        <v/>
      </c>
      <c r="EO28" s="165" t="str">
        <f t="shared" si="98"/>
        <v/>
      </c>
      <c r="EP28" s="165" t="str">
        <f t="shared" si="99"/>
        <v/>
      </c>
      <c r="EQ28" s="11"/>
      <c r="ET28" s="9"/>
      <c r="EU28" s="9"/>
      <c r="EV28" s="10"/>
      <c r="EW28" s="166" t="str">
        <f t="shared" si="30"/>
        <v/>
      </c>
      <c r="EX28" s="167" t="str">
        <f t="shared" si="31"/>
        <v/>
      </c>
      <c r="EY28" s="165" t="str">
        <f t="shared" si="100"/>
        <v/>
      </c>
      <c r="EZ28" s="165" t="str">
        <f t="shared" si="101"/>
        <v/>
      </c>
      <c r="FA28" s="11"/>
      <c r="FD28" s="9"/>
      <c r="FE28" s="9"/>
      <c r="FF28" s="10"/>
      <c r="FG28" s="166" t="str">
        <f t="shared" si="32"/>
        <v/>
      </c>
      <c r="FH28" s="167" t="str">
        <f t="shared" si="33"/>
        <v/>
      </c>
      <c r="FI28" s="165" t="str">
        <f t="shared" si="102"/>
        <v/>
      </c>
      <c r="FJ28" s="165" t="str">
        <f t="shared" si="103"/>
        <v/>
      </c>
      <c r="FK28" s="11"/>
      <c r="FN28" s="9"/>
      <c r="FO28" s="9"/>
      <c r="FP28" s="10"/>
      <c r="FQ28" s="166" t="str">
        <f t="shared" si="34"/>
        <v/>
      </c>
      <c r="FR28" s="167" t="str">
        <f t="shared" si="35"/>
        <v/>
      </c>
      <c r="FS28" s="165" t="str">
        <f t="shared" si="104"/>
        <v/>
      </c>
      <c r="FT28" s="165" t="str">
        <f t="shared" si="105"/>
        <v/>
      </c>
      <c r="FU28" s="11"/>
    </row>
    <row r="29" spans="1:177" x14ac:dyDescent="0.3">
      <c r="A29" s="9"/>
      <c r="B29" s="9" t="s">
        <v>480</v>
      </c>
      <c r="C29" s="10">
        <v>0.5</v>
      </c>
      <c r="D29" s="166">
        <f t="shared" si="0"/>
        <v>4000000</v>
      </c>
      <c r="E29" s="167">
        <f t="shared" si="1"/>
        <v>2.0102000000000002</v>
      </c>
      <c r="F29" s="165">
        <f t="shared" si="36"/>
        <v>8040800.0000000009</v>
      </c>
      <c r="G29" s="165">
        <f t="shared" si="37"/>
        <v>4020400.0000000005</v>
      </c>
      <c r="H29" s="11"/>
      <c r="K29" s="9"/>
      <c r="L29" s="9" t="s">
        <v>480</v>
      </c>
      <c r="M29" s="10">
        <v>0.5</v>
      </c>
      <c r="N29" s="166">
        <f t="shared" si="2"/>
        <v>4000000</v>
      </c>
      <c r="O29" s="167">
        <f t="shared" si="3"/>
        <v>2.0102000000000002</v>
      </c>
      <c r="P29" s="165">
        <f t="shared" si="72"/>
        <v>8040800.0000000009</v>
      </c>
      <c r="Q29" s="136">
        <f t="shared" si="73"/>
        <v>4020400.0000000005</v>
      </c>
      <c r="R29" s="11"/>
      <c r="U29" s="9"/>
      <c r="V29" s="9" t="s">
        <v>480</v>
      </c>
      <c r="W29" s="10">
        <v>0.5</v>
      </c>
      <c r="X29" s="166">
        <f t="shared" si="4"/>
        <v>4000000</v>
      </c>
      <c r="Y29" s="167">
        <f t="shared" si="5"/>
        <v>2.0102000000000002</v>
      </c>
      <c r="Z29" s="165">
        <f t="shared" si="74"/>
        <v>8040800.0000000009</v>
      </c>
      <c r="AA29" s="165">
        <f t="shared" si="75"/>
        <v>4020400.0000000005</v>
      </c>
      <c r="AB29" s="11"/>
      <c r="AD29" s="9"/>
      <c r="AE29" s="9" t="s">
        <v>480</v>
      </c>
      <c r="AF29" s="10">
        <v>0.5</v>
      </c>
      <c r="AG29" s="166">
        <f t="shared" si="6"/>
        <v>4000000</v>
      </c>
      <c r="AH29" s="167">
        <f t="shared" si="7"/>
        <v>2.0102000000000002</v>
      </c>
      <c r="AI29" s="165">
        <f t="shared" si="76"/>
        <v>8040800.0000000009</v>
      </c>
      <c r="AJ29" s="165">
        <f t="shared" si="77"/>
        <v>4020400.0000000005</v>
      </c>
      <c r="AK29" s="11"/>
      <c r="AN29" s="9"/>
      <c r="AO29" s="9"/>
      <c r="AP29" s="10"/>
      <c r="AQ29" s="166" t="str">
        <f t="shared" si="8"/>
        <v/>
      </c>
      <c r="AR29" s="167" t="str">
        <f t="shared" si="9"/>
        <v/>
      </c>
      <c r="AS29" s="165" t="str">
        <f t="shared" si="78"/>
        <v/>
      </c>
      <c r="AT29" s="165" t="str">
        <f t="shared" si="79"/>
        <v/>
      </c>
      <c r="AU29" s="11"/>
      <c r="AX29" s="9"/>
      <c r="AY29" s="9"/>
      <c r="AZ29" s="10"/>
      <c r="BA29" s="166" t="str">
        <f t="shared" si="10"/>
        <v/>
      </c>
      <c r="BB29" s="167" t="str">
        <f t="shared" si="11"/>
        <v/>
      </c>
      <c r="BC29" s="165" t="str">
        <f t="shared" si="80"/>
        <v/>
      </c>
      <c r="BD29" s="165" t="str">
        <f t="shared" si="81"/>
        <v/>
      </c>
      <c r="BE29" s="11"/>
      <c r="BH29" s="9"/>
      <c r="BI29" s="9"/>
      <c r="BJ29" s="10"/>
      <c r="BK29" s="166" t="str">
        <f t="shared" si="12"/>
        <v/>
      </c>
      <c r="BL29" s="167" t="str">
        <f t="shared" si="13"/>
        <v/>
      </c>
      <c r="BM29" s="165" t="str">
        <f t="shared" si="82"/>
        <v/>
      </c>
      <c r="BN29" s="165" t="str">
        <f t="shared" si="83"/>
        <v/>
      </c>
      <c r="BO29" s="11"/>
      <c r="BR29" s="9"/>
      <c r="BS29" s="9"/>
      <c r="BT29" s="10"/>
      <c r="BU29" s="166" t="str">
        <f t="shared" si="14"/>
        <v/>
      </c>
      <c r="BV29" s="167" t="str">
        <f t="shared" si="15"/>
        <v/>
      </c>
      <c r="BW29" s="165" t="str">
        <f t="shared" si="84"/>
        <v/>
      </c>
      <c r="BX29" s="165" t="str">
        <f t="shared" si="85"/>
        <v/>
      </c>
      <c r="BY29" s="11"/>
      <c r="CB29" s="9"/>
      <c r="CC29" s="9"/>
      <c r="CD29" s="10"/>
      <c r="CE29" s="166" t="str">
        <f t="shared" si="16"/>
        <v/>
      </c>
      <c r="CF29" s="167" t="str">
        <f t="shared" si="17"/>
        <v/>
      </c>
      <c r="CG29" s="165" t="str">
        <f t="shared" si="86"/>
        <v/>
      </c>
      <c r="CH29" s="165" t="str">
        <f t="shared" si="87"/>
        <v/>
      </c>
      <c r="CI29" s="11"/>
      <c r="CL29" s="9"/>
      <c r="CM29" s="9"/>
      <c r="CN29" s="10"/>
      <c r="CO29" s="166" t="str">
        <f t="shared" si="18"/>
        <v/>
      </c>
      <c r="CP29" s="167" t="str">
        <f t="shared" si="19"/>
        <v/>
      </c>
      <c r="CQ29" s="165" t="str">
        <f t="shared" si="88"/>
        <v/>
      </c>
      <c r="CR29" s="165" t="str">
        <f t="shared" si="89"/>
        <v/>
      </c>
      <c r="CS29" s="11"/>
      <c r="CV29" s="9"/>
      <c r="CW29" s="9"/>
      <c r="CX29" s="10"/>
      <c r="CY29" s="166" t="str">
        <f t="shared" si="20"/>
        <v/>
      </c>
      <c r="CZ29" s="167" t="str">
        <f t="shared" si="21"/>
        <v/>
      </c>
      <c r="DA29" s="165" t="str">
        <f t="shared" si="90"/>
        <v/>
      </c>
      <c r="DB29" s="165" t="str">
        <f t="shared" si="91"/>
        <v/>
      </c>
      <c r="DC29" s="11"/>
      <c r="DF29" s="9"/>
      <c r="DG29" s="9"/>
      <c r="DH29" s="10"/>
      <c r="DI29" s="166" t="str">
        <f t="shared" si="22"/>
        <v/>
      </c>
      <c r="DJ29" s="167" t="str">
        <f t="shared" si="23"/>
        <v/>
      </c>
      <c r="DK29" s="165" t="str">
        <f t="shared" si="92"/>
        <v/>
      </c>
      <c r="DL29" s="165" t="str">
        <f t="shared" si="93"/>
        <v/>
      </c>
      <c r="DM29" s="11"/>
      <c r="DP29" s="9"/>
      <c r="DQ29" s="9"/>
      <c r="DR29" s="10"/>
      <c r="DS29" s="166" t="str">
        <f t="shared" si="24"/>
        <v/>
      </c>
      <c r="DT29" s="167" t="str">
        <f t="shared" si="25"/>
        <v/>
      </c>
      <c r="DU29" s="165" t="str">
        <f t="shared" si="94"/>
        <v/>
      </c>
      <c r="DV29" s="165" t="str">
        <f t="shared" si="95"/>
        <v/>
      </c>
      <c r="DW29" s="11"/>
      <c r="DZ29" s="9"/>
      <c r="EA29" s="9"/>
      <c r="EB29" s="10"/>
      <c r="EC29" s="166" t="str">
        <f t="shared" si="26"/>
        <v/>
      </c>
      <c r="ED29" s="167" t="str">
        <f t="shared" si="27"/>
        <v/>
      </c>
      <c r="EE29" s="165" t="str">
        <f t="shared" si="96"/>
        <v/>
      </c>
      <c r="EF29" s="165" t="str">
        <f t="shared" si="97"/>
        <v/>
      </c>
      <c r="EG29" s="11"/>
      <c r="EJ29" s="9"/>
      <c r="EK29" s="9"/>
      <c r="EL29" s="10"/>
      <c r="EM29" s="166" t="str">
        <f t="shared" si="28"/>
        <v/>
      </c>
      <c r="EN29" s="167" t="str">
        <f t="shared" si="29"/>
        <v/>
      </c>
      <c r="EO29" s="165" t="str">
        <f t="shared" si="98"/>
        <v/>
      </c>
      <c r="EP29" s="165" t="str">
        <f t="shared" si="99"/>
        <v/>
      </c>
      <c r="EQ29" s="11"/>
      <c r="ET29" s="9"/>
      <c r="EU29" s="9"/>
      <c r="EV29" s="10"/>
      <c r="EW29" s="166" t="str">
        <f t="shared" si="30"/>
        <v/>
      </c>
      <c r="EX29" s="167" t="str">
        <f t="shared" si="31"/>
        <v/>
      </c>
      <c r="EY29" s="165" t="str">
        <f t="shared" si="100"/>
        <v/>
      </c>
      <c r="EZ29" s="165" t="str">
        <f t="shared" si="101"/>
        <v/>
      </c>
      <c r="FA29" s="11"/>
      <c r="FD29" s="9"/>
      <c r="FE29" s="9"/>
      <c r="FF29" s="10"/>
      <c r="FG29" s="166" t="str">
        <f t="shared" si="32"/>
        <v/>
      </c>
      <c r="FH29" s="167" t="str">
        <f t="shared" si="33"/>
        <v/>
      </c>
      <c r="FI29" s="165" t="str">
        <f t="shared" si="102"/>
        <v/>
      </c>
      <c r="FJ29" s="165" t="str">
        <f t="shared" si="103"/>
        <v/>
      </c>
      <c r="FK29" s="11"/>
      <c r="FN29" s="9"/>
      <c r="FO29" s="9"/>
      <c r="FP29" s="10"/>
      <c r="FQ29" s="166" t="str">
        <f t="shared" si="34"/>
        <v/>
      </c>
      <c r="FR29" s="167" t="str">
        <f t="shared" si="35"/>
        <v/>
      </c>
      <c r="FS29" s="165" t="str">
        <f t="shared" si="104"/>
        <v/>
      </c>
      <c r="FT29" s="165" t="str">
        <f t="shared" si="105"/>
        <v/>
      </c>
      <c r="FU29" s="11"/>
    </row>
    <row r="30" spans="1:177" x14ac:dyDescent="0.3">
      <c r="A30" s="9"/>
      <c r="B30" s="9" t="s">
        <v>437</v>
      </c>
      <c r="C30" s="10">
        <v>0.5</v>
      </c>
      <c r="D30" s="166">
        <f t="shared" si="0"/>
        <v>3000000</v>
      </c>
      <c r="E30" s="167">
        <f t="shared" si="1"/>
        <v>2.1352000000000002</v>
      </c>
      <c r="F30" s="165">
        <f t="shared" si="36"/>
        <v>6405600.0000000009</v>
      </c>
      <c r="G30" s="165">
        <f t="shared" si="37"/>
        <v>3202800.0000000005</v>
      </c>
      <c r="H30" s="11"/>
      <c r="K30" s="9"/>
      <c r="L30" s="9" t="s">
        <v>437</v>
      </c>
      <c r="M30" s="10">
        <v>0.5</v>
      </c>
      <c r="N30" s="166">
        <f t="shared" si="2"/>
        <v>3000000</v>
      </c>
      <c r="O30" s="167">
        <f t="shared" si="3"/>
        <v>2.1352000000000002</v>
      </c>
      <c r="P30" s="165">
        <f t="shared" si="72"/>
        <v>6405600.0000000009</v>
      </c>
      <c r="Q30" s="136">
        <f t="shared" si="73"/>
        <v>3202800.0000000005</v>
      </c>
      <c r="R30" s="11"/>
      <c r="U30" s="9"/>
      <c r="V30" s="9" t="s">
        <v>437</v>
      </c>
      <c r="W30" s="10">
        <v>0.5</v>
      </c>
      <c r="X30" s="166">
        <f t="shared" si="4"/>
        <v>3000000</v>
      </c>
      <c r="Y30" s="167">
        <f t="shared" si="5"/>
        <v>2.1352000000000002</v>
      </c>
      <c r="Z30" s="165">
        <f t="shared" si="74"/>
        <v>6405600.0000000009</v>
      </c>
      <c r="AA30" s="165">
        <f t="shared" si="75"/>
        <v>3202800.0000000005</v>
      </c>
      <c r="AB30" s="11"/>
      <c r="AD30" s="9"/>
      <c r="AE30" s="9" t="s">
        <v>437</v>
      </c>
      <c r="AF30" s="10">
        <v>0.5</v>
      </c>
      <c r="AG30" s="166">
        <f t="shared" si="6"/>
        <v>3000000</v>
      </c>
      <c r="AH30" s="167">
        <f t="shared" si="7"/>
        <v>2.1352000000000002</v>
      </c>
      <c r="AI30" s="165">
        <f t="shared" si="76"/>
        <v>6405600.0000000009</v>
      </c>
      <c r="AJ30" s="165">
        <f t="shared" si="77"/>
        <v>3202800.0000000005</v>
      </c>
      <c r="AK30" s="11"/>
      <c r="AN30" s="9"/>
      <c r="AO30" s="9"/>
      <c r="AP30" s="10"/>
      <c r="AQ30" s="166" t="str">
        <f t="shared" si="8"/>
        <v/>
      </c>
      <c r="AR30" s="167" t="str">
        <f t="shared" si="9"/>
        <v/>
      </c>
      <c r="AS30" s="165" t="str">
        <f t="shared" si="78"/>
        <v/>
      </c>
      <c r="AT30" s="165" t="str">
        <f t="shared" si="79"/>
        <v/>
      </c>
      <c r="AU30" s="11"/>
      <c r="AX30" s="9"/>
      <c r="AY30" s="9"/>
      <c r="AZ30" s="10"/>
      <c r="BA30" s="166" t="str">
        <f t="shared" si="10"/>
        <v/>
      </c>
      <c r="BB30" s="167" t="str">
        <f t="shared" si="11"/>
        <v/>
      </c>
      <c r="BC30" s="165" t="str">
        <f t="shared" si="80"/>
        <v/>
      </c>
      <c r="BD30" s="165" t="str">
        <f t="shared" si="81"/>
        <v/>
      </c>
      <c r="BE30" s="11"/>
      <c r="BH30" s="9"/>
      <c r="BI30" s="9"/>
      <c r="BJ30" s="10"/>
      <c r="BK30" s="166" t="str">
        <f t="shared" si="12"/>
        <v/>
      </c>
      <c r="BL30" s="167" t="str">
        <f t="shared" si="13"/>
        <v/>
      </c>
      <c r="BM30" s="165" t="str">
        <f t="shared" si="82"/>
        <v/>
      </c>
      <c r="BN30" s="165" t="str">
        <f t="shared" si="83"/>
        <v/>
      </c>
      <c r="BO30" s="11"/>
      <c r="BR30" s="9"/>
      <c r="BS30" s="9"/>
      <c r="BT30" s="10"/>
      <c r="BU30" s="166" t="str">
        <f t="shared" si="14"/>
        <v/>
      </c>
      <c r="BV30" s="167" t="str">
        <f t="shared" si="15"/>
        <v/>
      </c>
      <c r="BW30" s="165" t="str">
        <f t="shared" si="84"/>
        <v/>
      </c>
      <c r="BX30" s="165" t="str">
        <f t="shared" si="85"/>
        <v/>
      </c>
      <c r="BY30" s="11"/>
      <c r="CB30" s="9"/>
      <c r="CC30" s="9"/>
      <c r="CD30" s="10"/>
      <c r="CE30" s="166" t="str">
        <f t="shared" si="16"/>
        <v/>
      </c>
      <c r="CF30" s="167" t="str">
        <f t="shared" si="17"/>
        <v/>
      </c>
      <c r="CG30" s="165" t="str">
        <f t="shared" si="86"/>
        <v/>
      </c>
      <c r="CH30" s="165" t="str">
        <f t="shared" si="87"/>
        <v/>
      </c>
      <c r="CI30" s="11"/>
      <c r="CL30" s="9"/>
      <c r="CM30" s="9"/>
      <c r="CN30" s="10"/>
      <c r="CO30" s="166" t="str">
        <f t="shared" si="18"/>
        <v/>
      </c>
      <c r="CP30" s="167" t="str">
        <f t="shared" si="19"/>
        <v/>
      </c>
      <c r="CQ30" s="165" t="str">
        <f t="shared" si="88"/>
        <v/>
      </c>
      <c r="CR30" s="165" t="str">
        <f t="shared" si="89"/>
        <v/>
      </c>
      <c r="CS30" s="11"/>
      <c r="CV30" s="9"/>
      <c r="CW30" s="9"/>
      <c r="CX30" s="10"/>
      <c r="CY30" s="166" t="str">
        <f t="shared" si="20"/>
        <v/>
      </c>
      <c r="CZ30" s="167" t="str">
        <f t="shared" si="21"/>
        <v/>
      </c>
      <c r="DA30" s="165" t="str">
        <f t="shared" si="90"/>
        <v/>
      </c>
      <c r="DB30" s="165" t="str">
        <f t="shared" si="91"/>
        <v/>
      </c>
      <c r="DC30" s="11"/>
      <c r="DF30" s="9"/>
      <c r="DG30" s="9"/>
      <c r="DH30" s="10"/>
      <c r="DI30" s="166" t="str">
        <f t="shared" si="22"/>
        <v/>
      </c>
      <c r="DJ30" s="167" t="str">
        <f t="shared" si="23"/>
        <v/>
      </c>
      <c r="DK30" s="165" t="str">
        <f t="shared" si="92"/>
        <v/>
      </c>
      <c r="DL30" s="165" t="str">
        <f t="shared" si="93"/>
        <v/>
      </c>
      <c r="DM30" s="11"/>
      <c r="DP30" s="9"/>
      <c r="DQ30" s="9"/>
      <c r="DR30" s="10"/>
      <c r="DS30" s="166" t="str">
        <f t="shared" si="24"/>
        <v/>
      </c>
      <c r="DT30" s="167" t="str">
        <f t="shared" si="25"/>
        <v/>
      </c>
      <c r="DU30" s="165" t="str">
        <f t="shared" si="94"/>
        <v/>
      </c>
      <c r="DV30" s="165" t="str">
        <f t="shared" si="95"/>
        <v/>
      </c>
      <c r="DW30" s="11"/>
      <c r="DZ30" s="9"/>
      <c r="EA30" s="9"/>
      <c r="EB30" s="10"/>
      <c r="EC30" s="166" t="str">
        <f t="shared" si="26"/>
        <v/>
      </c>
      <c r="ED30" s="167" t="str">
        <f t="shared" si="27"/>
        <v/>
      </c>
      <c r="EE30" s="165" t="str">
        <f t="shared" si="96"/>
        <v/>
      </c>
      <c r="EF30" s="165" t="str">
        <f t="shared" si="97"/>
        <v/>
      </c>
      <c r="EG30" s="11"/>
      <c r="EJ30" s="9"/>
      <c r="EK30" s="9"/>
      <c r="EL30" s="10"/>
      <c r="EM30" s="166" t="str">
        <f t="shared" si="28"/>
        <v/>
      </c>
      <c r="EN30" s="167" t="str">
        <f t="shared" si="29"/>
        <v/>
      </c>
      <c r="EO30" s="165" t="str">
        <f t="shared" si="98"/>
        <v/>
      </c>
      <c r="EP30" s="165" t="str">
        <f t="shared" si="99"/>
        <v/>
      </c>
      <c r="EQ30" s="11"/>
      <c r="ET30" s="9"/>
      <c r="EU30" s="9"/>
      <c r="EV30" s="10"/>
      <c r="EW30" s="166" t="str">
        <f t="shared" si="30"/>
        <v/>
      </c>
      <c r="EX30" s="167" t="str">
        <f t="shared" si="31"/>
        <v/>
      </c>
      <c r="EY30" s="165" t="str">
        <f t="shared" si="100"/>
        <v/>
      </c>
      <c r="EZ30" s="165" t="str">
        <f t="shared" si="101"/>
        <v/>
      </c>
      <c r="FA30" s="11"/>
      <c r="FD30" s="9"/>
      <c r="FE30" s="9"/>
      <c r="FF30" s="10"/>
      <c r="FG30" s="166" t="str">
        <f t="shared" si="32"/>
        <v/>
      </c>
      <c r="FH30" s="167" t="str">
        <f t="shared" si="33"/>
        <v/>
      </c>
      <c r="FI30" s="165" t="str">
        <f t="shared" si="102"/>
        <v/>
      </c>
      <c r="FJ30" s="165" t="str">
        <f t="shared" si="103"/>
        <v/>
      </c>
      <c r="FK30" s="11"/>
      <c r="FN30" s="9"/>
      <c r="FO30" s="9"/>
      <c r="FP30" s="10"/>
      <c r="FQ30" s="166" t="str">
        <f t="shared" si="34"/>
        <v/>
      </c>
      <c r="FR30" s="167" t="str">
        <f t="shared" si="35"/>
        <v/>
      </c>
      <c r="FS30" s="165" t="str">
        <f t="shared" si="104"/>
        <v/>
      </c>
      <c r="FT30" s="165" t="str">
        <f t="shared" si="105"/>
        <v/>
      </c>
      <c r="FU30" s="11"/>
    </row>
    <row r="31" spans="1:177" x14ac:dyDescent="0.3">
      <c r="A31" s="9"/>
      <c r="B31" s="9" t="s">
        <v>511</v>
      </c>
      <c r="C31" s="10">
        <v>0.5</v>
      </c>
      <c r="D31" s="166">
        <f>+IF(B31="","",INDEX(V_MANODEOBRA_MENSUAL,MATCH(B31,L_PERSONAL,0)))</f>
        <v>1658800</v>
      </c>
      <c r="E31" s="167">
        <f>+IF(D31="","",INDEX(F_PRESTACIONAL,MATCH(B31,L_PERSONAL,0)))</f>
        <v>1.6352</v>
      </c>
      <c r="F31" s="165">
        <f>+IF(D31="","",E31*D31)</f>
        <v>2712469.76</v>
      </c>
      <c r="G31" s="165">
        <f>+IF(F31="","",F31*C31)</f>
        <v>1356234.88</v>
      </c>
      <c r="K31" s="9"/>
      <c r="L31" s="9" t="s">
        <v>511</v>
      </c>
      <c r="M31" s="10">
        <v>0.5</v>
      </c>
      <c r="N31" s="1">
        <f>+IF(L31="","",INDEX(V_MANODEOBRA_MENSUAL,MATCH(L31,L_PERSONAL,0)))</f>
        <v>1658800</v>
      </c>
      <c r="O31" s="167">
        <f>+IF(N31="","",INDEX(F_PRESTACIONAL,MATCH(L31,L_PERSONAL,0)))</f>
        <v>1.6352</v>
      </c>
      <c r="P31" s="136">
        <f>+IF(N31="","",O31*N31)</f>
        <v>2712469.76</v>
      </c>
      <c r="Q31" s="136">
        <f>+IF(P31="","",P31*M31)</f>
        <v>1356234.88</v>
      </c>
      <c r="U31" s="9"/>
      <c r="V31" s="9" t="s">
        <v>511</v>
      </c>
      <c r="W31" s="10">
        <v>0.5</v>
      </c>
      <c r="X31" s="166">
        <f>+IF(V31="","",INDEX(V_MANODEOBRA_MENSUAL,MATCH(V31,L_PERSONAL,0)))</f>
        <v>1658800</v>
      </c>
      <c r="Y31" s="167">
        <f>+IF(X31="","",INDEX(F_PRESTACIONAL,MATCH(V31,L_PERSONAL,0)))</f>
        <v>1.6352</v>
      </c>
      <c r="Z31" s="165">
        <f>+IF(X31="","",Y31*X31)</f>
        <v>2712469.76</v>
      </c>
      <c r="AA31" s="165">
        <f>+IF(Z31="","",Z31*W31)</f>
        <v>1356234.88</v>
      </c>
      <c r="AD31" s="9"/>
      <c r="AE31" s="9" t="s">
        <v>511</v>
      </c>
      <c r="AF31" s="10">
        <v>0.5</v>
      </c>
      <c r="AG31" s="166">
        <f>+IF(AE31="","",INDEX(V_MANODEOBRA_MENSUAL,MATCH(AE31,L_PERSONAL,0)))</f>
        <v>1658800</v>
      </c>
      <c r="AH31" s="167">
        <f>+IF(AG31="","",INDEX(F_PRESTACIONAL,MATCH(AE31,L_PERSONAL,0)))</f>
        <v>1.6352</v>
      </c>
      <c r="AI31" s="165">
        <f>+IF(AG31="","",AH31*AG31)</f>
        <v>2712469.76</v>
      </c>
      <c r="AJ31" s="165">
        <f>+IF(AI31="","",AI31*AF31)</f>
        <v>1356234.88</v>
      </c>
      <c r="AN31" s="9"/>
      <c r="AO31" s="9"/>
      <c r="AP31" s="10"/>
      <c r="AQ31" s="166"/>
      <c r="AR31" s="167"/>
      <c r="AS31" s="165"/>
      <c r="AT31" s="165"/>
      <c r="AX31" s="9"/>
      <c r="AY31" s="9"/>
      <c r="AZ31" s="10"/>
      <c r="BA31" s="166"/>
      <c r="BB31" s="167"/>
      <c r="BC31" s="165"/>
      <c r="BD31" s="165"/>
      <c r="BH31" s="9"/>
      <c r="BI31" s="9"/>
      <c r="BJ31" s="10"/>
      <c r="BK31" s="166"/>
      <c r="BL31" s="167"/>
      <c r="BM31" s="165"/>
      <c r="BN31" s="165"/>
      <c r="BR31" s="9"/>
      <c r="BS31" s="9"/>
      <c r="BT31" s="10"/>
      <c r="BU31" s="166"/>
      <c r="BV31" s="167"/>
      <c r="BW31" s="165"/>
      <c r="BX31" s="165"/>
      <c r="CB31" s="9"/>
      <c r="CC31" s="9"/>
      <c r="CD31" s="10"/>
      <c r="CE31" s="166"/>
      <c r="CF31" s="167"/>
      <c r="CG31" s="165"/>
      <c r="CH31" s="165"/>
      <c r="CL31" s="9"/>
      <c r="CM31" s="9"/>
      <c r="CN31" s="10"/>
      <c r="CO31" s="166"/>
      <c r="CP31" s="167"/>
      <c r="CQ31" s="165"/>
      <c r="CR31" s="165"/>
      <c r="CV31" s="9"/>
      <c r="CW31" s="9"/>
      <c r="CX31" s="10"/>
      <c r="CY31" s="166"/>
      <c r="CZ31" s="167"/>
      <c r="DA31" s="165"/>
      <c r="DB31" s="165"/>
      <c r="DF31" s="9"/>
      <c r="DG31" s="9"/>
      <c r="DH31" s="10"/>
      <c r="DI31" s="166"/>
      <c r="DJ31" s="167"/>
      <c r="DK31" s="165"/>
      <c r="DL31" s="165"/>
      <c r="DP31" s="9"/>
      <c r="DQ31" s="9"/>
      <c r="DR31" s="10"/>
      <c r="DS31" s="166"/>
      <c r="DT31" s="167"/>
      <c r="DU31" s="165"/>
      <c r="DV31" s="165"/>
      <c r="DZ31" s="9"/>
      <c r="EA31" s="9"/>
      <c r="EB31" s="10"/>
      <c r="EC31" s="166"/>
      <c r="ED31" s="167"/>
      <c r="EE31" s="165"/>
      <c r="EF31" s="165"/>
      <c r="EJ31" s="9"/>
      <c r="EK31" s="9"/>
      <c r="EL31" s="10"/>
      <c r="EM31" s="166"/>
      <c r="EN31" s="167"/>
      <c r="EO31" s="165"/>
      <c r="EP31" s="165"/>
      <c r="ET31" s="9"/>
      <c r="EU31" s="9"/>
      <c r="EV31" s="10"/>
      <c r="EW31" s="166"/>
      <c r="EX31" s="167"/>
      <c r="EY31" s="165"/>
      <c r="EZ31" s="165"/>
      <c r="FD31" s="9"/>
      <c r="FE31" s="9"/>
      <c r="FF31" s="10"/>
      <c r="FG31" s="166"/>
      <c r="FH31" s="167"/>
      <c r="FI31" s="165"/>
      <c r="FJ31" s="165"/>
      <c r="FN31" s="9"/>
      <c r="FO31" s="9"/>
      <c r="FP31" s="10"/>
      <c r="FQ31" s="166"/>
      <c r="FR31" s="167"/>
      <c r="FS31" s="165"/>
      <c r="FT31" s="165"/>
    </row>
    <row r="32" spans="1:177" x14ac:dyDescent="0.3">
      <c r="A32" s="9"/>
      <c r="B32" s="9" t="s">
        <v>515</v>
      </c>
      <c r="C32" s="10">
        <v>1</v>
      </c>
      <c r="D32" s="166">
        <f>+IF(B32="","",INDEX(V_MANODEOBRA_MENSUAL,MATCH(B32,L_PERSONAL,0)))</f>
        <v>4000000</v>
      </c>
      <c r="E32" s="167">
        <f>+IF(D32="","",INDEX(F_PRESTACIONAL,MATCH(B32,L_PERSONAL,0)))</f>
        <v>2.0102000000000002</v>
      </c>
      <c r="F32" s="165">
        <f>+IF(D32="","",E32*D32)</f>
        <v>8040800.0000000009</v>
      </c>
      <c r="G32" s="165">
        <f>+IF(F32="","",F32*C32)</f>
        <v>8040800.0000000009</v>
      </c>
      <c r="K32" s="9"/>
      <c r="L32" s="9" t="s">
        <v>515</v>
      </c>
      <c r="M32" s="10">
        <v>1</v>
      </c>
      <c r="N32" s="1">
        <f>+IF(L32="","",INDEX(V_MANODEOBRA_MENSUAL,MATCH(L32,L_PERSONAL,0)))</f>
        <v>4000000</v>
      </c>
      <c r="O32" s="167">
        <f>+IF(N32="","",INDEX(F_PRESTACIONAL,MATCH(L32,L_PERSONAL,0)))</f>
        <v>2.0102000000000002</v>
      </c>
      <c r="P32" s="136">
        <f>+IF(N32="","",O32*N32)</f>
        <v>8040800.0000000009</v>
      </c>
      <c r="Q32" s="136">
        <f>+IF(P32="","",P32*M32)</f>
        <v>8040800.0000000009</v>
      </c>
      <c r="U32" s="9"/>
      <c r="V32" s="9" t="s">
        <v>515</v>
      </c>
      <c r="W32" s="10">
        <v>1</v>
      </c>
      <c r="X32" s="166">
        <f>+IF(V32="","",INDEX(V_MANODEOBRA_MENSUAL,MATCH(V32,L_PERSONAL,0)))</f>
        <v>4000000</v>
      </c>
      <c r="Y32" s="167">
        <f>+IF(X32="","",INDEX(F_PRESTACIONAL,MATCH(V32,L_PERSONAL,0)))</f>
        <v>2.0102000000000002</v>
      </c>
      <c r="Z32" s="165">
        <f>+IF(X32="","",Y32*X32)</f>
        <v>8040800.0000000009</v>
      </c>
      <c r="AA32" s="165">
        <f>+IF(Z32="","",Z32*W32)</f>
        <v>8040800.0000000009</v>
      </c>
      <c r="AD32" s="9"/>
      <c r="AE32" s="9" t="s">
        <v>515</v>
      </c>
      <c r="AF32" s="10">
        <v>1</v>
      </c>
      <c r="AG32" s="166">
        <f>+IF(AE32="","",INDEX(V_MANODEOBRA_MENSUAL,MATCH(AE32,L_PERSONAL,0)))</f>
        <v>4000000</v>
      </c>
      <c r="AH32" s="167">
        <f>+IF(AG32="","",INDEX(F_PRESTACIONAL,MATCH(AE32,L_PERSONAL,0)))</f>
        <v>2.0102000000000002</v>
      </c>
      <c r="AI32" s="165">
        <f>+IF(AG32="","",AH32*AG32)</f>
        <v>8040800.0000000009</v>
      </c>
      <c r="AJ32" s="165">
        <f>+IF(AI32="","",AI32*AF32)</f>
        <v>8040800.0000000009</v>
      </c>
      <c r="AN32" s="9"/>
      <c r="AO32" s="9"/>
      <c r="AP32" s="10"/>
      <c r="AQ32" s="166"/>
      <c r="AR32" s="167"/>
      <c r="AS32" s="165"/>
      <c r="AT32" s="165"/>
      <c r="AX32" s="9"/>
      <c r="AY32" s="9"/>
      <c r="AZ32" s="10"/>
      <c r="BA32" s="166"/>
      <c r="BB32" s="167"/>
      <c r="BC32" s="165"/>
      <c r="BD32" s="165"/>
      <c r="BH32" s="9"/>
      <c r="BI32" s="9"/>
      <c r="BJ32" s="10"/>
      <c r="BK32" s="166"/>
      <c r="BL32" s="167"/>
      <c r="BM32" s="165"/>
      <c r="BN32" s="165"/>
      <c r="BR32" s="9"/>
      <c r="BS32" s="9"/>
      <c r="BT32" s="10"/>
      <c r="BU32" s="166"/>
      <c r="BV32" s="167"/>
      <c r="BW32" s="165"/>
      <c r="BX32" s="165"/>
      <c r="CB32" s="9"/>
      <c r="CC32" s="9"/>
      <c r="CD32" s="10"/>
      <c r="CE32" s="166"/>
      <c r="CF32" s="167"/>
      <c r="CG32" s="165"/>
      <c r="CH32" s="165"/>
      <c r="CL32" s="9"/>
      <c r="CM32" s="9"/>
      <c r="CN32" s="10"/>
      <c r="CO32" s="166"/>
      <c r="CP32" s="167"/>
      <c r="CQ32" s="165"/>
      <c r="CR32" s="165"/>
      <c r="CV32" s="9"/>
      <c r="CW32" s="9"/>
      <c r="CX32" s="10"/>
      <c r="CY32" s="166"/>
      <c r="CZ32" s="167"/>
      <c r="DA32" s="165"/>
      <c r="DB32" s="165"/>
      <c r="DF32" s="9"/>
      <c r="DG32" s="9"/>
      <c r="DH32" s="10"/>
      <c r="DI32" s="166"/>
      <c r="DJ32" s="167"/>
      <c r="DK32" s="165"/>
      <c r="DL32" s="165"/>
      <c r="DP32" s="9"/>
      <c r="DQ32" s="9"/>
      <c r="DR32" s="10"/>
      <c r="DS32" s="166"/>
      <c r="DT32" s="167"/>
      <c r="DU32" s="165"/>
      <c r="DV32" s="165"/>
      <c r="DZ32" s="9"/>
      <c r="EA32" s="9"/>
      <c r="EB32" s="10"/>
      <c r="EC32" s="166"/>
      <c r="ED32" s="167"/>
      <c r="EE32" s="165"/>
      <c r="EF32" s="165"/>
      <c r="EJ32" s="9"/>
      <c r="EK32" s="9"/>
      <c r="EL32" s="10"/>
      <c r="EM32" s="166"/>
      <c r="EN32" s="167"/>
      <c r="EO32" s="165"/>
      <c r="EP32" s="165"/>
      <c r="ET32" s="9"/>
      <c r="EU32" s="9"/>
      <c r="EV32" s="10"/>
      <c r="EW32" s="166"/>
      <c r="EX32" s="167"/>
      <c r="EY32" s="165"/>
      <c r="EZ32" s="165"/>
      <c r="FD32" s="9"/>
      <c r="FE32" s="9"/>
      <c r="FF32" s="10"/>
      <c r="FG32" s="166"/>
      <c r="FH32" s="167"/>
      <c r="FI32" s="165"/>
      <c r="FJ32" s="165"/>
      <c r="FN32" s="9"/>
      <c r="FO32" s="9"/>
      <c r="FP32" s="10"/>
      <c r="FQ32" s="166"/>
      <c r="FR32" s="167"/>
      <c r="FS32" s="165"/>
      <c r="FT32" s="165"/>
    </row>
    <row r="33" spans="1:177" x14ac:dyDescent="0.3">
      <c r="A33" s="9"/>
      <c r="B33" s="9"/>
      <c r="C33" s="10"/>
      <c r="D33" s="166" t="str">
        <f>+IF(B33="","",INDEX(V_MANODEOBRA_MENSUAL,MATCH(B33,L_PERSONAL,0)))</f>
        <v/>
      </c>
      <c r="E33" s="167" t="str">
        <f>+IF(D33="","",INDEX(F_PRESTACIONAL,MATCH(B33,L_PERSONAL,0)))</f>
        <v/>
      </c>
      <c r="F33" s="165" t="str">
        <f>+IF(D33="","",E33*D33)</f>
        <v/>
      </c>
      <c r="G33" s="165" t="str">
        <f>+IF(F33="","",F33*C33)</f>
        <v/>
      </c>
      <c r="K33" s="9"/>
      <c r="L33" s="9"/>
      <c r="M33" s="10"/>
      <c r="N33" s="1" t="str">
        <f>+IF(L33="","",INDEX(V_MANODEOBRA_MENSUAL,MATCH(L33,L_PERSONAL,0)))</f>
        <v/>
      </c>
      <c r="O33" s="167" t="str">
        <f>+IF(N33="","",INDEX(F_PRESTACIONAL,MATCH(L33,L_PERSONAL,0)))</f>
        <v/>
      </c>
      <c r="P33" s="136" t="str">
        <f>+IF(N33="","",O33*N33)</f>
        <v/>
      </c>
      <c r="Q33" s="136" t="str">
        <f>+IF(P33="","",P33*M33)</f>
        <v/>
      </c>
      <c r="U33" s="9"/>
      <c r="V33" s="9"/>
      <c r="W33" s="10"/>
      <c r="X33" s="166" t="str">
        <f>+IF(V33="","",INDEX(V_MANODEOBRA_MENSUAL,MATCH(V33,L_PERSONAL,0)))</f>
        <v/>
      </c>
      <c r="Y33" s="167" t="str">
        <f>+IF(X33="","",INDEX(F_PRESTACIONAL,MATCH(V33,L_PERSONAL,0)))</f>
        <v/>
      </c>
      <c r="Z33" s="165" t="str">
        <f>+IF(X33="","",Y33*X33)</f>
        <v/>
      </c>
      <c r="AA33" s="165" t="str">
        <f>+IF(Z33="","",Z33*W33)</f>
        <v/>
      </c>
      <c r="AD33" s="9"/>
      <c r="AE33" s="9"/>
      <c r="AF33" s="10"/>
      <c r="AG33" s="166" t="str">
        <f>+IF(AE33="","",INDEX(V_MANODEOBRA_MENSUAL,MATCH(AE33,L_PERSONAL,0)))</f>
        <v/>
      </c>
      <c r="AH33" s="167" t="str">
        <f>+IF(AG33="","",INDEX(F_PRESTACIONAL,MATCH(AE33,L_PERSONAL,0)))</f>
        <v/>
      </c>
      <c r="AI33" s="165" t="str">
        <f>+IF(AG33="","",AH33*AG33)</f>
        <v/>
      </c>
      <c r="AJ33" s="165" t="str">
        <f>+IF(AI33="","",AI33*AF33)</f>
        <v/>
      </c>
      <c r="AN33" s="9"/>
      <c r="AO33" s="9"/>
      <c r="AP33" s="10"/>
      <c r="AQ33" s="166"/>
      <c r="AR33" s="167"/>
      <c r="AS33" s="165"/>
      <c r="AT33" s="165"/>
      <c r="AX33" s="9"/>
      <c r="AY33" s="9"/>
      <c r="AZ33" s="10"/>
      <c r="BA33" s="166"/>
      <c r="BB33" s="167"/>
      <c r="BC33" s="165"/>
      <c r="BD33" s="165"/>
      <c r="BH33" s="9"/>
      <c r="BI33" s="9"/>
      <c r="BJ33" s="10"/>
      <c r="BK33" s="166"/>
      <c r="BL33" s="167"/>
      <c r="BM33" s="165"/>
      <c r="BN33" s="165"/>
      <c r="BR33" s="9"/>
      <c r="BS33" s="9"/>
      <c r="BT33" s="10"/>
      <c r="BU33" s="166"/>
      <c r="BV33" s="167"/>
      <c r="BW33" s="165"/>
      <c r="BX33" s="165"/>
      <c r="CB33" s="9"/>
      <c r="CC33" s="9"/>
      <c r="CD33" s="10"/>
      <c r="CE33" s="166"/>
      <c r="CF33" s="167"/>
      <c r="CG33" s="165"/>
      <c r="CH33" s="165"/>
      <c r="CL33" s="9"/>
      <c r="CM33" s="9"/>
      <c r="CN33" s="10"/>
      <c r="CO33" s="166"/>
      <c r="CP33" s="167"/>
      <c r="CQ33" s="165"/>
      <c r="CR33" s="165"/>
      <c r="CV33" s="9"/>
      <c r="CW33" s="9"/>
      <c r="CX33" s="10"/>
      <c r="CY33" s="166"/>
      <c r="CZ33" s="167"/>
      <c r="DA33" s="165"/>
      <c r="DB33" s="165"/>
      <c r="DF33" s="9"/>
      <c r="DG33" s="9"/>
      <c r="DH33" s="10"/>
      <c r="DI33" s="166"/>
      <c r="DJ33" s="167"/>
      <c r="DK33" s="165"/>
      <c r="DL33" s="165"/>
      <c r="DP33" s="9"/>
      <c r="DQ33" s="9"/>
      <c r="DR33" s="10"/>
      <c r="DS33" s="166"/>
      <c r="DT33" s="167"/>
      <c r="DU33" s="165"/>
      <c r="DV33" s="165"/>
      <c r="DZ33" s="9"/>
      <c r="EA33" s="9"/>
      <c r="EB33" s="10"/>
      <c r="EC33" s="166"/>
      <c r="ED33" s="167"/>
      <c r="EE33" s="165"/>
      <c r="EF33" s="165"/>
      <c r="EJ33" s="9"/>
      <c r="EK33" s="9"/>
      <c r="EL33" s="10"/>
      <c r="EM33" s="166"/>
      <c r="EN33" s="167"/>
      <c r="EO33" s="165"/>
      <c r="EP33" s="165"/>
      <c r="ET33" s="9"/>
      <c r="EU33" s="9"/>
      <c r="EV33" s="10"/>
      <c r="EW33" s="166"/>
      <c r="EX33" s="167"/>
      <c r="EY33" s="165"/>
      <c r="EZ33" s="165"/>
      <c r="FD33" s="9"/>
      <c r="FE33" s="9"/>
      <c r="FF33" s="10"/>
      <c r="FG33" s="166"/>
      <c r="FH33" s="167"/>
      <c r="FI33" s="165"/>
      <c r="FJ33" s="165"/>
      <c r="FN33" s="9"/>
      <c r="FO33" s="9"/>
      <c r="FP33" s="10"/>
      <c r="FQ33" s="166"/>
      <c r="FR33" s="167"/>
      <c r="FS33" s="165"/>
      <c r="FT33" s="165"/>
    </row>
    <row r="34" spans="1:177" x14ac:dyDescent="0.3">
      <c r="A34" s="9"/>
      <c r="B34" s="9" t="s">
        <v>516</v>
      </c>
      <c r="C34" s="10">
        <v>0.5</v>
      </c>
      <c r="D34" s="166" t="e">
        <f>+IF(B34="","",INDEX(V_MANODEOBRA_MENSUAL,MATCH(B34,L_PERSONAL,0)))</f>
        <v>#N/A</v>
      </c>
      <c r="E34" s="167" t="e">
        <f>+IF(D34="","",INDEX(F_PRESTACIONAL,MATCH(B34,L_PERSONAL,0)))</f>
        <v>#N/A</v>
      </c>
      <c r="F34" s="165" t="e">
        <f>+IF(D34="","",E34*D34)</f>
        <v>#N/A</v>
      </c>
      <c r="G34" s="165" t="e">
        <f>+IF(F34="","",F34*C34)</f>
        <v>#N/A</v>
      </c>
      <c r="K34" s="9"/>
      <c r="L34" s="9" t="s">
        <v>516</v>
      </c>
      <c r="M34" s="10">
        <v>0.5</v>
      </c>
      <c r="N34" s="1" t="e">
        <f>+IF(L34="","",INDEX(V_MANODEOBRA_MENSUAL,MATCH(L34,L_PERSONAL,0)))</f>
        <v>#N/A</v>
      </c>
      <c r="O34" s="167" t="e">
        <f>+IF(N34="","",INDEX(F_PRESTACIONAL,MATCH(L34,L_PERSONAL,0)))</f>
        <v>#N/A</v>
      </c>
      <c r="P34" s="136" t="e">
        <f>+IF(N34="","",O34*N34)</f>
        <v>#N/A</v>
      </c>
      <c r="Q34" s="136" t="e">
        <f>+IF(P34="","",P34*M34)</f>
        <v>#N/A</v>
      </c>
      <c r="U34" s="9"/>
      <c r="V34" s="9" t="s">
        <v>516</v>
      </c>
      <c r="W34" s="10">
        <v>0.5</v>
      </c>
      <c r="X34" s="166" t="e">
        <f>+IF(V34="","",INDEX(V_MANODEOBRA_MENSUAL,MATCH(V34,L_PERSONAL,0)))</f>
        <v>#N/A</v>
      </c>
      <c r="Y34" s="167" t="e">
        <f>+IF(X34="","",INDEX(F_PRESTACIONAL,MATCH(V34,L_PERSONAL,0)))</f>
        <v>#N/A</v>
      </c>
      <c r="Z34" s="165" t="e">
        <f>+IF(X34="","",Y34*X34)</f>
        <v>#N/A</v>
      </c>
      <c r="AA34" s="165" t="e">
        <f>+IF(Z34="","",Z34*W34)</f>
        <v>#N/A</v>
      </c>
      <c r="AD34" s="9"/>
      <c r="AE34" s="9" t="s">
        <v>516</v>
      </c>
      <c r="AF34" s="10">
        <v>0.5</v>
      </c>
      <c r="AG34" s="166" t="e">
        <f>+IF(AE34="","",INDEX(V_MANODEOBRA_MENSUAL,MATCH(AE34,L_PERSONAL,0)))</f>
        <v>#N/A</v>
      </c>
      <c r="AH34" s="167" t="e">
        <f>+IF(AG34="","",INDEX(F_PRESTACIONAL,MATCH(AE34,L_PERSONAL,0)))</f>
        <v>#N/A</v>
      </c>
      <c r="AI34" s="165" t="e">
        <f>+IF(AG34="","",AH34*AG34)</f>
        <v>#N/A</v>
      </c>
      <c r="AJ34" s="165" t="e">
        <f>+IF(AI34="","",AI34*AF34)</f>
        <v>#N/A</v>
      </c>
      <c r="AN34" s="9"/>
      <c r="AO34" s="9"/>
      <c r="AP34" s="10"/>
      <c r="AQ34" s="166"/>
      <c r="AR34" s="167"/>
      <c r="AS34" s="165"/>
      <c r="AT34" s="165"/>
      <c r="AX34" s="9"/>
      <c r="AY34" s="9"/>
      <c r="AZ34" s="10"/>
      <c r="BA34" s="166"/>
      <c r="BB34" s="167"/>
      <c r="BC34" s="165"/>
      <c r="BD34" s="165"/>
      <c r="BH34" s="9"/>
      <c r="BI34" s="9"/>
      <c r="BJ34" s="10"/>
      <c r="BK34" s="166"/>
      <c r="BL34" s="167"/>
      <c r="BM34" s="165"/>
      <c r="BN34" s="165"/>
      <c r="BR34" s="9"/>
      <c r="BS34" s="9"/>
      <c r="BT34" s="10"/>
      <c r="BU34" s="166"/>
      <c r="BV34" s="167"/>
      <c r="BW34" s="165"/>
      <c r="BX34" s="165"/>
      <c r="CB34" s="9"/>
      <c r="CC34" s="9"/>
      <c r="CD34" s="10"/>
      <c r="CE34" s="166"/>
      <c r="CF34" s="167"/>
      <c r="CG34" s="165"/>
      <c r="CH34" s="165"/>
      <c r="CL34" s="9"/>
      <c r="CM34" s="9"/>
      <c r="CN34" s="10"/>
      <c r="CO34" s="166"/>
      <c r="CP34" s="167"/>
      <c r="CQ34" s="165"/>
      <c r="CR34" s="165"/>
      <c r="CV34" s="9"/>
      <c r="CW34" s="9"/>
      <c r="CX34" s="10"/>
      <c r="CY34" s="166"/>
      <c r="CZ34" s="167"/>
      <c r="DA34" s="165"/>
      <c r="DB34" s="165"/>
      <c r="DF34" s="9"/>
      <c r="DG34" s="9"/>
      <c r="DH34" s="10"/>
      <c r="DI34" s="166"/>
      <c r="DJ34" s="167"/>
      <c r="DK34" s="165"/>
      <c r="DL34" s="165"/>
      <c r="DP34" s="9"/>
      <c r="DQ34" s="9"/>
      <c r="DR34" s="10"/>
      <c r="DS34" s="166"/>
      <c r="DT34" s="167"/>
      <c r="DU34" s="165"/>
      <c r="DV34" s="165"/>
      <c r="DZ34" s="9"/>
      <c r="EA34" s="9"/>
      <c r="EB34" s="10"/>
      <c r="EC34" s="166"/>
      <c r="ED34" s="167"/>
      <c r="EE34" s="165"/>
      <c r="EF34" s="165"/>
      <c r="EJ34" s="9"/>
      <c r="EK34" s="9"/>
      <c r="EL34" s="10"/>
      <c r="EM34" s="166"/>
      <c r="EN34" s="167"/>
      <c r="EO34" s="165"/>
      <c r="EP34" s="165"/>
      <c r="ET34" s="9"/>
      <c r="EU34" s="9"/>
      <c r="EV34" s="10"/>
      <c r="EW34" s="166"/>
      <c r="EX34" s="167"/>
      <c r="EY34" s="165"/>
      <c r="EZ34" s="165"/>
      <c r="FD34" s="9"/>
      <c r="FE34" s="9"/>
      <c r="FF34" s="10"/>
      <c r="FG34" s="166"/>
      <c r="FH34" s="167"/>
      <c r="FI34" s="165"/>
      <c r="FJ34" s="165"/>
      <c r="FN34" s="9"/>
      <c r="FO34" s="9"/>
      <c r="FP34" s="10"/>
      <c r="FQ34" s="166"/>
      <c r="FR34" s="167"/>
      <c r="FS34" s="165"/>
      <c r="FT34" s="165"/>
    </row>
    <row r="35" spans="1:177" x14ac:dyDescent="0.3">
      <c r="A35" s="9"/>
      <c r="B35" s="39" t="s">
        <v>29</v>
      </c>
      <c r="C35" s="40"/>
      <c r="D35" s="40"/>
      <c r="E35" s="40"/>
      <c r="F35" s="41"/>
      <c r="G35" s="5" t="e">
        <f>IF(G10&gt;$B$3,0,SUBTOTAL(109,Tabla3202[Subtotal Mensual]))</f>
        <v>#N/A</v>
      </c>
      <c r="H35" s="17"/>
      <c r="I35" s="9"/>
      <c r="K35" s="9"/>
      <c r="L35" s="551" t="s">
        <v>29</v>
      </c>
      <c r="M35" s="552"/>
      <c r="N35" s="552"/>
      <c r="O35" s="552"/>
      <c r="P35" s="553"/>
      <c r="Q35" s="5" t="e">
        <f>IF(Q10&gt;$B$3,0,SUBTOTAL(109,Tabla347205[Valor mensual]))</f>
        <v>#N/A</v>
      </c>
      <c r="R35" s="17"/>
      <c r="U35" s="9"/>
      <c r="V35" s="551" t="s">
        <v>29</v>
      </c>
      <c r="W35" s="552"/>
      <c r="X35" s="552"/>
      <c r="Y35" s="552"/>
      <c r="Z35" s="553"/>
      <c r="AA35" s="5" t="e">
        <f>IF(AA10&gt;$B$3,0,SUBTOTAL(109,Tabla350208[Valor mensual]))</f>
        <v>#N/A</v>
      </c>
      <c r="AB35" s="17"/>
      <c r="AD35" s="9"/>
      <c r="AE35" s="551" t="s">
        <v>29</v>
      </c>
      <c r="AF35" s="552"/>
      <c r="AG35" s="552"/>
      <c r="AH35" s="552"/>
      <c r="AI35" s="553"/>
      <c r="AJ35" s="5">
        <f>IF(AJ10&gt;$B$3,0,SUBTOTAL(109,Tabla353211[Valor mensual]))</f>
        <v>0</v>
      </c>
      <c r="AK35" s="17"/>
      <c r="AN35" s="9"/>
      <c r="AO35" s="551" t="s">
        <v>29</v>
      </c>
      <c r="AP35" s="552"/>
      <c r="AQ35" s="552"/>
      <c r="AR35" s="552"/>
      <c r="AS35" s="553"/>
      <c r="AT35" s="5">
        <f>IF(AT10&gt;$B$3,0,SUBTOTAL(109,Tabla356214[Valor mensual]))</f>
        <v>0</v>
      </c>
      <c r="AU35" s="17"/>
      <c r="AX35" s="9"/>
      <c r="AY35" s="551" t="s">
        <v>29</v>
      </c>
      <c r="AZ35" s="552"/>
      <c r="BA35" s="552"/>
      <c r="BB35" s="552"/>
      <c r="BC35" s="553"/>
      <c r="BD35" s="5">
        <f>IF(BD10&gt;$B$3,0,SUBTOTAL(109,Tabla359217[Valor mensual]))</f>
        <v>0</v>
      </c>
      <c r="BE35" s="17"/>
      <c r="BH35" s="9"/>
      <c r="BI35" s="551" t="s">
        <v>29</v>
      </c>
      <c r="BJ35" s="552"/>
      <c r="BK35" s="552"/>
      <c r="BL35" s="552"/>
      <c r="BM35" s="553"/>
      <c r="BN35" s="5">
        <f>SUBTOTAL(109,Tabla362220[Valor mensual])</f>
        <v>0</v>
      </c>
      <c r="BO35" s="17"/>
      <c r="BR35" s="9"/>
      <c r="BS35" s="551" t="s">
        <v>29</v>
      </c>
      <c r="BT35" s="552"/>
      <c r="BU35" s="552"/>
      <c r="BV35" s="552"/>
      <c r="BW35" s="553"/>
      <c r="BX35" s="5">
        <f>SUBTOTAL(109,Tabla365223[Valor mensual])</f>
        <v>0</v>
      </c>
      <c r="BY35" s="17"/>
      <c r="CB35" s="9"/>
      <c r="CC35" s="551" t="s">
        <v>29</v>
      </c>
      <c r="CD35" s="552"/>
      <c r="CE35" s="552"/>
      <c r="CF35" s="552"/>
      <c r="CG35" s="553"/>
      <c r="CH35" s="5">
        <f>SUBTOTAL(109,Tabla368226[Valor mensual])</f>
        <v>0</v>
      </c>
      <c r="CI35" s="17"/>
      <c r="CL35" s="9"/>
      <c r="CM35" s="551" t="s">
        <v>29</v>
      </c>
      <c r="CN35" s="552"/>
      <c r="CO35" s="552"/>
      <c r="CP35" s="552"/>
      <c r="CQ35" s="553"/>
      <c r="CR35" s="5">
        <f>SUBTOTAL(109,Tabla371229[Valor mensual])</f>
        <v>0</v>
      </c>
      <c r="CS35" s="17"/>
      <c r="CV35" s="9"/>
      <c r="CW35" s="551" t="s">
        <v>29</v>
      </c>
      <c r="CX35" s="552"/>
      <c r="CY35" s="552"/>
      <c r="CZ35" s="552"/>
      <c r="DA35" s="553"/>
      <c r="DB35" s="5">
        <f>SUBTOTAL(109,Tabla374232[Valor mensual])</f>
        <v>0</v>
      </c>
      <c r="DC35" s="17"/>
      <c r="DF35" s="9"/>
      <c r="DG35" s="551" t="s">
        <v>29</v>
      </c>
      <c r="DH35" s="552"/>
      <c r="DI35" s="552"/>
      <c r="DJ35" s="552"/>
      <c r="DK35" s="553"/>
      <c r="DL35" s="5">
        <f>SUBTOTAL(109,Tabla377235[Valor mensual])</f>
        <v>0</v>
      </c>
      <c r="DM35" s="17"/>
      <c r="DP35" s="9"/>
      <c r="DQ35" s="551" t="s">
        <v>29</v>
      </c>
      <c r="DR35" s="552"/>
      <c r="DS35" s="552"/>
      <c r="DT35" s="552"/>
      <c r="DU35" s="553"/>
      <c r="DV35" s="5">
        <f>SUBTOTAL(109,Tabla380238[Valor mensual])</f>
        <v>0</v>
      </c>
      <c r="DW35" s="17"/>
      <c r="DZ35" s="9"/>
      <c r="EA35" s="551" t="s">
        <v>29</v>
      </c>
      <c r="EB35" s="552"/>
      <c r="EC35" s="552"/>
      <c r="ED35" s="552"/>
      <c r="EE35" s="553"/>
      <c r="EF35" s="5">
        <f>SUBTOTAL(109,Tabla383241[Valor mensual])</f>
        <v>0</v>
      </c>
      <c r="EG35" s="17"/>
      <c r="EJ35" s="9"/>
      <c r="EK35" s="551" t="s">
        <v>29</v>
      </c>
      <c r="EL35" s="552"/>
      <c r="EM35" s="552"/>
      <c r="EN35" s="552"/>
      <c r="EO35" s="553"/>
      <c r="EP35" s="5">
        <f>SUBTOTAL(109,Tabla386244[Valor mensual])</f>
        <v>0</v>
      </c>
      <c r="EQ35" s="17"/>
      <c r="ET35" s="9"/>
      <c r="EU35" s="551" t="s">
        <v>29</v>
      </c>
      <c r="EV35" s="552"/>
      <c r="EW35" s="552"/>
      <c r="EX35" s="552"/>
      <c r="EY35" s="553"/>
      <c r="EZ35" s="5">
        <f>SUBTOTAL(109,Tabla389247[Valor mensual])</f>
        <v>0</v>
      </c>
      <c r="FA35" s="17"/>
      <c r="FD35" s="9"/>
      <c r="FE35" s="551" t="s">
        <v>29</v>
      </c>
      <c r="FF35" s="552"/>
      <c r="FG35" s="552"/>
      <c r="FH35" s="552"/>
      <c r="FI35" s="553"/>
      <c r="FJ35" s="5">
        <f>SUBTOTAL(109,Tabla392250[Valor mensual])</f>
        <v>0</v>
      </c>
      <c r="FK35" s="17"/>
      <c r="FN35" s="9"/>
      <c r="FO35" s="551" t="s">
        <v>29</v>
      </c>
      <c r="FP35" s="552"/>
      <c r="FQ35" s="552"/>
      <c r="FR35" s="552"/>
      <c r="FS35" s="553"/>
      <c r="FT35" s="5">
        <f>SUBTOTAL(109,Tabla395253[Valor mensual])</f>
        <v>0</v>
      </c>
      <c r="FU35" s="17"/>
    </row>
    <row r="36" spans="1:177" x14ac:dyDescent="0.3">
      <c r="A36" s="9"/>
      <c r="H36" s="11"/>
      <c r="K36" s="9"/>
      <c r="R36" s="11"/>
      <c r="U36" s="9"/>
      <c r="AB36" s="11"/>
      <c r="AD36" s="9"/>
      <c r="AK36" s="11"/>
      <c r="AN36" s="9"/>
      <c r="AU36" s="11"/>
      <c r="AX36" s="9"/>
      <c r="BE36" s="11"/>
      <c r="BH36" s="9"/>
      <c r="BO36" s="11"/>
      <c r="BR36" s="9"/>
      <c r="BY36" s="11"/>
      <c r="CB36" s="9"/>
      <c r="CI36" s="11"/>
      <c r="CL36" s="9"/>
      <c r="CS36" s="11"/>
      <c r="CV36" s="9"/>
      <c r="DC36" s="11"/>
      <c r="DF36" s="9"/>
      <c r="DM36" s="11"/>
      <c r="DP36" s="9"/>
      <c r="DW36" s="11"/>
      <c r="DZ36" s="9"/>
      <c r="EG36" s="11"/>
      <c r="EJ36" s="9"/>
      <c r="EQ36" s="11"/>
      <c r="ET36" s="9"/>
      <c r="FA36" s="11"/>
      <c r="FD36" s="9"/>
      <c r="FK36" s="11"/>
      <c r="FN36" s="9"/>
      <c r="FU36" s="11"/>
    </row>
    <row r="37" spans="1:177" x14ac:dyDescent="0.3">
      <c r="A37" s="9"/>
      <c r="H37" s="11"/>
      <c r="K37" s="9"/>
      <c r="R37" s="11"/>
      <c r="U37" s="9"/>
      <c r="AB37" s="11"/>
      <c r="AD37" s="9"/>
      <c r="AK37" s="11"/>
      <c r="AN37" s="9"/>
      <c r="AU37" s="11"/>
      <c r="AX37" s="9"/>
      <c r="BE37" s="11"/>
      <c r="BH37" s="9"/>
      <c r="BO37" s="11"/>
      <c r="BR37" s="9"/>
      <c r="BY37" s="11"/>
      <c r="CB37" s="9"/>
      <c r="CI37" s="11"/>
      <c r="CL37" s="9"/>
      <c r="CS37" s="11"/>
      <c r="CV37" s="9"/>
      <c r="DC37" s="11"/>
      <c r="DF37" s="9"/>
      <c r="DM37" s="11"/>
      <c r="DP37" s="9"/>
      <c r="DW37" s="11"/>
      <c r="DZ37" s="9"/>
      <c r="EG37" s="11"/>
      <c r="EJ37" s="9"/>
      <c r="EQ37" s="11"/>
      <c r="ET37" s="9"/>
      <c r="FA37" s="11"/>
      <c r="FD37" s="9"/>
      <c r="FK37" s="11"/>
      <c r="FN37" s="9"/>
      <c r="FU37" s="11"/>
    </row>
    <row r="38" spans="1:177" ht="17.25" thickBot="1" x14ac:dyDescent="0.35">
      <c r="A38" s="9"/>
      <c r="H38" s="11"/>
      <c r="K38" s="9"/>
      <c r="R38" s="11"/>
      <c r="U38" s="9"/>
      <c r="AB38" s="11"/>
      <c r="AD38" s="9"/>
      <c r="AK38" s="11"/>
      <c r="AN38" s="9"/>
      <c r="AU38" s="11"/>
      <c r="AX38" s="9"/>
      <c r="BE38" s="11"/>
      <c r="BH38" s="9"/>
      <c r="BO38" s="11"/>
      <c r="BR38" s="9"/>
      <c r="BY38" s="11"/>
      <c r="CB38" s="9"/>
      <c r="CI38" s="11"/>
      <c r="CL38" s="9"/>
      <c r="CS38" s="11"/>
      <c r="CV38" s="9"/>
      <c r="DC38" s="11"/>
      <c r="DF38" s="9"/>
      <c r="DM38" s="11"/>
      <c r="DP38" s="9"/>
      <c r="DW38" s="11"/>
      <c r="DZ38" s="9"/>
      <c r="EG38" s="11"/>
      <c r="EJ38" s="9"/>
      <c r="EQ38" s="11"/>
      <c r="ET38" s="9"/>
      <c r="FA38" s="11"/>
      <c r="FD38" s="9"/>
      <c r="FK38" s="11"/>
      <c r="FN38" s="9"/>
      <c r="FU38" s="11"/>
    </row>
    <row r="39" spans="1:177" x14ac:dyDescent="0.3">
      <c r="A39" s="6" t="s">
        <v>30</v>
      </c>
      <c r="B39" s="7" t="s">
        <v>24</v>
      </c>
      <c r="C39" s="7" t="s">
        <v>28</v>
      </c>
      <c r="D39" s="7" t="s">
        <v>34</v>
      </c>
      <c r="E39" s="7" t="s">
        <v>35</v>
      </c>
      <c r="F39" s="7" t="s">
        <v>31</v>
      </c>
      <c r="G39" s="7" t="s">
        <v>32</v>
      </c>
      <c r="H39" s="8" t="s">
        <v>212</v>
      </c>
      <c r="K39" s="6" t="s">
        <v>30</v>
      </c>
      <c r="L39" s="7" t="s">
        <v>24</v>
      </c>
      <c r="M39" s="7" t="s">
        <v>28</v>
      </c>
      <c r="N39" s="7" t="s">
        <v>34</v>
      </c>
      <c r="O39" s="7" t="s">
        <v>35</v>
      </c>
      <c r="P39" s="7" t="s">
        <v>31</v>
      </c>
      <c r="Q39" s="7" t="s">
        <v>32</v>
      </c>
      <c r="R39" s="8" t="s">
        <v>33</v>
      </c>
      <c r="U39" s="6" t="s">
        <v>30</v>
      </c>
      <c r="V39" s="7" t="s">
        <v>24</v>
      </c>
      <c r="W39" s="7" t="s">
        <v>28</v>
      </c>
      <c r="X39" s="7" t="s">
        <v>34</v>
      </c>
      <c r="Y39" s="7" t="s">
        <v>35</v>
      </c>
      <c r="Z39" s="7" t="s">
        <v>31</v>
      </c>
      <c r="AA39" s="7" t="s">
        <v>32</v>
      </c>
      <c r="AB39" s="8" t="s">
        <v>33</v>
      </c>
      <c r="AD39" s="6" t="s">
        <v>30</v>
      </c>
      <c r="AE39" s="7" t="s">
        <v>24</v>
      </c>
      <c r="AF39" s="7" t="s">
        <v>28</v>
      </c>
      <c r="AG39" s="7" t="s">
        <v>34</v>
      </c>
      <c r="AH39" s="7" t="s">
        <v>35</v>
      </c>
      <c r="AI39" s="7" t="s">
        <v>31</v>
      </c>
      <c r="AJ39" s="7" t="s">
        <v>32</v>
      </c>
      <c r="AK39" s="8" t="s">
        <v>33</v>
      </c>
      <c r="AN39" s="6" t="s">
        <v>30</v>
      </c>
      <c r="AO39" s="7" t="s">
        <v>24</v>
      </c>
      <c r="AP39" s="7" t="s">
        <v>28</v>
      </c>
      <c r="AQ39" s="7" t="s">
        <v>34</v>
      </c>
      <c r="AR39" s="7" t="s">
        <v>35</v>
      </c>
      <c r="AS39" s="7" t="s">
        <v>31</v>
      </c>
      <c r="AT39" s="7" t="s">
        <v>32</v>
      </c>
      <c r="AU39" s="8" t="s">
        <v>33</v>
      </c>
      <c r="AX39" s="6" t="s">
        <v>30</v>
      </c>
      <c r="AY39" s="7" t="s">
        <v>24</v>
      </c>
      <c r="AZ39" s="7" t="s">
        <v>28</v>
      </c>
      <c r="BA39" s="7" t="s">
        <v>34</v>
      </c>
      <c r="BB39" s="7" t="s">
        <v>35</v>
      </c>
      <c r="BC39" s="7" t="s">
        <v>31</v>
      </c>
      <c r="BD39" s="7" t="s">
        <v>32</v>
      </c>
      <c r="BE39" s="8" t="s">
        <v>33</v>
      </c>
      <c r="BH39" s="6" t="s">
        <v>30</v>
      </c>
      <c r="BI39" s="7" t="s">
        <v>24</v>
      </c>
      <c r="BJ39" s="7" t="s">
        <v>28</v>
      </c>
      <c r="BK39" s="7" t="s">
        <v>34</v>
      </c>
      <c r="BL39" s="7" t="s">
        <v>35</v>
      </c>
      <c r="BM39" s="7" t="s">
        <v>31</v>
      </c>
      <c r="BN39" s="7" t="s">
        <v>32</v>
      </c>
      <c r="BO39" s="8" t="s">
        <v>33</v>
      </c>
      <c r="BR39" s="6" t="s">
        <v>30</v>
      </c>
      <c r="BS39" s="7" t="s">
        <v>24</v>
      </c>
      <c r="BT39" s="7" t="s">
        <v>28</v>
      </c>
      <c r="BU39" s="7" t="s">
        <v>34</v>
      </c>
      <c r="BV39" s="7" t="s">
        <v>35</v>
      </c>
      <c r="BW39" s="7" t="s">
        <v>31</v>
      </c>
      <c r="BX39" s="7" t="s">
        <v>32</v>
      </c>
      <c r="BY39" s="8" t="s">
        <v>33</v>
      </c>
      <c r="CB39" s="6" t="s">
        <v>30</v>
      </c>
      <c r="CC39" s="7" t="s">
        <v>24</v>
      </c>
      <c r="CD39" s="7" t="s">
        <v>28</v>
      </c>
      <c r="CE39" s="7" t="s">
        <v>34</v>
      </c>
      <c r="CF39" s="7" t="s">
        <v>35</v>
      </c>
      <c r="CG39" s="7" t="s">
        <v>31</v>
      </c>
      <c r="CH39" s="7" t="s">
        <v>32</v>
      </c>
      <c r="CI39" s="8" t="s">
        <v>33</v>
      </c>
      <c r="CL39" s="6" t="s">
        <v>30</v>
      </c>
      <c r="CM39" s="7" t="s">
        <v>24</v>
      </c>
      <c r="CN39" s="7" t="s">
        <v>28</v>
      </c>
      <c r="CO39" s="7" t="s">
        <v>34</v>
      </c>
      <c r="CP39" s="7" t="s">
        <v>35</v>
      </c>
      <c r="CQ39" s="7" t="s">
        <v>31</v>
      </c>
      <c r="CR39" s="7" t="s">
        <v>32</v>
      </c>
      <c r="CS39" s="8" t="s">
        <v>33</v>
      </c>
      <c r="CV39" s="6" t="s">
        <v>30</v>
      </c>
      <c r="CW39" s="7" t="s">
        <v>24</v>
      </c>
      <c r="CX39" s="7" t="s">
        <v>28</v>
      </c>
      <c r="CY39" s="7" t="s">
        <v>34</v>
      </c>
      <c r="CZ39" s="7" t="s">
        <v>35</v>
      </c>
      <c r="DA39" s="7" t="s">
        <v>31</v>
      </c>
      <c r="DB39" s="7" t="s">
        <v>32</v>
      </c>
      <c r="DC39" s="8" t="s">
        <v>33</v>
      </c>
      <c r="DF39" s="6" t="s">
        <v>30</v>
      </c>
      <c r="DG39" s="7" t="s">
        <v>24</v>
      </c>
      <c r="DH39" s="7" t="s">
        <v>28</v>
      </c>
      <c r="DI39" s="7" t="s">
        <v>34</v>
      </c>
      <c r="DJ39" s="7" t="s">
        <v>35</v>
      </c>
      <c r="DK39" s="7" t="s">
        <v>31</v>
      </c>
      <c r="DL39" s="7" t="s">
        <v>32</v>
      </c>
      <c r="DM39" s="8" t="s">
        <v>33</v>
      </c>
      <c r="DP39" s="6" t="s">
        <v>30</v>
      </c>
      <c r="DQ39" s="7" t="s">
        <v>24</v>
      </c>
      <c r="DR39" s="7" t="s">
        <v>28</v>
      </c>
      <c r="DS39" s="7" t="s">
        <v>34</v>
      </c>
      <c r="DT39" s="7" t="s">
        <v>35</v>
      </c>
      <c r="DU39" s="7" t="s">
        <v>31</v>
      </c>
      <c r="DV39" s="7" t="s">
        <v>32</v>
      </c>
      <c r="DW39" s="8" t="s">
        <v>33</v>
      </c>
      <c r="DZ39" s="6" t="s">
        <v>30</v>
      </c>
      <c r="EA39" s="7" t="s">
        <v>24</v>
      </c>
      <c r="EB39" s="7" t="s">
        <v>28</v>
      </c>
      <c r="EC39" s="7" t="s">
        <v>34</v>
      </c>
      <c r="ED39" s="7" t="s">
        <v>35</v>
      </c>
      <c r="EE39" s="7" t="s">
        <v>31</v>
      </c>
      <c r="EF39" s="7" t="s">
        <v>32</v>
      </c>
      <c r="EG39" s="8" t="s">
        <v>33</v>
      </c>
      <c r="EJ39" s="6" t="s">
        <v>30</v>
      </c>
      <c r="EK39" s="7" t="s">
        <v>24</v>
      </c>
      <c r="EL39" s="7" t="s">
        <v>28</v>
      </c>
      <c r="EM39" s="7" t="s">
        <v>34</v>
      </c>
      <c r="EN39" s="7" t="s">
        <v>35</v>
      </c>
      <c r="EO39" s="7" t="s">
        <v>31</v>
      </c>
      <c r="EP39" s="7" t="s">
        <v>32</v>
      </c>
      <c r="EQ39" s="8" t="s">
        <v>33</v>
      </c>
      <c r="ET39" s="6" t="s">
        <v>30</v>
      </c>
      <c r="EU39" s="7" t="s">
        <v>24</v>
      </c>
      <c r="EV39" s="7" t="s">
        <v>28</v>
      </c>
      <c r="EW39" s="7" t="s">
        <v>34</v>
      </c>
      <c r="EX39" s="7" t="s">
        <v>35</v>
      </c>
      <c r="EY39" s="7" t="s">
        <v>31</v>
      </c>
      <c r="EZ39" s="7" t="s">
        <v>32</v>
      </c>
      <c r="FA39" s="8" t="s">
        <v>33</v>
      </c>
      <c r="FD39" s="6" t="s">
        <v>30</v>
      </c>
      <c r="FE39" s="7" t="s">
        <v>24</v>
      </c>
      <c r="FF39" s="7" t="s">
        <v>28</v>
      </c>
      <c r="FG39" s="7" t="s">
        <v>34</v>
      </c>
      <c r="FH39" s="7" t="s">
        <v>35</v>
      </c>
      <c r="FI39" s="7" t="s">
        <v>31</v>
      </c>
      <c r="FJ39" s="7" t="s">
        <v>32</v>
      </c>
      <c r="FK39" s="8" t="s">
        <v>33</v>
      </c>
      <c r="FN39" s="6" t="s">
        <v>30</v>
      </c>
      <c r="FO39" s="7" t="s">
        <v>24</v>
      </c>
      <c r="FP39" s="7" t="s">
        <v>28</v>
      </c>
      <c r="FQ39" s="7" t="s">
        <v>34</v>
      </c>
      <c r="FR39" s="7" t="s">
        <v>35</v>
      </c>
      <c r="FS39" s="7" t="s">
        <v>31</v>
      </c>
      <c r="FT39" s="7" t="s">
        <v>32</v>
      </c>
      <c r="FU39" s="8" t="s">
        <v>33</v>
      </c>
    </row>
    <row r="40" spans="1:177" x14ac:dyDescent="0.3">
      <c r="A40" s="9" t="s">
        <v>493</v>
      </c>
      <c r="B40" s="10">
        <v>0.5</v>
      </c>
      <c r="C40" s="165">
        <f>IF(Tabla5203[[#This Row],[Equipo ]]="","",INDEX(V_MENSUAL,MATCH(Tabla5203[[#This Row],[Equipo ]],LISTA_MAQUINARIA,0)))</f>
        <v>5000000</v>
      </c>
      <c r="D40" s="12">
        <f>IF(Tabla5203[[#This Row],[Equipo ]]="","",INDEX(CONSUMO_COMBUSTIBLE_H,MATCH(Tabla5203[[#This Row],[Equipo ]],LISTA_MAQUINARIA,0)))</f>
        <v>0</v>
      </c>
      <c r="E40" s="166">
        <f>IF(Tabla5203[[#This Row],[Equipo ]]="","",INDEX(V_GALON,MATCH(Tabla5203[[#This Row],[Equipo ]],LISTA_MAQUINARIA,0)))</f>
        <v>10800</v>
      </c>
      <c r="F40" s="10"/>
      <c r="G40" s="165">
        <f>IF(Tabla5203[[#This Row],[Equipo ]]="","",Tabla5203[[#This Row],[Valor mensual]]+Tabla5203[[#This Row],[Combustible Hora ]]*Tabla5203[[#This Row],[Valor galon]]*Tabla5203[[#This Row],[Horas mes]])</f>
        <v>5000000</v>
      </c>
      <c r="H40" s="168">
        <f>IF(Tabla5203[[#This Row],[Valor mensual + Combustible]]="","",Tabla5203[[#This Row],[Valor mensual + Combustible]]*Tabla5203[[#This Row],[Cantidad]])</f>
        <v>2500000</v>
      </c>
      <c r="K40" s="9" t="s">
        <v>493</v>
      </c>
      <c r="L40" s="10">
        <v>0.5</v>
      </c>
      <c r="M40" s="165" cm="1">
        <f t="array" ref="M40">IF(Tabla548206[[#This Row],[Equipo ]]="","",INDEX(V_MENSUAL,MATCH(Tabla548206[[#This Row],[Equipo ]],LISTA_MAQUINARIA,0)))</f>
        <v>5000000</v>
      </c>
      <c r="N40" s="12">
        <f>IF(Tabla548206[[#This Row],[Equipo ]]="","",INDEX(CONSUMO_COMBUSTIBLE_H,MATCH(Tabla548206[[#This Row],[Equipo ]],LISTA_MAQUINARIA,0)))</f>
        <v>0</v>
      </c>
      <c r="O40" s="166">
        <f>IF(Tabla548206[[#This Row],[Equipo ]]="","",INDEX(V_GALON,MATCH(Tabla548206[[#This Row],[Equipo ]],LISTA_MAQUINARIA,0)))</f>
        <v>10800</v>
      </c>
      <c r="P40" s="10"/>
      <c r="Q40" s="165">
        <f>IF(Tabla548206[[#This Row],[Equipo ]]="","",Tabla548206[[#This Row],[Valor mensual]]+Tabla548206[[#This Row],[Combustible Hora ]]*Tabla548206[[#This Row],[Valor galon]]*Tabla548206[[#This Row],[Horas mes]])</f>
        <v>5000000</v>
      </c>
      <c r="R40" s="168">
        <f>IF(Tabla548206[[#This Row],[Valor mensual + Combustible]]="","",Tabla548206[[#This Row],[Valor mensual + Combustible]]*Tabla548206[[#This Row],[Cantidad]])</f>
        <v>2500000</v>
      </c>
      <c r="U40" s="9" t="s">
        <v>493</v>
      </c>
      <c r="V40" s="10">
        <v>0.5</v>
      </c>
      <c r="W40" s="165">
        <f>IF(Tabla551209[[#This Row],[Equipo ]]="","",INDEX(V_MENSUAL,MATCH(Tabla551209[[#This Row],[Equipo ]],LISTA_MAQUINARIA,0)))</f>
        <v>5000000</v>
      </c>
      <c r="X40" s="12">
        <f>IF(Tabla551209[[#This Row],[Equipo ]]="","",INDEX(CONSUMO_COMBUSTIBLE_H,MATCH(Tabla551209[[#This Row],[Equipo ]],LISTA_MAQUINARIA,0)))</f>
        <v>0</v>
      </c>
      <c r="Y40" s="166">
        <f>IF(Tabla551209[[#This Row],[Equipo ]]="","",INDEX(V_GALON,MATCH(Tabla551209[[#This Row],[Equipo ]],LISTA_MAQUINARIA,0)))</f>
        <v>10800</v>
      </c>
      <c r="Z40" s="10"/>
      <c r="AA40" s="165">
        <f>IF(Tabla551209[[#This Row],[Equipo ]]="","",Tabla551209[[#This Row],[Valor mensual]]+Tabla551209[[#This Row],[Combustible Hora ]]*Tabla551209[[#This Row],[Valor galon]]*Tabla551209[[#This Row],[Horas mes]])</f>
        <v>5000000</v>
      </c>
      <c r="AB40" s="168">
        <f>IF(Tabla551209[[#This Row],[Valor mensual + Combustible]]="","",Tabla551209[[#This Row],[Valor mensual + Combustible]]*Tabla551209[[#This Row],[Cantidad]])</f>
        <v>2500000</v>
      </c>
      <c r="AD40" s="9" t="s">
        <v>493</v>
      </c>
      <c r="AE40" s="10">
        <v>0.5</v>
      </c>
      <c r="AF40" s="165">
        <f>IF(Tabla554212[[#This Row],[Equipo ]]="","",INDEX(V_MENSUAL,MATCH(Tabla554212[[#This Row],[Equipo ]],LISTA_MAQUINARIA,0)))</f>
        <v>5000000</v>
      </c>
      <c r="AG40" s="12">
        <f>IF(Tabla554212[[#This Row],[Equipo ]]="","",INDEX(CONSUMO_COMBUSTIBLE_H,MATCH(Tabla554212[[#This Row],[Equipo ]],LISTA_MAQUINARIA,0)))</f>
        <v>0</v>
      </c>
      <c r="AH40" s="166">
        <f>IF(Tabla554212[[#This Row],[Equipo ]]="","",INDEX(V_GALON,MATCH(Tabla554212[[#This Row],[Equipo ]],LISTA_MAQUINARIA,0)))</f>
        <v>10800</v>
      </c>
      <c r="AI40" s="10"/>
      <c r="AJ40" s="165">
        <f>IF(Tabla554212[[#This Row],[Equipo ]]="","",Tabla554212[[#This Row],[Valor mensual]]+Tabla554212[[#This Row],[Combustible Hora ]]*Tabla554212[[#This Row],[Valor galon]]*Tabla554212[[#This Row],[Horas mes]])</f>
        <v>5000000</v>
      </c>
      <c r="AK40" s="168">
        <f>IF(Tabla554212[[#This Row],[Valor mensual + Combustible]]="","",Tabla554212[[#This Row],[Valor mensual + Combustible]]*Tabla554212[[#This Row],[Cantidad]])</f>
        <v>2500000</v>
      </c>
      <c r="AN40" s="9"/>
      <c r="AO40" s="10"/>
      <c r="AP40" s="165" t="str">
        <f>IF(Tabla557215[[#This Row],[Equipo ]]="","",INDEX(V_MENSUAL,MATCH(Tabla557215[[#This Row],[Equipo ]],LISTA_MAQUINARIA,0)))</f>
        <v/>
      </c>
      <c r="AQ40" s="12" t="str">
        <f>IF(Tabla557215[[#This Row],[Equipo ]]="","",INDEX(CONSUMO_COMBUSTIBLE_H,MATCH(Tabla557215[[#This Row],[Equipo ]],LISTA_MAQUINARIA,0)))</f>
        <v/>
      </c>
      <c r="AR40" s="166" t="str">
        <f>IF(Tabla557215[[#This Row],[Equipo ]]="","",INDEX(V_GALON,MATCH(Tabla557215[[#This Row],[Equipo ]],LISTA_MAQUINARIA,0)))</f>
        <v/>
      </c>
      <c r="AS40" s="10"/>
      <c r="AT40" s="165" t="str">
        <f>IF(Tabla557215[[#This Row],[Equipo ]]="","",Tabla557215[[#This Row],[Valor mensual]]+Tabla557215[[#This Row],[Combustible Hora ]]*Tabla557215[[#This Row],[Valor galon]]*Tabla557215[[#This Row],[Horas mes]])</f>
        <v/>
      </c>
      <c r="AU40" s="168" t="str">
        <f>IF(Tabla557215[[#This Row],[Valor mensual + Combustible]]="","",Tabla557215[[#This Row],[Valor mensual + Combustible]]*Tabla557215[[#This Row],[Cantidad]])</f>
        <v/>
      </c>
      <c r="AX40" s="9"/>
      <c r="AY40" s="10"/>
      <c r="AZ40" s="165" t="str">
        <f>IF(Tabla560218[[#This Row],[Equipo ]]="","",INDEX(V_MENSUAL,MATCH(Tabla560218[[#This Row],[Equipo ]],LISTA_MAQUINARIA,0)))</f>
        <v/>
      </c>
      <c r="BA40" s="12" t="str">
        <f>IF(Tabla560218[[#This Row],[Equipo ]]="","",INDEX(CONSUMO_COMBUSTIBLE_H,MATCH(Tabla560218[[#This Row],[Equipo ]],LISTA_MAQUINARIA,0)))</f>
        <v/>
      </c>
      <c r="BB40" s="166" t="str">
        <f>IF(Tabla560218[[#This Row],[Equipo ]]="","",INDEX(V_GALON,MATCH(Tabla560218[[#This Row],[Equipo ]],LISTA_MAQUINARIA,0)))</f>
        <v/>
      </c>
      <c r="BC40" s="10"/>
      <c r="BD40" s="165" t="str">
        <f>IF(Tabla560218[[#This Row],[Equipo ]]="","",Tabla560218[[#This Row],[Valor mensual]]+Tabla560218[[#This Row],[Combustible Hora ]]*Tabla560218[[#This Row],[Valor galon]]*Tabla560218[[#This Row],[Horas mes]])</f>
        <v/>
      </c>
      <c r="BE40" s="168" t="str">
        <f>IF(Tabla560218[[#This Row],[Valor mensual + Combustible]]="","",Tabla560218[[#This Row],[Valor mensual + Combustible]]*Tabla560218[[#This Row],[Cantidad]])</f>
        <v/>
      </c>
      <c r="BH40" s="9"/>
      <c r="BI40" s="10"/>
      <c r="BJ40" s="165" t="str">
        <f>IF(Tabla563221[[#This Row],[Equipo ]]="","",INDEX(V_MENSUAL,MATCH(Tabla563221[[#This Row],[Equipo ]],LISTA_MAQUINARIA,0)))</f>
        <v/>
      </c>
      <c r="BK40" s="12" t="str">
        <f>IF(Tabla563221[[#This Row],[Equipo ]]="","",INDEX(CONSUMO_COMBUSTIBLE_H,MATCH(Tabla563221[[#This Row],[Equipo ]],LISTA_MAQUINARIA,0)))</f>
        <v/>
      </c>
      <c r="BL40" s="166" t="str">
        <f>IF(Tabla563221[[#This Row],[Equipo ]]="","",INDEX(V_GALON,MATCH(Tabla563221[[#This Row],[Equipo ]],LISTA_MAQUINARIA,0)))</f>
        <v/>
      </c>
      <c r="BM40" s="10"/>
      <c r="BN40" s="165" t="str">
        <f>IF(Tabla563221[[#This Row],[Equipo ]]="","",Tabla563221[[#This Row],[Valor mensual]]+Tabla563221[[#This Row],[Combustible Hora ]]*Tabla563221[[#This Row],[Valor galon]]*Tabla563221[[#This Row],[Horas mes]])</f>
        <v/>
      </c>
      <c r="BO40" s="168" t="str">
        <f>IF(Tabla563221[[#This Row],[Valor mensual + Combustible]]="","",Tabla563221[[#This Row],[Valor mensual + Combustible]]*Tabla563221[[#This Row],[Cantidad]])</f>
        <v/>
      </c>
      <c r="BR40" s="9"/>
      <c r="BS40" s="10"/>
      <c r="BT40" s="165" t="str">
        <f>IF(Tabla566224[[#This Row],[Equipo ]]="","",INDEX(V_MENSUAL,MATCH(Tabla566224[[#This Row],[Equipo ]],LISTA_MAQUINARIA,0)))</f>
        <v/>
      </c>
      <c r="BU40" s="12" t="str">
        <f>IF(Tabla566224[[#This Row],[Equipo ]]="","",INDEX(CONSUMO_COMBUSTIBLE_H,MATCH(Tabla566224[[#This Row],[Equipo ]],LISTA_MAQUINARIA,0)))</f>
        <v/>
      </c>
      <c r="BV40" s="166" t="str">
        <f>IF(Tabla566224[[#This Row],[Equipo ]]="","",INDEX(V_GALON,MATCH(Tabla566224[[#This Row],[Equipo ]],LISTA_MAQUINARIA,0)))</f>
        <v/>
      </c>
      <c r="BW40" s="10"/>
      <c r="BX40" s="165" t="str">
        <f>IF(Tabla566224[[#This Row],[Equipo ]]="","",Tabla566224[[#This Row],[Valor mensual]]+Tabla566224[[#This Row],[Combustible Hora ]]*Tabla566224[[#This Row],[Valor galon]]*Tabla566224[[#This Row],[Horas mes]])</f>
        <v/>
      </c>
      <c r="BY40" s="168" t="str">
        <f>IF(Tabla566224[[#This Row],[Valor mensual + Combustible]]="","",Tabla566224[[#This Row],[Valor mensual + Combustible]]*Tabla566224[[#This Row],[Cantidad]])</f>
        <v/>
      </c>
      <c r="CB40" s="9"/>
      <c r="CC40" s="10"/>
      <c r="CD40" s="165" t="str">
        <f>IF(Tabla569227[[#This Row],[Equipo ]]="","",INDEX(V_MENSUAL,MATCH(Tabla569227[[#This Row],[Equipo ]],LISTA_MAQUINARIA,0)))</f>
        <v/>
      </c>
      <c r="CE40" s="12" t="str">
        <f>IF(Tabla569227[[#This Row],[Equipo ]]="","",INDEX(CONSUMO_COMBUSTIBLE_H,MATCH(Tabla569227[[#This Row],[Equipo ]],LISTA_MAQUINARIA,0)))</f>
        <v/>
      </c>
      <c r="CF40" s="166" t="str">
        <f>IF(Tabla569227[[#This Row],[Equipo ]]="","",INDEX(V_GALON,MATCH(Tabla569227[[#This Row],[Equipo ]],LISTA_MAQUINARIA,0)))</f>
        <v/>
      </c>
      <c r="CG40" s="10"/>
      <c r="CH40" s="165" t="str">
        <f>IF(Tabla569227[[#This Row],[Equipo ]]="","",Tabla569227[[#This Row],[Valor mensual]]+Tabla569227[[#This Row],[Combustible Hora ]]*Tabla569227[[#This Row],[Valor galon]]*Tabla569227[[#This Row],[Horas mes]])</f>
        <v/>
      </c>
      <c r="CI40" s="168" t="str">
        <f>IF(Tabla569227[[#This Row],[Valor mensual + Combustible]]="","",Tabla569227[[#This Row],[Valor mensual + Combustible]]*Tabla569227[[#This Row],[Cantidad]])</f>
        <v/>
      </c>
      <c r="CL40" s="9"/>
      <c r="CM40" s="10"/>
      <c r="CN40" s="165" t="str">
        <f>IF(Tabla572230[[#This Row],[Equipo ]]="","",INDEX(V_MENSUAL,MATCH(Tabla572230[[#This Row],[Equipo ]],LISTA_MAQUINARIA,0)))</f>
        <v/>
      </c>
      <c r="CO40" s="12" t="str">
        <f>IF(Tabla572230[[#This Row],[Equipo ]]="","",INDEX(CONSUMO_COMBUSTIBLE_H,MATCH(Tabla572230[[#This Row],[Equipo ]],LISTA_MAQUINARIA,0)))</f>
        <v/>
      </c>
      <c r="CP40" s="166" t="str">
        <f>IF(Tabla572230[[#This Row],[Equipo ]]="","",INDEX(V_GALON,MATCH(Tabla572230[[#This Row],[Equipo ]],LISTA_MAQUINARIA,0)))</f>
        <v/>
      </c>
      <c r="CQ40" s="10"/>
      <c r="CR40" s="165" t="str">
        <f>IF(Tabla572230[[#This Row],[Equipo ]]="","",Tabla572230[[#This Row],[Valor mensual]]+Tabla572230[[#This Row],[Combustible Hora ]]*Tabla572230[[#This Row],[Valor galon]]*Tabla572230[[#This Row],[Horas mes]])</f>
        <v/>
      </c>
      <c r="CS40" s="168" t="str">
        <f>IF(Tabla572230[[#This Row],[Valor mensual + Combustible]]="","",Tabla572230[[#This Row],[Valor mensual + Combustible]]*Tabla572230[[#This Row],[Cantidad]])</f>
        <v/>
      </c>
      <c r="CV40" s="9"/>
      <c r="CW40" s="10"/>
      <c r="CX40" s="165" t="str">
        <f>IF(Tabla575233[[#This Row],[Equipo ]]="","",INDEX(V_MENSUAL,MATCH(Tabla575233[[#This Row],[Equipo ]],LISTA_MAQUINARIA,0)))</f>
        <v/>
      </c>
      <c r="CY40" s="12" t="str">
        <f>IF(Tabla575233[[#This Row],[Equipo ]]="","",INDEX(CONSUMO_COMBUSTIBLE_H,MATCH(Tabla575233[[#This Row],[Equipo ]],LISTA_MAQUINARIA,0)))</f>
        <v/>
      </c>
      <c r="CZ40" s="166" t="str">
        <f>IF(Tabla575233[[#This Row],[Equipo ]]="","",INDEX(V_GALON,MATCH(Tabla575233[[#This Row],[Equipo ]],LISTA_MAQUINARIA,0)))</f>
        <v/>
      </c>
      <c r="DA40" s="10"/>
      <c r="DB40" s="165" t="str">
        <f>IF(Tabla575233[[#This Row],[Equipo ]]="","",Tabla575233[[#This Row],[Valor mensual]]+Tabla575233[[#This Row],[Combustible Hora ]]*Tabla575233[[#This Row],[Valor galon]]*Tabla575233[[#This Row],[Horas mes]])</f>
        <v/>
      </c>
      <c r="DC40" s="168" t="str">
        <f>IF(Tabla575233[[#This Row],[Valor mensual + Combustible]]="","",Tabla575233[[#This Row],[Valor mensual + Combustible]]*Tabla575233[[#This Row],[Cantidad]])</f>
        <v/>
      </c>
      <c r="DF40" s="9"/>
      <c r="DG40" s="10"/>
      <c r="DH40" s="165" t="str">
        <f>IF(Tabla578236[[#This Row],[Equipo ]]="","",INDEX(V_MENSUAL,MATCH(Tabla578236[[#This Row],[Equipo ]],LISTA_MAQUINARIA,0)))</f>
        <v/>
      </c>
      <c r="DI40" s="12" t="str">
        <f>IF(Tabla578236[[#This Row],[Equipo ]]="","",INDEX(CONSUMO_COMBUSTIBLE_H,MATCH(Tabla578236[[#This Row],[Equipo ]],LISTA_MAQUINARIA,0)))</f>
        <v/>
      </c>
      <c r="DJ40" s="166" t="str">
        <f>IF(Tabla578236[[#This Row],[Equipo ]]="","",INDEX(V_GALON,MATCH(Tabla578236[[#This Row],[Equipo ]],LISTA_MAQUINARIA,0)))</f>
        <v/>
      </c>
      <c r="DK40" s="10"/>
      <c r="DL40" s="165" t="str">
        <f>IF(Tabla578236[[#This Row],[Equipo ]]="","",Tabla578236[[#This Row],[Valor mensual]]+Tabla578236[[#This Row],[Combustible Hora ]]*Tabla578236[[#This Row],[Valor galon]]*Tabla578236[[#This Row],[Horas mes]])</f>
        <v/>
      </c>
      <c r="DM40" s="168" t="str">
        <f>IF(Tabla578236[[#This Row],[Valor mensual + Combustible]]="","",Tabla578236[[#This Row],[Valor mensual + Combustible]]*Tabla578236[[#This Row],[Cantidad]])</f>
        <v/>
      </c>
      <c r="DP40" s="9"/>
      <c r="DQ40" s="10"/>
      <c r="DR40" s="165" t="str">
        <f>IF(Tabla581239[[#This Row],[Equipo ]]="","",INDEX(V_MENSUAL,MATCH(Tabla581239[[#This Row],[Equipo ]],LISTA_MAQUINARIA,0)))</f>
        <v/>
      </c>
      <c r="DS40" s="12" t="str">
        <f>IF(Tabla581239[[#This Row],[Equipo ]]="","",INDEX(CONSUMO_COMBUSTIBLE_H,MATCH(Tabla581239[[#This Row],[Equipo ]],LISTA_MAQUINARIA,0)))</f>
        <v/>
      </c>
      <c r="DT40" s="166" t="str">
        <f>IF(Tabla581239[[#This Row],[Equipo ]]="","",INDEX(V_GALON,MATCH(Tabla581239[[#This Row],[Equipo ]],LISTA_MAQUINARIA,0)))</f>
        <v/>
      </c>
      <c r="DU40" s="10"/>
      <c r="DV40" s="165" t="str">
        <f>IF(Tabla581239[[#This Row],[Equipo ]]="","",Tabla581239[[#This Row],[Valor mensual]]+Tabla581239[[#This Row],[Combustible Hora ]]*Tabla581239[[#This Row],[Valor galon]]*Tabla581239[[#This Row],[Horas mes]])</f>
        <v/>
      </c>
      <c r="DW40" s="168" t="str">
        <f>IF(Tabla581239[[#This Row],[Valor mensual + Combustible]]="","",Tabla581239[[#This Row],[Valor mensual + Combustible]]*Tabla581239[[#This Row],[Cantidad]])</f>
        <v/>
      </c>
      <c r="DZ40" s="9"/>
      <c r="EA40" s="10"/>
      <c r="EB40" s="165" t="str">
        <f>IF(Tabla584242[[#This Row],[Equipo ]]="","",INDEX(V_MENSUAL,MATCH(Tabla584242[[#This Row],[Equipo ]],LISTA_MAQUINARIA,0)))</f>
        <v/>
      </c>
      <c r="EC40" s="12" t="str">
        <f>IF(Tabla584242[[#This Row],[Equipo ]]="","",INDEX(CONSUMO_COMBUSTIBLE_H,MATCH(Tabla584242[[#This Row],[Equipo ]],LISTA_MAQUINARIA,0)))</f>
        <v/>
      </c>
      <c r="ED40" s="166" t="str">
        <f>IF(Tabla584242[[#This Row],[Equipo ]]="","",INDEX(V_GALON,MATCH(Tabla584242[[#This Row],[Equipo ]],LISTA_MAQUINARIA,0)))</f>
        <v/>
      </c>
      <c r="EE40" s="10"/>
      <c r="EF40" s="165" t="str">
        <f>IF(Tabla584242[[#This Row],[Equipo ]]="","",Tabla584242[[#This Row],[Valor mensual]]+Tabla584242[[#This Row],[Combustible Hora ]]*Tabla584242[[#This Row],[Valor galon]]*Tabla584242[[#This Row],[Horas mes]])</f>
        <v/>
      </c>
      <c r="EG40" s="168" t="str">
        <f>IF(Tabla584242[[#This Row],[Valor mensual + Combustible]]="","",Tabla584242[[#This Row],[Valor mensual + Combustible]]*Tabla584242[[#This Row],[Cantidad]])</f>
        <v/>
      </c>
      <c r="EJ40" s="9"/>
      <c r="EK40" s="10"/>
      <c r="EL40" s="165" t="str">
        <f>IF(Tabla587245[[#This Row],[Equipo ]]="","",INDEX(V_MENSUAL,MATCH(Tabla587245[[#This Row],[Equipo ]],LISTA_MAQUINARIA,0)))</f>
        <v/>
      </c>
      <c r="EM40" s="12" t="str">
        <f>IF(Tabla587245[[#This Row],[Equipo ]]="","",INDEX(CONSUMO_COMBUSTIBLE_H,MATCH(Tabla587245[[#This Row],[Equipo ]],LISTA_MAQUINARIA,0)))</f>
        <v/>
      </c>
      <c r="EN40" s="166" t="str">
        <f>IF(Tabla587245[[#This Row],[Equipo ]]="","",INDEX(V_GALON,MATCH(Tabla587245[[#This Row],[Equipo ]],LISTA_MAQUINARIA,0)))</f>
        <v/>
      </c>
      <c r="EO40" s="10"/>
      <c r="EP40" s="165" t="str">
        <f>IF(Tabla587245[[#This Row],[Equipo ]]="","",Tabla587245[[#This Row],[Valor mensual]]+Tabla587245[[#This Row],[Combustible Hora ]]*Tabla587245[[#This Row],[Valor galon]]*Tabla587245[[#This Row],[Horas mes]])</f>
        <v/>
      </c>
      <c r="EQ40" s="168" t="str">
        <f>IF(Tabla587245[[#This Row],[Valor mensual + Combustible]]="","",Tabla587245[[#This Row],[Valor mensual + Combustible]]*Tabla587245[[#This Row],[Cantidad]])</f>
        <v/>
      </c>
      <c r="ET40" s="9"/>
      <c r="EU40" s="10"/>
      <c r="EV40" s="165" t="str">
        <f>IF(Tabla590248[[#This Row],[Equipo ]]="","",INDEX(V_MENSUAL,MATCH(Tabla590248[[#This Row],[Equipo ]],LISTA_MAQUINARIA,0)))</f>
        <v/>
      </c>
      <c r="EW40" s="12" t="str">
        <f>IF(Tabla590248[[#This Row],[Equipo ]]="","",INDEX(CONSUMO_COMBUSTIBLE_H,MATCH(Tabla590248[[#This Row],[Equipo ]],LISTA_MAQUINARIA,0)))</f>
        <v/>
      </c>
      <c r="EX40" s="166" t="str">
        <f>IF(Tabla590248[[#This Row],[Equipo ]]="","",INDEX(V_GALON,MATCH(Tabla590248[[#This Row],[Equipo ]],LISTA_MAQUINARIA,0)))</f>
        <v/>
      </c>
      <c r="EY40" s="10"/>
      <c r="EZ40" s="165" t="str">
        <f>IF(Tabla590248[[#This Row],[Equipo ]]="","",Tabla590248[[#This Row],[Valor mensual]]+Tabla590248[[#This Row],[Combustible Hora ]]*Tabla590248[[#This Row],[Valor galon]]*Tabla590248[[#This Row],[Horas mes]])</f>
        <v/>
      </c>
      <c r="FA40" s="168" t="str">
        <f>IF(Tabla590248[[#This Row],[Valor mensual + Combustible]]="","",Tabla590248[[#This Row],[Valor mensual + Combustible]]*Tabla590248[[#This Row],[Cantidad]])</f>
        <v/>
      </c>
      <c r="FD40" s="9"/>
      <c r="FE40" s="10"/>
      <c r="FF40" s="165" t="str">
        <f>IF(Tabla593251[[#This Row],[Equipo ]]="","",INDEX(V_MENSUAL,MATCH(Tabla593251[[#This Row],[Equipo ]],LISTA_MAQUINARIA,0)))</f>
        <v/>
      </c>
      <c r="FG40" s="12" t="str">
        <f>IF(Tabla593251[[#This Row],[Equipo ]]="","",INDEX(CONSUMO_COMBUSTIBLE_H,MATCH(Tabla593251[[#This Row],[Equipo ]],LISTA_MAQUINARIA,0)))</f>
        <v/>
      </c>
      <c r="FH40" s="166" t="str">
        <f>IF(Tabla593251[[#This Row],[Equipo ]]="","",INDEX(V_GALON,MATCH(Tabla593251[[#This Row],[Equipo ]],LISTA_MAQUINARIA,0)))</f>
        <v/>
      </c>
      <c r="FI40" s="10"/>
      <c r="FJ40" s="165" t="str">
        <f>IF(Tabla593251[[#This Row],[Equipo ]]="","",Tabla593251[[#This Row],[Valor mensual]]+Tabla593251[[#This Row],[Combustible Hora ]]*Tabla593251[[#This Row],[Valor galon]]*Tabla593251[[#This Row],[Horas mes]])</f>
        <v/>
      </c>
      <c r="FK40" s="168" t="str">
        <f>IF(Tabla593251[[#This Row],[Valor mensual + Combustible]]="","",Tabla593251[[#This Row],[Valor mensual + Combustible]]*Tabla593251[[#This Row],[Cantidad]])</f>
        <v/>
      </c>
      <c r="FN40" s="9"/>
      <c r="FO40" s="10"/>
      <c r="FP40" s="165" t="str">
        <f>IF(Tabla596254[[#This Row],[Equipo ]]="","",INDEX(V_MENSUAL,MATCH(Tabla596254[[#This Row],[Equipo ]],LISTA_MAQUINARIA,0)))</f>
        <v/>
      </c>
      <c r="FQ40" s="12" t="str">
        <f>IF(Tabla596254[[#This Row],[Equipo ]]="","",INDEX(CONSUMO_COMBUSTIBLE_H,MATCH(Tabla596254[[#This Row],[Equipo ]],LISTA_MAQUINARIA,0)))</f>
        <v/>
      </c>
      <c r="FR40" s="166" t="str">
        <f>IF(Tabla596254[[#This Row],[Equipo ]]="","",INDEX(V_GALON,MATCH(Tabla596254[[#This Row],[Equipo ]],LISTA_MAQUINARIA,0)))</f>
        <v/>
      </c>
      <c r="FS40" s="10"/>
      <c r="FT40" s="165" t="str">
        <f>IF(Tabla596254[[#This Row],[Equipo ]]="","",Tabla596254[[#This Row],[Valor mensual]]+Tabla596254[[#This Row],[Combustible Hora ]]*Tabla596254[[#This Row],[Valor galon]]*Tabla596254[[#This Row],[Horas mes]])</f>
        <v/>
      </c>
      <c r="FU40" s="168" t="str">
        <f>IF(Tabla596254[[#This Row],[Valor mensual + Combustible]]="","",Tabla596254[[#This Row],[Valor mensual + Combustible]]*Tabla596254[[#This Row],[Cantidad]])</f>
        <v/>
      </c>
    </row>
    <row r="41" spans="1:177" x14ac:dyDescent="0.3">
      <c r="A41" s="9" t="s">
        <v>494</v>
      </c>
      <c r="B41" s="10">
        <v>0.5</v>
      </c>
      <c r="C41" s="165">
        <f>IF(Tabla5203[[#This Row],[Equipo ]]="","",INDEX(V_MENSUAL,MATCH(Tabla5203[[#This Row],[Equipo ]],LISTA_MAQUINARIA,0)))</f>
        <v>3000000</v>
      </c>
      <c r="D41" s="12">
        <f>IF(Tabla5203[[#This Row],[Equipo ]]="","",INDEX(CONSUMO_COMBUSTIBLE_H,MATCH(Tabla5203[[#This Row],[Equipo ]],LISTA_MAQUINARIA,0)))</f>
        <v>0</v>
      </c>
      <c r="E41" s="166">
        <f>IF(Tabla5203[[#This Row],[Equipo ]]="","",INDEX(V_GALON,MATCH(Tabla5203[[#This Row],[Equipo ]],LISTA_MAQUINARIA,0)))</f>
        <v>10800</v>
      </c>
      <c r="F41" s="10"/>
      <c r="G41" s="165">
        <f>IF(Tabla5203[[#This Row],[Equipo ]]="","",Tabla5203[[#This Row],[Valor mensual]]+Tabla5203[[#This Row],[Combustible Hora ]]*Tabla5203[[#This Row],[Valor galon]]*Tabla5203[[#This Row],[Horas mes]])</f>
        <v>3000000</v>
      </c>
      <c r="H41" s="168">
        <f>IF(Tabla5203[[#This Row],[Valor mensual + Combustible]]="","",Tabla5203[[#This Row],[Valor mensual + Combustible]]*Tabla5203[[#This Row],[Cantidad]])</f>
        <v>1500000</v>
      </c>
      <c r="K41" s="9" t="s">
        <v>494</v>
      </c>
      <c r="L41" s="10">
        <v>0.5</v>
      </c>
      <c r="M41" s="165" cm="1">
        <f t="array" ref="M41">IF(Tabla548206[[#This Row],[Equipo ]]="","",INDEX(V_MENSUAL,MATCH(Tabla548206[[#This Row],[Equipo ]],LISTA_MAQUINARIA,0)))</f>
        <v>3000000</v>
      </c>
      <c r="N41" s="12">
        <f>IF(Tabla548206[[#This Row],[Equipo ]]="","",INDEX(CONSUMO_COMBUSTIBLE_H,MATCH(Tabla548206[[#This Row],[Equipo ]],LISTA_MAQUINARIA,0)))</f>
        <v>0</v>
      </c>
      <c r="O41" s="166">
        <f>IF(Tabla548206[[#This Row],[Equipo ]]="","",INDEX(V_GALON,MATCH(Tabla548206[[#This Row],[Equipo ]],LISTA_MAQUINARIA,0)))</f>
        <v>10800</v>
      </c>
      <c r="P41" s="10"/>
      <c r="Q41" s="165">
        <f>IF(Tabla548206[[#This Row],[Equipo ]]="","",Tabla548206[[#This Row],[Valor mensual]]+Tabla548206[[#This Row],[Combustible Hora ]]*Tabla548206[[#This Row],[Valor galon]]*Tabla548206[[#This Row],[Horas mes]])</f>
        <v>3000000</v>
      </c>
      <c r="R41" s="168">
        <f>IF(Tabla548206[[#This Row],[Valor mensual + Combustible]]="","",Tabla548206[[#This Row],[Valor mensual + Combustible]]*Tabla548206[[#This Row],[Cantidad]])</f>
        <v>1500000</v>
      </c>
      <c r="U41" s="9" t="s">
        <v>494</v>
      </c>
      <c r="V41" s="10">
        <v>0.5</v>
      </c>
      <c r="W41" s="165">
        <f>IF(Tabla551209[[#This Row],[Equipo ]]="","",INDEX(V_MENSUAL,MATCH(Tabla551209[[#This Row],[Equipo ]],LISTA_MAQUINARIA,0)))</f>
        <v>3000000</v>
      </c>
      <c r="X41" s="12">
        <f>IF(Tabla551209[[#This Row],[Equipo ]]="","",INDEX(CONSUMO_COMBUSTIBLE_H,MATCH(Tabla551209[[#This Row],[Equipo ]],LISTA_MAQUINARIA,0)))</f>
        <v>0</v>
      </c>
      <c r="Y41" s="166">
        <f>IF(Tabla551209[[#This Row],[Equipo ]]="","",INDEX(V_GALON,MATCH(Tabla551209[[#This Row],[Equipo ]],LISTA_MAQUINARIA,0)))</f>
        <v>10800</v>
      </c>
      <c r="Z41" s="10"/>
      <c r="AA41" s="165">
        <f>IF(Tabla551209[[#This Row],[Equipo ]]="","",Tabla551209[[#This Row],[Valor mensual]]+Tabla551209[[#This Row],[Combustible Hora ]]*Tabla551209[[#This Row],[Valor galon]]*Tabla551209[[#This Row],[Horas mes]])</f>
        <v>3000000</v>
      </c>
      <c r="AB41" s="168">
        <f>IF(Tabla551209[[#This Row],[Valor mensual + Combustible]]="","",Tabla551209[[#This Row],[Valor mensual + Combustible]]*Tabla551209[[#This Row],[Cantidad]])</f>
        <v>1500000</v>
      </c>
      <c r="AD41" s="9" t="s">
        <v>494</v>
      </c>
      <c r="AE41" s="10">
        <v>0.5</v>
      </c>
      <c r="AF41" s="165">
        <f>IF(Tabla554212[[#This Row],[Equipo ]]="","",INDEX(V_MENSUAL,MATCH(Tabla554212[[#This Row],[Equipo ]],LISTA_MAQUINARIA,0)))</f>
        <v>3000000</v>
      </c>
      <c r="AG41" s="12">
        <f>IF(Tabla554212[[#This Row],[Equipo ]]="","",INDEX(CONSUMO_COMBUSTIBLE_H,MATCH(Tabla554212[[#This Row],[Equipo ]],LISTA_MAQUINARIA,0)))</f>
        <v>0</v>
      </c>
      <c r="AH41" s="166">
        <f>IF(Tabla554212[[#This Row],[Equipo ]]="","",INDEX(V_GALON,MATCH(Tabla554212[[#This Row],[Equipo ]],LISTA_MAQUINARIA,0)))</f>
        <v>10800</v>
      </c>
      <c r="AI41" s="10"/>
      <c r="AJ41" s="165">
        <f>IF(Tabla554212[[#This Row],[Equipo ]]="","",Tabla554212[[#This Row],[Valor mensual]]+Tabla554212[[#This Row],[Combustible Hora ]]*Tabla554212[[#This Row],[Valor galon]]*Tabla554212[[#This Row],[Horas mes]])</f>
        <v>3000000</v>
      </c>
      <c r="AK41" s="168">
        <f>IF(Tabla554212[[#This Row],[Valor mensual + Combustible]]="","",Tabla554212[[#This Row],[Valor mensual + Combustible]]*Tabla554212[[#This Row],[Cantidad]])</f>
        <v>1500000</v>
      </c>
      <c r="AN41" s="9"/>
      <c r="AO41" s="10"/>
      <c r="AP41" s="165" t="str">
        <f>IF(Tabla557215[[#This Row],[Equipo ]]="","",INDEX(V_MENSUAL,MATCH(Tabla557215[[#This Row],[Equipo ]],LISTA_MAQUINARIA,0)))</f>
        <v/>
      </c>
      <c r="AQ41" s="12" t="str">
        <f>IF(Tabla557215[[#This Row],[Equipo ]]="","",INDEX(CONSUMO_COMBUSTIBLE_H,MATCH(Tabla557215[[#This Row],[Equipo ]],LISTA_MAQUINARIA,0)))</f>
        <v/>
      </c>
      <c r="AR41" s="166" t="str">
        <f>IF(Tabla557215[[#This Row],[Equipo ]]="","",INDEX(V_GALON,MATCH(Tabla557215[[#This Row],[Equipo ]],LISTA_MAQUINARIA,0)))</f>
        <v/>
      </c>
      <c r="AS41" s="10"/>
      <c r="AT41" s="165" t="str">
        <f>IF(Tabla557215[[#This Row],[Equipo ]]="","",Tabla557215[[#This Row],[Valor mensual]]+Tabla557215[[#This Row],[Combustible Hora ]]*Tabla557215[[#This Row],[Valor galon]]*Tabla557215[[#This Row],[Horas mes]])</f>
        <v/>
      </c>
      <c r="AU41" s="168" t="str">
        <f>IF(Tabla557215[[#This Row],[Valor mensual + Combustible]]="","",Tabla557215[[#This Row],[Valor mensual + Combustible]]*Tabla557215[[#This Row],[Cantidad]])</f>
        <v/>
      </c>
      <c r="AX41" s="9"/>
      <c r="AY41" s="10"/>
      <c r="AZ41" s="165" t="str">
        <f>IF(Tabla560218[[#This Row],[Equipo ]]="","",INDEX(V_MENSUAL,MATCH(Tabla560218[[#This Row],[Equipo ]],LISTA_MAQUINARIA,0)))</f>
        <v/>
      </c>
      <c r="BA41" s="12" t="str">
        <f>IF(Tabla560218[[#This Row],[Equipo ]]="","",INDEX(CONSUMO_COMBUSTIBLE_H,MATCH(Tabla560218[[#This Row],[Equipo ]],LISTA_MAQUINARIA,0)))</f>
        <v/>
      </c>
      <c r="BB41" s="166" t="str">
        <f>IF(Tabla560218[[#This Row],[Equipo ]]="","",INDEX(V_GALON,MATCH(Tabla560218[[#This Row],[Equipo ]],LISTA_MAQUINARIA,0)))</f>
        <v/>
      </c>
      <c r="BC41" s="10"/>
      <c r="BD41" s="165" t="str">
        <f>IF(Tabla560218[[#This Row],[Equipo ]]="","",Tabla560218[[#This Row],[Valor mensual]]+Tabla560218[[#This Row],[Combustible Hora ]]*Tabla560218[[#This Row],[Valor galon]]*Tabla560218[[#This Row],[Horas mes]])</f>
        <v/>
      </c>
      <c r="BE41" s="168" t="str">
        <f>IF(Tabla560218[[#This Row],[Valor mensual + Combustible]]="","",Tabla560218[[#This Row],[Valor mensual + Combustible]]*Tabla560218[[#This Row],[Cantidad]])</f>
        <v/>
      </c>
      <c r="BH41" s="9"/>
      <c r="BI41" s="10"/>
      <c r="BJ41" s="165" t="str">
        <f>IF(Tabla563221[[#This Row],[Equipo ]]="","",INDEX(V_MENSUAL,MATCH(Tabla563221[[#This Row],[Equipo ]],LISTA_MAQUINARIA,0)))</f>
        <v/>
      </c>
      <c r="BK41" s="12" t="str">
        <f>IF(Tabla563221[[#This Row],[Equipo ]]="","",INDEX(CONSUMO_COMBUSTIBLE_H,MATCH(Tabla563221[[#This Row],[Equipo ]],LISTA_MAQUINARIA,0)))</f>
        <v/>
      </c>
      <c r="BL41" s="166" t="str">
        <f>IF(Tabla563221[[#This Row],[Equipo ]]="","",INDEX(V_GALON,MATCH(Tabla563221[[#This Row],[Equipo ]],LISTA_MAQUINARIA,0)))</f>
        <v/>
      </c>
      <c r="BM41" s="10"/>
      <c r="BN41" s="165" t="str">
        <f>IF(Tabla563221[[#This Row],[Equipo ]]="","",Tabla563221[[#This Row],[Valor mensual]]+Tabla563221[[#This Row],[Combustible Hora ]]*Tabla563221[[#This Row],[Valor galon]]*Tabla563221[[#This Row],[Horas mes]])</f>
        <v/>
      </c>
      <c r="BO41" s="168" t="str">
        <f>IF(Tabla563221[[#This Row],[Valor mensual + Combustible]]="","",Tabla563221[[#This Row],[Valor mensual + Combustible]]*Tabla563221[[#This Row],[Cantidad]])</f>
        <v/>
      </c>
      <c r="BR41" s="9"/>
      <c r="BS41" s="10"/>
      <c r="BT41" s="165" t="str">
        <f>IF(Tabla566224[[#This Row],[Equipo ]]="","",INDEX(V_MENSUAL,MATCH(Tabla566224[[#This Row],[Equipo ]],LISTA_MAQUINARIA,0)))</f>
        <v/>
      </c>
      <c r="BU41" s="12" t="str">
        <f>IF(Tabla566224[[#This Row],[Equipo ]]="","",INDEX(CONSUMO_COMBUSTIBLE_H,MATCH(Tabla566224[[#This Row],[Equipo ]],LISTA_MAQUINARIA,0)))</f>
        <v/>
      </c>
      <c r="BV41" s="166" t="str">
        <f>IF(Tabla566224[[#This Row],[Equipo ]]="","",INDEX(V_GALON,MATCH(Tabla566224[[#This Row],[Equipo ]],LISTA_MAQUINARIA,0)))</f>
        <v/>
      </c>
      <c r="BW41" s="10"/>
      <c r="BX41" s="165" t="str">
        <f>IF(Tabla566224[[#This Row],[Equipo ]]="","",Tabla566224[[#This Row],[Valor mensual]]+Tabla566224[[#This Row],[Combustible Hora ]]*Tabla566224[[#This Row],[Valor galon]]*Tabla566224[[#This Row],[Horas mes]])</f>
        <v/>
      </c>
      <c r="BY41" s="168" t="str">
        <f>IF(Tabla566224[[#This Row],[Valor mensual + Combustible]]="","",Tabla566224[[#This Row],[Valor mensual + Combustible]]*Tabla566224[[#This Row],[Cantidad]])</f>
        <v/>
      </c>
      <c r="CB41" s="9"/>
      <c r="CC41" s="10"/>
      <c r="CD41" s="165" t="str">
        <f>IF(Tabla569227[[#This Row],[Equipo ]]="","",INDEX(V_MENSUAL,MATCH(Tabla569227[[#This Row],[Equipo ]],LISTA_MAQUINARIA,0)))</f>
        <v/>
      </c>
      <c r="CE41" s="12" t="str">
        <f>IF(Tabla569227[[#This Row],[Equipo ]]="","",INDEX(CONSUMO_COMBUSTIBLE_H,MATCH(Tabla569227[[#This Row],[Equipo ]],LISTA_MAQUINARIA,0)))</f>
        <v/>
      </c>
      <c r="CF41" s="166" t="str">
        <f>IF(Tabla569227[[#This Row],[Equipo ]]="","",INDEX(V_GALON,MATCH(Tabla569227[[#This Row],[Equipo ]],LISTA_MAQUINARIA,0)))</f>
        <v/>
      </c>
      <c r="CG41" s="10"/>
      <c r="CH41" s="165" t="str">
        <f>IF(Tabla569227[[#This Row],[Equipo ]]="","",Tabla569227[[#This Row],[Valor mensual]]+Tabla569227[[#This Row],[Combustible Hora ]]*Tabla569227[[#This Row],[Valor galon]]*Tabla569227[[#This Row],[Horas mes]])</f>
        <v/>
      </c>
      <c r="CI41" s="168" t="str">
        <f>IF(Tabla569227[[#This Row],[Valor mensual + Combustible]]="","",Tabla569227[[#This Row],[Valor mensual + Combustible]]*Tabla569227[[#This Row],[Cantidad]])</f>
        <v/>
      </c>
      <c r="CL41" s="9"/>
      <c r="CM41" s="10"/>
      <c r="CN41" s="165" t="str">
        <f>IF(Tabla572230[[#This Row],[Equipo ]]="","",INDEX(V_MENSUAL,MATCH(Tabla572230[[#This Row],[Equipo ]],LISTA_MAQUINARIA,0)))</f>
        <v/>
      </c>
      <c r="CO41" s="12" t="str">
        <f>IF(Tabla572230[[#This Row],[Equipo ]]="","",INDEX(CONSUMO_COMBUSTIBLE_H,MATCH(Tabla572230[[#This Row],[Equipo ]],LISTA_MAQUINARIA,0)))</f>
        <v/>
      </c>
      <c r="CP41" s="166" t="str">
        <f>IF(Tabla572230[[#This Row],[Equipo ]]="","",INDEX(V_GALON,MATCH(Tabla572230[[#This Row],[Equipo ]],LISTA_MAQUINARIA,0)))</f>
        <v/>
      </c>
      <c r="CQ41" s="10"/>
      <c r="CR41" s="165" t="str">
        <f>IF(Tabla572230[[#This Row],[Equipo ]]="","",Tabla572230[[#This Row],[Valor mensual]]+Tabla572230[[#This Row],[Combustible Hora ]]*Tabla572230[[#This Row],[Valor galon]]*Tabla572230[[#This Row],[Horas mes]])</f>
        <v/>
      </c>
      <c r="CS41" s="168" t="str">
        <f>IF(Tabla572230[[#This Row],[Valor mensual + Combustible]]="","",Tabla572230[[#This Row],[Valor mensual + Combustible]]*Tabla572230[[#This Row],[Cantidad]])</f>
        <v/>
      </c>
      <c r="CV41" s="9"/>
      <c r="CW41" s="10"/>
      <c r="CX41" s="165" t="str">
        <f>IF(Tabla575233[[#This Row],[Equipo ]]="","",INDEX(V_MENSUAL,MATCH(Tabla575233[[#This Row],[Equipo ]],LISTA_MAQUINARIA,0)))</f>
        <v/>
      </c>
      <c r="CY41" s="12" t="str">
        <f>IF(Tabla575233[[#This Row],[Equipo ]]="","",INDEX(CONSUMO_COMBUSTIBLE_H,MATCH(Tabla575233[[#This Row],[Equipo ]],LISTA_MAQUINARIA,0)))</f>
        <v/>
      </c>
      <c r="CZ41" s="166" t="str">
        <f>IF(Tabla575233[[#This Row],[Equipo ]]="","",INDEX(V_GALON,MATCH(Tabla575233[[#This Row],[Equipo ]],LISTA_MAQUINARIA,0)))</f>
        <v/>
      </c>
      <c r="DA41" s="10"/>
      <c r="DB41" s="165" t="str">
        <f>IF(Tabla575233[[#This Row],[Equipo ]]="","",Tabla575233[[#This Row],[Valor mensual]]+Tabla575233[[#This Row],[Combustible Hora ]]*Tabla575233[[#This Row],[Valor galon]]*Tabla575233[[#This Row],[Horas mes]])</f>
        <v/>
      </c>
      <c r="DC41" s="168" t="str">
        <f>IF(Tabla575233[[#This Row],[Valor mensual + Combustible]]="","",Tabla575233[[#This Row],[Valor mensual + Combustible]]*Tabla575233[[#This Row],[Cantidad]])</f>
        <v/>
      </c>
      <c r="DF41" s="9"/>
      <c r="DG41" s="10"/>
      <c r="DH41" s="165" t="str">
        <f>IF(Tabla578236[[#This Row],[Equipo ]]="","",INDEX(V_MENSUAL,MATCH(Tabla578236[[#This Row],[Equipo ]],LISTA_MAQUINARIA,0)))</f>
        <v/>
      </c>
      <c r="DI41" s="12" t="str">
        <f>IF(Tabla578236[[#This Row],[Equipo ]]="","",INDEX(CONSUMO_COMBUSTIBLE_H,MATCH(Tabla578236[[#This Row],[Equipo ]],LISTA_MAQUINARIA,0)))</f>
        <v/>
      </c>
      <c r="DJ41" s="166" t="str">
        <f>IF(Tabla578236[[#This Row],[Equipo ]]="","",INDEX(V_GALON,MATCH(Tabla578236[[#This Row],[Equipo ]],LISTA_MAQUINARIA,0)))</f>
        <v/>
      </c>
      <c r="DK41" s="10"/>
      <c r="DL41" s="165" t="str">
        <f>IF(Tabla578236[[#This Row],[Equipo ]]="","",Tabla578236[[#This Row],[Valor mensual]]+Tabla578236[[#This Row],[Combustible Hora ]]*Tabla578236[[#This Row],[Valor galon]]*Tabla578236[[#This Row],[Horas mes]])</f>
        <v/>
      </c>
      <c r="DM41" s="168" t="str">
        <f>IF(Tabla578236[[#This Row],[Valor mensual + Combustible]]="","",Tabla578236[[#This Row],[Valor mensual + Combustible]]*Tabla578236[[#This Row],[Cantidad]])</f>
        <v/>
      </c>
      <c r="DP41" s="9"/>
      <c r="DQ41" s="10"/>
      <c r="DR41" s="165" t="str">
        <f>IF(Tabla581239[[#This Row],[Equipo ]]="","",INDEX(V_MENSUAL,MATCH(Tabla581239[[#This Row],[Equipo ]],LISTA_MAQUINARIA,0)))</f>
        <v/>
      </c>
      <c r="DS41" s="12" t="str">
        <f>IF(Tabla581239[[#This Row],[Equipo ]]="","",INDEX(CONSUMO_COMBUSTIBLE_H,MATCH(Tabla581239[[#This Row],[Equipo ]],LISTA_MAQUINARIA,0)))</f>
        <v/>
      </c>
      <c r="DT41" s="166" t="str">
        <f>IF(Tabla581239[[#This Row],[Equipo ]]="","",INDEX(V_GALON,MATCH(Tabla581239[[#This Row],[Equipo ]],LISTA_MAQUINARIA,0)))</f>
        <v/>
      </c>
      <c r="DU41" s="10"/>
      <c r="DV41" s="165" t="str">
        <f>IF(Tabla581239[[#This Row],[Equipo ]]="","",Tabla581239[[#This Row],[Valor mensual]]+Tabla581239[[#This Row],[Combustible Hora ]]*Tabla581239[[#This Row],[Valor galon]]*Tabla581239[[#This Row],[Horas mes]])</f>
        <v/>
      </c>
      <c r="DW41" s="168" t="str">
        <f>IF(Tabla581239[[#This Row],[Valor mensual + Combustible]]="","",Tabla581239[[#This Row],[Valor mensual + Combustible]]*Tabla581239[[#This Row],[Cantidad]])</f>
        <v/>
      </c>
      <c r="DZ41" s="9"/>
      <c r="EA41" s="10"/>
      <c r="EB41" s="165" t="str">
        <f>IF(Tabla584242[[#This Row],[Equipo ]]="","",INDEX(V_MENSUAL,MATCH(Tabla584242[[#This Row],[Equipo ]],LISTA_MAQUINARIA,0)))</f>
        <v/>
      </c>
      <c r="EC41" s="12" t="str">
        <f>IF(Tabla584242[[#This Row],[Equipo ]]="","",INDEX(CONSUMO_COMBUSTIBLE_H,MATCH(Tabla584242[[#This Row],[Equipo ]],LISTA_MAQUINARIA,0)))</f>
        <v/>
      </c>
      <c r="ED41" s="166" t="str">
        <f>IF(Tabla584242[[#This Row],[Equipo ]]="","",INDEX(V_GALON,MATCH(Tabla584242[[#This Row],[Equipo ]],LISTA_MAQUINARIA,0)))</f>
        <v/>
      </c>
      <c r="EE41" s="10"/>
      <c r="EF41" s="165" t="str">
        <f>IF(Tabla584242[[#This Row],[Equipo ]]="","",Tabla584242[[#This Row],[Valor mensual]]+Tabla584242[[#This Row],[Combustible Hora ]]*Tabla584242[[#This Row],[Valor galon]]*Tabla584242[[#This Row],[Horas mes]])</f>
        <v/>
      </c>
      <c r="EG41" s="168" t="str">
        <f>IF(Tabla584242[[#This Row],[Valor mensual + Combustible]]="","",Tabla584242[[#This Row],[Valor mensual + Combustible]]*Tabla584242[[#This Row],[Cantidad]])</f>
        <v/>
      </c>
      <c r="EJ41" s="9"/>
      <c r="EK41" s="10"/>
      <c r="EL41" s="165" t="str">
        <f>IF(Tabla587245[[#This Row],[Equipo ]]="","",INDEX(V_MENSUAL,MATCH(Tabla587245[[#This Row],[Equipo ]],LISTA_MAQUINARIA,0)))</f>
        <v/>
      </c>
      <c r="EM41" s="12" t="str">
        <f>IF(Tabla587245[[#This Row],[Equipo ]]="","",INDEX(CONSUMO_COMBUSTIBLE_H,MATCH(Tabla587245[[#This Row],[Equipo ]],LISTA_MAQUINARIA,0)))</f>
        <v/>
      </c>
      <c r="EN41" s="166" t="str">
        <f>IF(Tabla587245[[#This Row],[Equipo ]]="","",INDEX(V_GALON,MATCH(Tabla587245[[#This Row],[Equipo ]],LISTA_MAQUINARIA,0)))</f>
        <v/>
      </c>
      <c r="EO41" s="10"/>
      <c r="EP41" s="165" t="str">
        <f>IF(Tabla587245[[#This Row],[Equipo ]]="","",Tabla587245[[#This Row],[Valor mensual]]+Tabla587245[[#This Row],[Combustible Hora ]]*Tabla587245[[#This Row],[Valor galon]]*Tabla587245[[#This Row],[Horas mes]])</f>
        <v/>
      </c>
      <c r="EQ41" s="168" t="str">
        <f>IF(Tabla587245[[#This Row],[Valor mensual + Combustible]]="","",Tabla587245[[#This Row],[Valor mensual + Combustible]]*Tabla587245[[#This Row],[Cantidad]])</f>
        <v/>
      </c>
      <c r="ET41" s="9"/>
      <c r="EU41" s="10"/>
      <c r="EV41" s="165" t="str">
        <f>IF(Tabla590248[[#This Row],[Equipo ]]="","",INDEX(V_MENSUAL,MATCH(Tabla590248[[#This Row],[Equipo ]],LISTA_MAQUINARIA,0)))</f>
        <v/>
      </c>
      <c r="EW41" s="12" t="str">
        <f>IF(Tabla590248[[#This Row],[Equipo ]]="","",INDEX(CONSUMO_COMBUSTIBLE_H,MATCH(Tabla590248[[#This Row],[Equipo ]],LISTA_MAQUINARIA,0)))</f>
        <v/>
      </c>
      <c r="EX41" s="166" t="str">
        <f>IF(Tabla590248[[#This Row],[Equipo ]]="","",INDEX(V_GALON,MATCH(Tabla590248[[#This Row],[Equipo ]],LISTA_MAQUINARIA,0)))</f>
        <v/>
      </c>
      <c r="EY41" s="10"/>
      <c r="EZ41" s="165" t="str">
        <f>IF(Tabla590248[[#This Row],[Equipo ]]="","",Tabla590248[[#This Row],[Valor mensual]]+Tabla590248[[#This Row],[Combustible Hora ]]*Tabla590248[[#This Row],[Valor galon]]*Tabla590248[[#This Row],[Horas mes]])</f>
        <v/>
      </c>
      <c r="FA41" s="168" t="str">
        <f>IF(Tabla590248[[#This Row],[Valor mensual + Combustible]]="","",Tabla590248[[#This Row],[Valor mensual + Combustible]]*Tabla590248[[#This Row],[Cantidad]])</f>
        <v/>
      </c>
      <c r="FD41" s="9"/>
      <c r="FE41" s="10"/>
      <c r="FF41" s="165" t="str">
        <f>IF(Tabla593251[[#This Row],[Equipo ]]="","",INDEX(V_MENSUAL,MATCH(Tabla593251[[#This Row],[Equipo ]],LISTA_MAQUINARIA,0)))</f>
        <v/>
      </c>
      <c r="FG41" s="12" t="str">
        <f>IF(Tabla593251[[#This Row],[Equipo ]]="","",INDEX(CONSUMO_COMBUSTIBLE_H,MATCH(Tabla593251[[#This Row],[Equipo ]],LISTA_MAQUINARIA,0)))</f>
        <v/>
      </c>
      <c r="FH41" s="166" t="str">
        <f>IF(Tabla593251[[#This Row],[Equipo ]]="","",INDEX(V_GALON,MATCH(Tabla593251[[#This Row],[Equipo ]],LISTA_MAQUINARIA,0)))</f>
        <v/>
      </c>
      <c r="FI41" s="10"/>
      <c r="FJ41" s="165" t="str">
        <f>IF(Tabla593251[[#This Row],[Equipo ]]="","",Tabla593251[[#This Row],[Valor mensual]]+Tabla593251[[#This Row],[Combustible Hora ]]*Tabla593251[[#This Row],[Valor galon]]*Tabla593251[[#This Row],[Horas mes]])</f>
        <v/>
      </c>
      <c r="FK41" s="168" t="str">
        <f>IF(Tabla593251[[#This Row],[Valor mensual + Combustible]]="","",Tabla593251[[#This Row],[Valor mensual + Combustible]]*Tabla593251[[#This Row],[Cantidad]])</f>
        <v/>
      </c>
      <c r="FN41" s="9"/>
      <c r="FO41" s="10"/>
      <c r="FP41" s="165" t="str">
        <f>IF(Tabla596254[[#This Row],[Equipo ]]="","",INDEX(V_MENSUAL,MATCH(Tabla596254[[#This Row],[Equipo ]],LISTA_MAQUINARIA,0)))</f>
        <v/>
      </c>
      <c r="FQ41" s="12" t="str">
        <f>IF(Tabla596254[[#This Row],[Equipo ]]="","",INDEX(CONSUMO_COMBUSTIBLE_H,MATCH(Tabla596254[[#This Row],[Equipo ]],LISTA_MAQUINARIA,0)))</f>
        <v/>
      </c>
      <c r="FR41" s="166" t="str">
        <f>IF(Tabla596254[[#This Row],[Equipo ]]="","",INDEX(V_GALON,MATCH(Tabla596254[[#This Row],[Equipo ]],LISTA_MAQUINARIA,0)))</f>
        <v/>
      </c>
      <c r="FS41" s="10"/>
      <c r="FT41" s="165" t="str">
        <f>IF(Tabla596254[[#This Row],[Equipo ]]="","",Tabla596254[[#This Row],[Valor mensual]]+Tabla596254[[#This Row],[Combustible Hora ]]*Tabla596254[[#This Row],[Valor galon]]*Tabla596254[[#This Row],[Horas mes]])</f>
        <v/>
      </c>
      <c r="FU41" s="168" t="str">
        <f>IF(Tabla596254[[#This Row],[Valor mensual + Combustible]]="","",Tabla596254[[#This Row],[Valor mensual + Combustible]]*Tabla596254[[#This Row],[Cantidad]])</f>
        <v/>
      </c>
    </row>
    <row r="42" spans="1:177" x14ac:dyDescent="0.3">
      <c r="A42" s="9" t="s">
        <v>519</v>
      </c>
      <c r="B42" s="10">
        <v>0.5</v>
      </c>
      <c r="C42" s="165" t="e">
        <f>IF(Tabla5203[[#This Row],[Equipo ]]="","",INDEX(V_MENSUAL,MATCH(Tabla5203[[#This Row],[Equipo ]],LISTA_MAQUINARIA,0)))</f>
        <v>#N/A</v>
      </c>
      <c r="D42" s="12" t="e">
        <f>IF(Tabla5203[[#This Row],[Equipo ]]="","",INDEX(CONSUMO_COMBUSTIBLE_H,MATCH(Tabla5203[[#This Row],[Equipo ]],LISTA_MAQUINARIA,0)))</f>
        <v>#N/A</v>
      </c>
      <c r="E42" s="166" t="e">
        <f>IF(Tabla5203[[#This Row],[Equipo ]]="","",INDEX(V_GALON,MATCH(Tabla5203[[#This Row],[Equipo ]],LISTA_MAQUINARIA,0)))</f>
        <v>#N/A</v>
      </c>
      <c r="F42" s="10"/>
      <c r="G42" s="165" t="e">
        <f>IF(Tabla5203[[#This Row],[Equipo ]]="","",Tabla5203[[#This Row],[Valor mensual]]+Tabla5203[[#This Row],[Combustible Hora ]]*Tabla5203[[#This Row],[Valor galon]]*Tabla5203[[#This Row],[Horas mes]])</f>
        <v>#N/A</v>
      </c>
      <c r="H42" s="168" t="e">
        <f>IF(Tabla5203[[#This Row],[Valor mensual + Combustible]]="","",Tabla5203[[#This Row],[Valor mensual + Combustible]]*Tabla5203[[#This Row],[Cantidad]])</f>
        <v>#N/A</v>
      </c>
      <c r="K42" s="9" t="s">
        <v>519</v>
      </c>
      <c r="L42" s="10">
        <v>0.5</v>
      </c>
      <c r="M42" s="165" t="e" cm="1">
        <f t="array" ref="M42">IF(Tabla548206[[#This Row],[Equipo ]]="","",INDEX(V_MENSUAL,MATCH(Tabla548206[[#This Row],[Equipo ]],LISTA_MAQUINARIA,0)))</f>
        <v>#N/A</v>
      </c>
      <c r="N42" s="12" t="e">
        <f>IF(Tabla548206[[#This Row],[Equipo ]]="","",INDEX(CONSUMO_COMBUSTIBLE_H,MATCH(Tabla548206[[#This Row],[Equipo ]],LISTA_MAQUINARIA,0)))</f>
        <v>#N/A</v>
      </c>
      <c r="O42" s="166" t="e">
        <f>IF(Tabla548206[[#This Row],[Equipo ]]="","",INDEX(V_GALON,MATCH(Tabla548206[[#This Row],[Equipo ]],LISTA_MAQUINARIA,0)))</f>
        <v>#N/A</v>
      </c>
      <c r="P42" s="10"/>
      <c r="Q42" s="165" t="e">
        <f>IF(Tabla548206[[#This Row],[Equipo ]]="","",Tabla548206[[#This Row],[Valor mensual]]+Tabla548206[[#This Row],[Combustible Hora ]]*Tabla548206[[#This Row],[Valor galon]]*Tabla548206[[#This Row],[Horas mes]])</f>
        <v>#N/A</v>
      </c>
      <c r="R42" s="168" t="e">
        <f>IF(Tabla548206[[#This Row],[Valor mensual + Combustible]]="","",Tabla548206[[#This Row],[Valor mensual + Combustible]]*Tabla548206[[#This Row],[Cantidad]])</f>
        <v>#N/A</v>
      </c>
      <c r="U42" s="9" t="s">
        <v>519</v>
      </c>
      <c r="V42" s="10">
        <v>0.5</v>
      </c>
      <c r="W42" s="165" t="e">
        <f>IF(Tabla551209[[#This Row],[Equipo ]]="","",INDEX(V_MENSUAL,MATCH(Tabla551209[[#This Row],[Equipo ]],LISTA_MAQUINARIA,0)))</f>
        <v>#N/A</v>
      </c>
      <c r="X42" s="12" t="e">
        <f>IF(Tabla551209[[#This Row],[Equipo ]]="","",INDEX(CONSUMO_COMBUSTIBLE_H,MATCH(Tabla551209[[#This Row],[Equipo ]],LISTA_MAQUINARIA,0)))</f>
        <v>#N/A</v>
      </c>
      <c r="Y42" s="166" t="e">
        <f>IF(Tabla551209[[#This Row],[Equipo ]]="","",INDEX(V_GALON,MATCH(Tabla551209[[#This Row],[Equipo ]],LISTA_MAQUINARIA,0)))</f>
        <v>#N/A</v>
      </c>
      <c r="Z42" s="10"/>
      <c r="AA42" s="165" t="e">
        <f>IF(Tabla551209[[#This Row],[Equipo ]]="","",Tabla551209[[#This Row],[Valor mensual]]+Tabla551209[[#This Row],[Combustible Hora ]]*Tabla551209[[#This Row],[Valor galon]]*Tabla551209[[#This Row],[Horas mes]])</f>
        <v>#N/A</v>
      </c>
      <c r="AB42" s="168" t="e">
        <f>IF(Tabla551209[[#This Row],[Valor mensual + Combustible]]="","",Tabla551209[[#This Row],[Valor mensual + Combustible]]*Tabla551209[[#This Row],[Cantidad]])</f>
        <v>#N/A</v>
      </c>
      <c r="AD42" s="9" t="s">
        <v>519</v>
      </c>
      <c r="AE42" s="10">
        <v>0.5</v>
      </c>
      <c r="AF42" s="165" t="e">
        <f>IF(Tabla554212[[#This Row],[Equipo ]]="","",INDEX(V_MENSUAL,MATCH(Tabla554212[[#This Row],[Equipo ]],LISTA_MAQUINARIA,0)))</f>
        <v>#N/A</v>
      </c>
      <c r="AG42" s="12" t="e">
        <f>IF(Tabla554212[[#This Row],[Equipo ]]="","",INDEX(CONSUMO_COMBUSTIBLE_H,MATCH(Tabla554212[[#This Row],[Equipo ]],LISTA_MAQUINARIA,0)))</f>
        <v>#N/A</v>
      </c>
      <c r="AH42" s="166" t="e">
        <f>IF(Tabla554212[[#This Row],[Equipo ]]="","",INDEX(V_GALON,MATCH(Tabla554212[[#This Row],[Equipo ]],LISTA_MAQUINARIA,0)))</f>
        <v>#N/A</v>
      </c>
      <c r="AI42" s="10"/>
      <c r="AJ42" s="165" t="e">
        <f>IF(Tabla554212[[#This Row],[Equipo ]]="","",Tabla554212[[#This Row],[Valor mensual]]+Tabla554212[[#This Row],[Combustible Hora ]]*Tabla554212[[#This Row],[Valor galon]]*Tabla554212[[#This Row],[Horas mes]])</f>
        <v>#N/A</v>
      </c>
      <c r="AK42" s="168" t="e">
        <f>IF(Tabla554212[[#This Row],[Valor mensual + Combustible]]="","",Tabla554212[[#This Row],[Valor mensual + Combustible]]*Tabla554212[[#This Row],[Cantidad]])</f>
        <v>#N/A</v>
      </c>
      <c r="AN42" s="9"/>
      <c r="AO42" s="10"/>
      <c r="AP42" s="165" t="str">
        <f>IF(Tabla557215[[#This Row],[Equipo ]]="","",INDEX(V_MENSUAL,MATCH(Tabla557215[[#This Row],[Equipo ]],LISTA_MAQUINARIA,0)))</f>
        <v/>
      </c>
      <c r="AQ42" s="12" t="str">
        <f>IF(Tabla557215[[#This Row],[Equipo ]]="","",INDEX(CONSUMO_COMBUSTIBLE_H,MATCH(Tabla557215[[#This Row],[Equipo ]],LISTA_MAQUINARIA,0)))</f>
        <v/>
      </c>
      <c r="AR42" s="166" t="str">
        <f>IF(Tabla557215[[#This Row],[Equipo ]]="","",INDEX(V_GALON,MATCH(Tabla557215[[#This Row],[Equipo ]],LISTA_MAQUINARIA,0)))</f>
        <v/>
      </c>
      <c r="AS42" s="10"/>
      <c r="AT42" s="165" t="str">
        <f>IF(Tabla557215[[#This Row],[Equipo ]]="","",Tabla557215[[#This Row],[Valor mensual]]+Tabla557215[[#This Row],[Combustible Hora ]]*Tabla557215[[#This Row],[Valor galon]]*Tabla557215[[#This Row],[Horas mes]])</f>
        <v/>
      </c>
      <c r="AU42" s="168" t="str">
        <f>IF(Tabla557215[[#This Row],[Valor mensual + Combustible]]="","",Tabla557215[[#This Row],[Valor mensual + Combustible]]*Tabla557215[[#This Row],[Cantidad]])</f>
        <v/>
      </c>
      <c r="AX42" s="9"/>
      <c r="AY42" s="10"/>
      <c r="AZ42" s="165" t="str">
        <f>IF(Tabla560218[[#This Row],[Equipo ]]="","",INDEX(V_MENSUAL,MATCH(Tabla560218[[#This Row],[Equipo ]],LISTA_MAQUINARIA,0)))</f>
        <v/>
      </c>
      <c r="BA42" s="12" t="str">
        <f>IF(Tabla560218[[#This Row],[Equipo ]]="","",INDEX(CONSUMO_COMBUSTIBLE_H,MATCH(Tabla560218[[#This Row],[Equipo ]],LISTA_MAQUINARIA,0)))</f>
        <v/>
      </c>
      <c r="BB42" s="166" t="str">
        <f>IF(Tabla560218[[#This Row],[Equipo ]]="","",INDEX(V_GALON,MATCH(Tabla560218[[#This Row],[Equipo ]],LISTA_MAQUINARIA,0)))</f>
        <v/>
      </c>
      <c r="BC42" s="10"/>
      <c r="BD42" s="165" t="str">
        <f>IF(Tabla560218[[#This Row],[Equipo ]]="","",Tabla560218[[#This Row],[Valor mensual]]+Tabla560218[[#This Row],[Combustible Hora ]]*Tabla560218[[#This Row],[Valor galon]]*Tabla560218[[#This Row],[Horas mes]])</f>
        <v/>
      </c>
      <c r="BE42" s="168" t="str">
        <f>IF(Tabla560218[[#This Row],[Valor mensual + Combustible]]="","",Tabla560218[[#This Row],[Valor mensual + Combustible]]*Tabla560218[[#This Row],[Cantidad]])</f>
        <v/>
      </c>
      <c r="BH42" s="9"/>
      <c r="BI42" s="10"/>
      <c r="BJ42" s="165" t="str">
        <f>IF(Tabla563221[[#This Row],[Equipo ]]="","",INDEX(V_MENSUAL,MATCH(Tabla563221[[#This Row],[Equipo ]],LISTA_MAQUINARIA,0)))</f>
        <v/>
      </c>
      <c r="BK42" s="12" t="str">
        <f>IF(Tabla563221[[#This Row],[Equipo ]]="","",INDEX(CONSUMO_COMBUSTIBLE_H,MATCH(Tabla563221[[#This Row],[Equipo ]],LISTA_MAQUINARIA,0)))</f>
        <v/>
      </c>
      <c r="BL42" s="166" t="str">
        <f>IF(Tabla563221[[#This Row],[Equipo ]]="","",INDEX(V_GALON,MATCH(Tabla563221[[#This Row],[Equipo ]],LISTA_MAQUINARIA,0)))</f>
        <v/>
      </c>
      <c r="BM42" s="10"/>
      <c r="BN42" s="165" t="str">
        <f>IF(Tabla563221[[#This Row],[Equipo ]]="","",Tabla563221[[#This Row],[Valor mensual]]+Tabla563221[[#This Row],[Combustible Hora ]]*Tabla563221[[#This Row],[Valor galon]]*Tabla563221[[#This Row],[Horas mes]])</f>
        <v/>
      </c>
      <c r="BO42" s="168" t="str">
        <f>IF(Tabla563221[[#This Row],[Valor mensual + Combustible]]="","",Tabla563221[[#This Row],[Valor mensual + Combustible]]*Tabla563221[[#This Row],[Cantidad]])</f>
        <v/>
      </c>
      <c r="BR42" s="9"/>
      <c r="BS42" s="10"/>
      <c r="BT42" s="165" t="str">
        <f>IF(Tabla566224[[#This Row],[Equipo ]]="","",INDEX(V_MENSUAL,MATCH(Tabla566224[[#This Row],[Equipo ]],LISTA_MAQUINARIA,0)))</f>
        <v/>
      </c>
      <c r="BU42" s="12" t="str">
        <f>IF(Tabla566224[[#This Row],[Equipo ]]="","",INDEX(CONSUMO_COMBUSTIBLE_H,MATCH(Tabla566224[[#This Row],[Equipo ]],LISTA_MAQUINARIA,0)))</f>
        <v/>
      </c>
      <c r="BV42" s="166" t="str">
        <f>IF(Tabla566224[[#This Row],[Equipo ]]="","",INDEX(V_GALON,MATCH(Tabla566224[[#This Row],[Equipo ]],LISTA_MAQUINARIA,0)))</f>
        <v/>
      </c>
      <c r="BW42" s="10"/>
      <c r="BX42" s="165" t="str">
        <f>IF(Tabla566224[[#This Row],[Equipo ]]="","",Tabla566224[[#This Row],[Valor mensual]]+Tabla566224[[#This Row],[Combustible Hora ]]*Tabla566224[[#This Row],[Valor galon]]*Tabla566224[[#This Row],[Horas mes]])</f>
        <v/>
      </c>
      <c r="BY42" s="168" t="str">
        <f>IF(Tabla566224[[#This Row],[Valor mensual + Combustible]]="","",Tabla566224[[#This Row],[Valor mensual + Combustible]]*Tabla566224[[#This Row],[Cantidad]])</f>
        <v/>
      </c>
      <c r="CB42" s="9"/>
      <c r="CC42" s="10"/>
      <c r="CD42" s="165" t="str">
        <f>IF(Tabla569227[[#This Row],[Equipo ]]="","",INDEX(V_MENSUAL,MATCH(Tabla569227[[#This Row],[Equipo ]],LISTA_MAQUINARIA,0)))</f>
        <v/>
      </c>
      <c r="CE42" s="12" t="str">
        <f>IF(Tabla569227[[#This Row],[Equipo ]]="","",INDEX(CONSUMO_COMBUSTIBLE_H,MATCH(Tabla569227[[#This Row],[Equipo ]],LISTA_MAQUINARIA,0)))</f>
        <v/>
      </c>
      <c r="CF42" s="166" t="str">
        <f>IF(Tabla569227[[#This Row],[Equipo ]]="","",INDEX(V_GALON,MATCH(Tabla569227[[#This Row],[Equipo ]],LISTA_MAQUINARIA,0)))</f>
        <v/>
      </c>
      <c r="CG42" s="10"/>
      <c r="CH42" s="165" t="str">
        <f>IF(Tabla569227[[#This Row],[Equipo ]]="","",Tabla569227[[#This Row],[Valor mensual]]+Tabla569227[[#This Row],[Combustible Hora ]]*Tabla569227[[#This Row],[Valor galon]]*Tabla569227[[#This Row],[Horas mes]])</f>
        <v/>
      </c>
      <c r="CI42" s="168" t="str">
        <f>IF(Tabla569227[[#This Row],[Valor mensual + Combustible]]="","",Tabla569227[[#This Row],[Valor mensual + Combustible]]*Tabla569227[[#This Row],[Cantidad]])</f>
        <v/>
      </c>
      <c r="CL42" s="9"/>
      <c r="CM42" s="10"/>
      <c r="CN42" s="165" t="str">
        <f>IF(Tabla572230[[#This Row],[Equipo ]]="","",INDEX(V_MENSUAL,MATCH(Tabla572230[[#This Row],[Equipo ]],LISTA_MAQUINARIA,0)))</f>
        <v/>
      </c>
      <c r="CO42" s="12" t="str">
        <f>IF(Tabla572230[[#This Row],[Equipo ]]="","",INDEX(CONSUMO_COMBUSTIBLE_H,MATCH(Tabla572230[[#This Row],[Equipo ]],LISTA_MAQUINARIA,0)))</f>
        <v/>
      </c>
      <c r="CP42" s="166" t="str">
        <f>IF(Tabla572230[[#This Row],[Equipo ]]="","",INDEX(V_GALON,MATCH(Tabla572230[[#This Row],[Equipo ]],LISTA_MAQUINARIA,0)))</f>
        <v/>
      </c>
      <c r="CQ42" s="10"/>
      <c r="CR42" s="165" t="str">
        <f>IF(Tabla572230[[#This Row],[Equipo ]]="","",Tabla572230[[#This Row],[Valor mensual]]+Tabla572230[[#This Row],[Combustible Hora ]]*Tabla572230[[#This Row],[Valor galon]]*Tabla572230[[#This Row],[Horas mes]])</f>
        <v/>
      </c>
      <c r="CS42" s="168" t="str">
        <f>IF(Tabla572230[[#This Row],[Valor mensual + Combustible]]="","",Tabla572230[[#This Row],[Valor mensual + Combustible]]*Tabla572230[[#This Row],[Cantidad]])</f>
        <v/>
      </c>
      <c r="CV42" s="9"/>
      <c r="CW42" s="10"/>
      <c r="CX42" s="165" t="str">
        <f>IF(Tabla575233[[#This Row],[Equipo ]]="","",INDEX(V_MENSUAL,MATCH(Tabla575233[[#This Row],[Equipo ]],LISTA_MAQUINARIA,0)))</f>
        <v/>
      </c>
      <c r="CY42" s="12" t="str">
        <f>IF(Tabla575233[[#This Row],[Equipo ]]="","",INDEX(CONSUMO_COMBUSTIBLE_H,MATCH(Tabla575233[[#This Row],[Equipo ]],LISTA_MAQUINARIA,0)))</f>
        <v/>
      </c>
      <c r="CZ42" s="166" t="str">
        <f>IF(Tabla575233[[#This Row],[Equipo ]]="","",INDEX(V_GALON,MATCH(Tabla575233[[#This Row],[Equipo ]],LISTA_MAQUINARIA,0)))</f>
        <v/>
      </c>
      <c r="DA42" s="10"/>
      <c r="DB42" s="165" t="str">
        <f>IF(Tabla575233[[#This Row],[Equipo ]]="","",Tabla575233[[#This Row],[Valor mensual]]+Tabla575233[[#This Row],[Combustible Hora ]]*Tabla575233[[#This Row],[Valor galon]]*Tabla575233[[#This Row],[Horas mes]])</f>
        <v/>
      </c>
      <c r="DC42" s="168" t="str">
        <f>IF(Tabla575233[[#This Row],[Valor mensual + Combustible]]="","",Tabla575233[[#This Row],[Valor mensual + Combustible]]*Tabla575233[[#This Row],[Cantidad]])</f>
        <v/>
      </c>
      <c r="DF42" s="9"/>
      <c r="DG42" s="10"/>
      <c r="DH42" s="165" t="str">
        <f>IF(Tabla578236[[#This Row],[Equipo ]]="","",INDEX(V_MENSUAL,MATCH(Tabla578236[[#This Row],[Equipo ]],LISTA_MAQUINARIA,0)))</f>
        <v/>
      </c>
      <c r="DI42" s="12" t="str">
        <f>IF(Tabla578236[[#This Row],[Equipo ]]="","",INDEX(CONSUMO_COMBUSTIBLE_H,MATCH(Tabla578236[[#This Row],[Equipo ]],LISTA_MAQUINARIA,0)))</f>
        <v/>
      </c>
      <c r="DJ42" s="166" t="str">
        <f>IF(Tabla578236[[#This Row],[Equipo ]]="","",INDEX(V_GALON,MATCH(Tabla578236[[#This Row],[Equipo ]],LISTA_MAQUINARIA,0)))</f>
        <v/>
      </c>
      <c r="DK42" s="10"/>
      <c r="DL42" s="165" t="str">
        <f>IF(Tabla578236[[#This Row],[Equipo ]]="","",Tabla578236[[#This Row],[Valor mensual]]+Tabla578236[[#This Row],[Combustible Hora ]]*Tabla578236[[#This Row],[Valor galon]]*Tabla578236[[#This Row],[Horas mes]])</f>
        <v/>
      </c>
      <c r="DM42" s="168" t="str">
        <f>IF(Tabla578236[[#This Row],[Valor mensual + Combustible]]="","",Tabla578236[[#This Row],[Valor mensual + Combustible]]*Tabla578236[[#This Row],[Cantidad]])</f>
        <v/>
      </c>
      <c r="DP42" s="9"/>
      <c r="DQ42" s="10"/>
      <c r="DR42" s="165" t="str">
        <f>IF(Tabla581239[[#This Row],[Equipo ]]="","",INDEX(V_MENSUAL,MATCH(Tabla581239[[#This Row],[Equipo ]],LISTA_MAQUINARIA,0)))</f>
        <v/>
      </c>
      <c r="DS42" s="12" t="str">
        <f>IF(Tabla581239[[#This Row],[Equipo ]]="","",INDEX(CONSUMO_COMBUSTIBLE_H,MATCH(Tabla581239[[#This Row],[Equipo ]],LISTA_MAQUINARIA,0)))</f>
        <v/>
      </c>
      <c r="DT42" s="166" t="str">
        <f>IF(Tabla581239[[#This Row],[Equipo ]]="","",INDEX(V_GALON,MATCH(Tabla581239[[#This Row],[Equipo ]],LISTA_MAQUINARIA,0)))</f>
        <v/>
      </c>
      <c r="DU42" s="10"/>
      <c r="DV42" s="165" t="str">
        <f>IF(Tabla581239[[#This Row],[Equipo ]]="","",Tabla581239[[#This Row],[Valor mensual]]+Tabla581239[[#This Row],[Combustible Hora ]]*Tabla581239[[#This Row],[Valor galon]]*Tabla581239[[#This Row],[Horas mes]])</f>
        <v/>
      </c>
      <c r="DW42" s="168" t="str">
        <f>IF(Tabla581239[[#This Row],[Valor mensual + Combustible]]="","",Tabla581239[[#This Row],[Valor mensual + Combustible]]*Tabla581239[[#This Row],[Cantidad]])</f>
        <v/>
      </c>
      <c r="DZ42" s="9"/>
      <c r="EA42" s="10"/>
      <c r="EB42" s="165" t="str">
        <f>IF(Tabla584242[[#This Row],[Equipo ]]="","",INDEX(V_MENSUAL,MATCH(Tabla584242[[#This Row],[Equipo ]],LISTA_MAQUINARIA,0)))</f>
        <v/>
      </c>
      <c r="EC42" s="12" t="str">
        <f>IF(Tabla584242[[#This Row],[Equipo ]]="","",INDEX(CONSUMO_COMBUSTIBLE_H,MATCH(Tabla584242[[#This Row],[Equipo ]],LISTA_MAQUINARIA,0)))</f>
        <v/>
      </c>
      <c r="ED42" s="166" t="str">
        <f>IF(Tabla584242[[#This Row],[Equipo ]]="","",INDEX(V_GALON,MATCH(Tabla584242[[#This Row],[Equipo ]],LISTA_MAQUINARIA,0)))</f>
        <v/>
      </c>
      <c r="EE42" s="10"/>
      <c r="EF42" s="165" t="str">
        <f>IF(Tabla584242[[#This Row],[Equipo ]]="","",Tabla584242[[#This Row],[Valor mensual]]+Tabla584242[[#This Row],[Combustible Hora ]]*Tabla584242[[#This Row],[Valor galon]]*Tabla584242[[#This Row],[Horas mes]])</f>
        <v/>
      </c>
      <c r="EG42" s="168" t="str">
        <f>IF(Tabla584242[[#This Row],[Valor mensual + Combustible]]="","",Tabla584242[[#This Row],[Valor mensual + Combustible]]*Tabla584242[[#This Row],[Cantidad]])</f>
        <v/>
      </c>
      <c r="EJ42" s="9"/>
      <c r="EK42" s="10"/>
      <c r="EL42" s="165" t="str">
        <f>IF(Tabla587245[[#This Row],[Equipo ]]="","",INDEX(V_MENSUAL,MATCH(Tabla587245[[#This Row],[Equipo ]],LISTA_MAQUINARIA,0)))</f>
        <v/>
      </c>
      <c r="EM42" s="12" t="str">
        <f>IF(Tabla587245[[#This Row],[Equipo ]]="","",INDEX(CONSUMO_COMBUSTIBLE_H,MATCH(Tabla587245[[#This Row],[Equipo ]],LISTA_MAQUINARIA,0)))</f>
        <v/>
      </c>
      <c r="EN42" s="166" t="str">
        <f>IF(Tabla587245[[#This Row],[Equipo ]]="","",INDEX(V_GALON,MATCH(Tabla587245[[#This Row],[Equipo ]],LISTA_MAQUINARIA,0)))</f>
        <v/>
      </c>
      <c r="EO42" s="10"/>
      <c r="EP42" s="165" t="str">
        <f>IF(Tabla587245[[#This Row],[Equipo ]]="","",Tabla587245[[#This Row],[Valor mensual]]+Tabla587245[[#This Row],[Combustible Hora ]]*Tabla587245[[#This Row],[Valor galon]]*Tabla587245[[#This Row],[Horas mes]])</f>
        <v/>
      </c>
      <c r="EQ42" s="168" t="str">
        <f>IF(Tabla587245[[#This Row],[Valor mensual + Combustible]]="","",Tabla587245[[#This Row],[Valor mensual + Combustible]]*Tabla587245[[#This Row],[Cantidad]])</f>
        <v/>
      </c>
      <c r="ET42" s="9"/>
      <c r="EU42" s="10"/>
      <c r="EV42" s="165" t="str">
        <f>IF(Tabla590248[[#This Row],[Equipo ]]="","",INDEX(V_MENSUAL,MATCH(Tabla590248[[#This Row],[Equipo ]],LISTA_MAQUINARIA,0)))</f>
        <v/>
      </c>
      <c r="EW42" s="12" t="str">
        <f>IF(Tabla590248[[#This Row],[Equipo ]]="","",INDEX(CONSUMO_COMBUSTIBLE_H,MATCH(Tabla590248[[#This Row],[Equipo ]],LISTA_MAQUINARIA,0)))</f>
        <v/>
      </c>
      <c r="EX42" s="166" t="str">
        <f>IF(Tabla590248[[#This Row],[Equipo ]]="","",INDEX(V_GALON,MATCH(Tabla590248[[#This Row],[Equipo ]],LISTA_MAQUINARIA,0)))</f>
        <v/>
      </c>
      <c r="EY42" s="10"/>
      <c r="EZ42" s="165" t="str">
        <f>IF(Tabla590248[[#This Row],[Equipo ]]="","",Tabla590248[[#This Row],[Valor mensual]]+Tabla590248[[#This Row],[Combustible Hora ]]*Tabla590248[[#This Row],[Valor galon]]*Tabla590248[[#This Row],[Horas mes]])</f>
        <v/>
      </c>
      <c r="FA42" s="168" t="str">
        <f>IF(Tabla590248[[#This Row],[Valor mensual + Combustible]]="","",Tabla590248[[#This Row],[Valor mensual + Combustible]]*Tabla590248[[#This Row],[Cantidad]])</f>
        <v/>
      </c>
      <c r="FD42" s="9"/>
      <c r="FE42" s="10"/>
      <c r="FF42" s="165" t="str">
        <f>IF(Tabla593251[[#This Row],[Equipo ]]="","",INDEX(V_MENSUAL,MATCH(Tabla593251[[#This Row],[Equipo ]],LISTA_MAQUINARIA,0)))</f>
        <v/>
      </c>
      <c r="FG42" s="12" t="str">
        <f>IF(Tabla593251[[#This Row],[Equipo ]]="","",INDEX(CONSUMO_COMBUSTIBLE_H,MATCH(Tabla593251[[#This Row],[Equipo ]],LISTA_MAQUINARIA,0)))</f>
        <v/>
      </c>
      <c r="FH42" s="166" t="str">
        <f>IF(Tabla593251[[#This Row],[Equipo ]]="","",INDEX(V_GALON,MATCH(Tabla593251[[#This Row],[Equipo ]],LISTA_MAQUINARIA,0)))</f>
        <v/>
      </c>
      <c r="FI42" s="10"/>
      <c r="FJ42" s="165" t="str">
        <f>IF(Tabla593251[[#This Row],[Equipo ]]="","",Tabla593251[[#This Row],[Valor mensual]]+Tabla593251[[#This Row],[Combustible Hora ]]*Tabla593251[[#This Row],[Valor galon]]*Tabla593251[[#This Row],[Horas mes]])</f>
        <v/>
      </c>
      <c r="FK42" s="168" t="str">
        <f>IF(Tabla593251[[#This Row],[Valor mensual + Combustible]]="","",Tabla593251[[#This Row],[Valor mensual + Combustible]]*Tabla593251[[#This Row],[Cantidad]])</f>
        <v/>
      </c>
      <c r="FN42" s="9"/>
      <c r="FO42" s="10"/>
      <c r="FP42" s="165" t="str">
        <f>IF(Tabla596254[[#This Row],[Equipo ]]="","",INDEX(V_MENSUAL,MATCH(Tabla596254[[#This Row],[Equipo ]],LISTA_MAQUINARIA,0)))</f>
        <v/>
      </c>
      <c r="FQ42" s="12" t="str">
        <f>IF(Tabla596254[[#This Row],[Equipo ]]="","",INDEX(CONSUMO_COMBUSTIBLE_H,MATCH(Tabla596254[[#This Row],[Equipo ]],LISTA_MAQUINARIA,0)))</f>
        <v/>
      </c>
      <c r="FR42" s="166" t="str">
        <f>IF(Tabla596254[[#This Row],[Equipo ]]="","",INDEX(V_GALON,MATCH(Tabla596254[[#This Row],[Equipo ]],LISTA_MAQUINARIA,0)))</f>
        <v/>
      </c>
      <c r="FS42" s="10"/>
      <c r="FT42" s="165" t="str">
        <f>IF(Tabla596254[[#This Row],[Equipo ]]="","",Tabla596254[[#This Row],[Valor mensual]]+Tabla596254[[#This Row],[Combustible Hora ]]*Tabla596254[[#This Row],[Valor galon]]*Tabla596254[[#This Row],[Horas mes]])</f>
        <v/>
      </c>
      <c r="FU42" s="168" t="str">
        <f>IF(Tabla596254[[#This Row],[Valor mensual + Combustible]]="","",Tabla596254[[#This Row],[Valor mensual + Combustible]]*Tabla596254[[#This Row],[Cantidad]])</f>
        <v/>
      </c>
    </row>
    <row r="43" spans="1:177" x14ac:dyDescent="0.3">
      <c r="A43" s="9" t="s">
        <v>496</v>
      </c>
      <c r="B43" s="10">
        <v>0.5</v>
      </c>
      <c r="C43" s="165">
        <f>IF(Tabla5203[[#This Row],[Equipo ]]="","",INDEX(V_MENSUAL,MATCH(Tabla5203[[#This Row],[Equipo ]],LISTA_MAQUINARIA,0)))</f>
        <v>4000000</v>
      </c>
      <c r="D43" s="12">
        <f>IF(Tabla5203[[#This Row],[Equipo ]]="","",INDEX(CONSUMO_COMBUSTIBLE_H,MATCH(Tabla5203[[#This Row],[Equipo ]],LISTA_MAQUINARIA,0)))</f>
        <v>0</v>
      </c>
      <c r="E43" s="166">
        <f>IF(Tabla5203[[#This Row],[Equipo ]]="","",INDEX(V_GALON,MATCH(Tabla5203[[#This Row],[Equipo ]],LISTA_MAQUINARIA,0)))</f>
        <v>10800</v>
      </c>
      <c r="F43" s="10"/>
      <c r="G43" s="165">
        <f>IF(Tabla5203[[#This Row],[Equipo ]]="","",Tabla5203[[#This Row],[Valor mensual]]+Tabla5203[[#This Row],[Combustible Hora ]]*Tabla5203[[#This Row],[Valor galon]]*Tabla5203[[#This Row],[Horas mes]])</f>
        <v>4000000</v>
      </c>
      <c r="H43" s="168">
        <f>IF(Tabla5203[[#This Row],[Valor mensual + Combustible]]="","",Tabla5203[[#This Row],[Valor mensual + Combustible]]*Tabla5203[[#This Row],[Cantidad]])</f>
        <v>2000000</v>
      </c>
      <c r="K43" s="9" t="s">
        <v>496</v>
      </c>
      <c r="L43" s="10">
        <v>0.5</v>
      </c>
      <c r="M43" s="165" cm="1">
        <f t="array" ref="M43">IF(Tabla548206[[#This Row],[Equipo ]]="","",INDEX(V_MENSUAL,MATCH(Tabla548206[[#This Row],[Equipo ]],LISTA_MAQUINARIA,0)))</f>
        <v>4000000</v>
      </c>
      <c r="N43" s="12">
        <f>IF(Tabla548206[[#This Row],[Equipo ]]="","",INDEX(CONSUMO_COMBUSTIBLE_H,MATCH(Tabla548206[[#This Row],[Equipo ]],LISTA_MAQUINARIA,0)))</f>
        <v>0</v>
      </c>
      <c r="O43" s="166">
        <f>IF(Tabla548206[[#This Row],[Equipo ]]="","",INDEX(V_GALON,MATCH(Tabla548206[[#This Row],[Equipo ]],LISTA_MAQUINARIA,0)))</f>
        <v>10800</v>
      </c>
      <c r="P43" s="10"/>
      <c r="Q43" s="165">
        <f>IF(Tabla548206[[#This Row],[Equipo ]]="","",Tabla548206[[#This Row],[Valor mensual]]+Tabla548206[[#This Row],[Combustible Hora ]]*Tabla548206[[#This Row],[Valor galon]]*Tabla548206[[#This Row],[Horas mes]])</f>
        <v>4000000</v>
      </c>
      <c r="R43" s="168">
        <f>IF(Tabla548206[[#This Row],[Valor mensual + Combustible]]="","",Tabla548206[[#This Row],[Valor mensual + Combustible]]*Tabla548206[[#This Row],[Cantidad]])</f>
        <v>2000000</v>
      </c>
      <c r="U43" s="9" t="s">
        <v>496</v>
      </c>
      <c r="V43" s="10">
        <v>0.5</v>
      </c>
      <c r="W43" s="165">
        <f>IF(Tabla551209[[#This Row],[Equipo ]]="","",INDEX(V_MENSUAL,MATCH(Tabla551209[[#This Row],[Equipo ]],LISTA_MAQUINARIA,0)))</f>
        <v>4000000</v>
      </c>
      <c r="X43" s="12">
        <f>IF(Tabla551209[[#This Row],[Equipo ]]="","",INDEX(CONSUMO_COMBUSTIBLE_H,MATCH(Tabla551209[[#This Row],[Equipo ]],LISTA_MAQUINARIA,0)))</f>
        <v>0</v>
      </c>
      <c r="Y43" s="166">
        <f>IF(Tabla551209[[#This Row],[Equipo ]]="","",INDEX(V_GALON,MATCH(Tabla551209[[#This Row],[Equipo ]],LISTA_MAQUINARIA,0)))</f>
        <v>10800</v>
      </c>
      <c r="Z43" s="10"/>
      <c r="AA43" s="165">
        <f>IF(Tabla551209[[#This Row],[Equipo ]]="","",Tabla551209[[#This Row],[Valor mensual]]+Tabla551209[[#This Row],[Combustible Hora ]]*Tabla551209[[#This Row],[Valor galon]]*Tabla551209[[#This Row],[Horas mes]])</f>
        <v>4000000</v>
      </c>
      <c r="AB43" s="168">
        <f>IF(Tabla551209[[#This Row],[Valor mensual + Combustible]]="","",Tabla551209[[#This Row],[Valor mensual + Combustible]]*Tabla551209[[#This Row],[Cantidad]])</f>
        <v>2000000</v>
      </c>
      <c r="AD43" s="9" t="s">
        <v>496</v>
      </c>
      <c r="AE43" s="10">
        <v>0.5</v>
      </c>
      <c r="AF43" s="165">
        <f>IF(Tabla554212[[#This Row],[Equipo ]]="","",INDEX(V_MENSUAL,MATCH(Tabla554212[[#This Row],[Equipo ]],LISTA_MAQUINARIA,0)))</f>
        <v>4000000</v>
      </c>
      <c r="AG43" s="12">
        <f>IF(Tabla554212[[#This Row],[Equipo ]]="","",INDEX(CONSUMO_COMBUSTIBLE_H,MATCH(Tabla554212[[#This Row],[Equipo ]],LISTA_MAQUINARIA,0)))</f>
        <v>0</v>
      </c>
      <c r="AH43" s="166">
        <f>IF(Tabla554212[[#This Row],[Equipo ]]="","",INDEX(V_GALON,MATCH(Tabla554212[[#This Row],[Equipo ]],LISTA_MAQUINARIA,0)))</f>
        <v>10800</v>
      </c>
      <c r="AI43" s="10"/>
      <c r="AJ43" s="165">
        <f>IF(Tabla554212[[#This Row],[Equipo ]]="","",Tabla554212[[#This Row],[Valor mensual]]+Tabla554212[[#This Row],[Combustible Hora ]]*Tabla554212[[#This Row],[Valor galon]]*Tabla554212[[#This Row],[Horas mes]])</f>
        <v>4000000</v>
      </c>
      <c r="AK43" s="168">
        <f>IF(Tabla554212[[#This Row],[Valor mensual + Combustible]]="","",Tabla554212[[#This Row],[Valor mensual + Combustible]]*Tabla554212[[#This Row],[Cantidad]])</f>
        <v>2000000</v>
      </c>
      <c r="AN43" s="9"/>
      <c r="AO43" s="10"/>
      <c r="AP43" s="165" t="str">
        <f>IF(Tabla557215[[#This Row],[Equipo ]]="","",INDEX(V_MENSUAL,MATCH(Tabla557215[[#This Row],[Equipo ]],LISTA_MAQUINARIA,0)))</f>
        <v/>
      </c>
      <c r="AQ43" s="12" t="str">
        <f>IF(Tabla557215[[#This Row],[Equipo ]]="","",INDEX(CONSUMO_COMBUSTIBLE_H,MATCH(Tabla557215[[#This Row],[Equipo ]],LISTA_MAQUINARIA,0)))</f>
        <v/>
      </c>
      <c r="AR43" s="166" t="str">
        <f>IF(Tabla557215[[#This Row],[Equipo ]]="","",INDEX(V_GALON,MATCH(Tabla557215[[#This Row],[Equipo ]],LISTA_MAQUINARIA,0)))</f>
        <v/>
      </c>
      <c r="AS43" s="10"/>
      <c r="AT43" s="165" t="str">
        <f>IF(Tabla557215[[#This Row],[Equipo ]]="","",Tabla557215[[#This Row],[Valor mensual]]+Tabla557215[[#This Row],[Combustible Hora ]]*Tabla557215[[#This Row],[Valor galon]]*Tabla557215[[#This Row],[Horas mes]])</f>
        <v/>
      </c>
      <c r="AU43" s="168" t="str">
        <f>IF(Tabla557215[[#This Row],[Valor mensual + Combustible]]="","",Tabla557215[[#This Row],[Valor mensual + Combustible]]*Tabla557215[[#This Row],[Cantidad]])</f>
        <v/>
      </c>
      <c r="AX43" s="9"/>
      <c r="AY43" s="10"/>
      <c r="AZ43" s="165" t="str">
        <f>IF(Tabla560218[[#This Row],[Equipo ]]="","",INDEX(V_MENSUAL,MATCH(Tabla560218[[#This Row],[Equipo ]],LISTA_MAQUINARIA,0)))</f>
        <v/>
      </c>
      <c r="BA43" s="12" t="str">
        <f>IF(Tabla560218[[#This Row],[Equipo ]]="","",INDEX(CONSUMO_COMBUSTIBLE_H,MATCH(Tabla560218[[#This Row],[Equipo ]],LISTA_MAQUINARIA,0)))</f>
        <v/>
      </c>
      <c r="BB43" s="166" t="str">
        <f>IF(Tabla560218[[#This Row],[Equipo ]]="","",INDEX(V_GALON,MATCH(Tabla560218[[#This Row],[Equipo ]],LISTA_MAQUINARIA,0)))</f>
        <v/>
      </c>
      <c r="BC43" s="10"/>
      <c r="BD43" s="165" t="str">
        <f>IF(Tabla560218[[#This Row],[Equipo ]]="","",Tabla560218[[#This Row],[Valor mensual]]+Tabla560218[[#This Row],[Combustible Hora ]]*Tabla560218[[#This Row],[Valor galon]]*Tabla560218[[#This Row],[Horas mes]])</f>
        <v/>
      </c>
      <c r="BE43" s="168" t="str">
        <f>IF(Tabla560218[[#This Row],[Valor mensual + Combustible]]="","",Tabla560218[[#This Row],[Valor mensual + Combustible]]*Tabla560218[[#This Row],[Cantidad]])</f>
        <v/>
      </c>
      <c r="BH43" s="9"/>
      <c r="BI43" s="10"/>
      <c r="BJ43" s="165" t="str">
        <f>IF(Tabla563221[[#This Row],[Equipo ]]="","",INDEX(V_MENSUAL,MATCH(Tabla563221[[#This Row],[Equipo ]],LISTA_MAQUINARIA,0)))</f>
        <v/>
      </c>
      <c r="BK43" s="12" t="str">
        <f>IF(Tabla563221[[#This Row],[Equipo ]]="","",INDEX(CONSUMO_COMBUSTIBLE_H,MATCH(Tabla563221[[#This Row],[Equipo ]],LISTA_MAQUINARIA,0)))</f>
        <v/>
      </c>
      <c r="BL43" s="166" t="str">
        <f>IF(Tabla563221[[#This Row],[Equipo ]]="","",INDEX(V_GALON,MATCH(Tabla563221[[#This Row],[Equipo ]],LISTA_MAQUINARIA,0)))</f>
        <v/>
      </c>
      <c r="BM43" s="10"/>
      <c r="BN43" s="165" t="str">
        <f>IF(Tabla563221[[#This Row],[Equipo ]]="","",Tabla563221[[#This Row],[Valor mensual]]+Tabla563221[[#This Row],[Combustible Hora ]]*Tabla563221[[#This Row],[Valor galon]]*Tabla563221[[#This Row],[Horas mes]])</f>
        <v/>
      </c>
      <c r="BO43" s="168" t="str">
        <f>IF(Tabla563221[[#This Row],[Valor mensual + Combustible]]="","",Tabla563221[[#This Row],[Valor mensual + Combustible]]*Tabla563221[[#This Row],[Cantidad]])</f>
        <v/>
      </c>
      <c r="BR43" s="9"/>
      <c r="BS43" s="10"/>
      <c r="BT43" s="165" t="str">
        <f>IF(Tabla566224[[#This Row],[Equipo ]]="","",INDEX(V_MENSUAL,MATCH(Tabla566224[[#This Row],[Equipo ]],LISTA_MAQUINARIA,0)))</f>
        <v/>
      </c>
      <c r="BU43" s="12" t="str">
        <f>IF(Tabla566224[[#This Row],[Equipo ]]="","",INDEX(CONSUMO_COMBUSTIBLE_H,MATCH(Tabla566224[[#This Row],[Equipo ]],LISTA_MAQUINARIA,0)))</f>
        <v/>
      </c>
      <c r="BV43" s="166" t="str">
        <f>IF(Tabla566224[[#This Row],[Equipo ]]="","",INDEX(V_GALON,MATCH(Tabla566224[[#This Row],[Equipo ]],LISTA_MAQUINARIA,0)))</f>
        <v/>
      </c>
      <c r="BW43" s="10"/>
      <c r="BX43" s="165" t="str">
        <f>IF(Tabla566224[[#This Row],[Equipo ]]="","",Tabla566224[[#This Row],[Valor mensual]]+Tabla566224[[#This Row],[Combustible Hora ]]*Tabla566224[[#This Row],[Valor galon]]*Tabla566224[[#This Row],[Horas mes]])</f>
        <v/>
      </c>
      <c r="BY43" s="168" t="str">
        <f>IF(Tabla566224[[#This Row],[Valor mensual + Combustible]]="","",Tabla566224[[#This Row],[Valor mensual + Combustible]]*Tabla566224[[#This Row],[Cantidad]])</f>
        <v/>
      </c>
      <c r="CB43" s="9"/>
      <c r="CC43" s="10"/>
      <c r="CD43" s="165" t="str">
        <f>IF(Tabla569227[[#This Row],[Equipo ]]="","",INDEX(V_MENSUAL,MATCH(Tabla569227[[#This Row],[Equipo ]],LISTA_MAQUINARIA,0)))</f>
        <v/>
      </c>
      <c r="CE43" s="12" t="str">
        <f>IF(Tabla569227[[#This Row],[Equipo ]]="","",INDEX(CONSUMO_COMBUSTIBLE_H,MATCH(Tabla569227[[#This Row],[Equipo ]],LISTA_MAQUINARIA,0)))</f>
        <v/>
      </c>
      <c r="CF43" s="166" t="str">
        <f>IF(Tabla569227[[#This Row],[Equipo ]]="","",INDEX(V_GALON,MATCH(Tabla569227[[#This Row],[Equipo ]],LISTA_MAQUINARIA,0)))</f>
        <v/>
      </c>
      <c r="CG43" s="10"/>
      <c r="CH43" s="165" t="str">
        <f>IF(Tabla569227[[#This Row],[Equipo ]]="","",Tabla569227[[#This Row],[Valor mensual]]+Tabla569227[[#This Row],[Combustible Hora ]]*Tabla569227[[#This Row],[Valor galon]]*Tabla569227[[#This Row],[Horas mes]])</f>
        <v/>
      </c>
      <c r="CI43" s="168" t="str">
        <f>IF(Tabla569227[[#This Row],[Valor mensual + Combustible]]="","",Tabla569227[[#This Row],[Valor mensual + Combustible]]*Tabla569227[[#This Row],[Cantidad]])</f>
        <v/>
      </c>
      <c r="CL43" s="9"/>
      <c r="CM43" s="10"/>
      <c r="CN43" s="165" t="str">
        <f>IF(Tabla572230[[#This Row],[Equipo ]]="","",INDEX(V_MENSUAL,MATCH(Tabla572230[[#This Row],[Equipo ]],LISTA_MAQUINARIA,0)))</f>
        <v/>
      </c>
      <c r="CO43" s="12" t="str">
        <f>IF(Tabla572230[[#This Row],[Equipo ]]="","",INDEX(CONSUMO_COMBUSTIBLE_H,MATCH(Tabla572230[[#This Row],[Equipo ]],LISTA_MAQUINARIA,0)))</f>
        <v/>
      </c>
      <c r="CP43" s="166" t="str">
        <f>IF(Tabla572230[[#This Row],[Equipo ]]="","",INDEX(V_GALON,MATCH(Tabla572230[[#This Row],[Equipo ]],LISTA_MAQUINARIA,0)))</f>
        <v/>
      </c>
      <c r="CQ43" s="10"/>
      <c r="CR43" s="165" t="str">
        <f>IF(Tabla572230[[#This Row],[Equipo ]]="","",Tabla572230[[#This Row],[Valor mensual]]+Tabla572230[[#This Row],[Combustible Hora ]]*Tabla572230[[#This Row],[Valor galon]]*Tabla572230[[#This Row],[Horas mes]])</f>
        <v/>
      </c>
      <c r="CS43" s="168" t="str">
        <f>IF(Tabla572230[[#This Row],[Valor mensual + Combustible]]="","",Tabla572230[[#This Row],[Valor mensual + Combustible]]*Tabla572230[[#This Row],[Cantidad]])</f>
        <v/>
      </c>
      <c r="CV43" s="9"/>
      <c r="CW43" s="10"/>
      <c r="CX43" s="165" t="str">
        <f>IF(Tabla575233[[#This Row],[Equipo ]]="","",INDEX(V_MENSUAL,MATCH(Tabla575233[[#This Row],[Equipo ]],LISTA_MAQUINARIA,0)))</f>
        <v/>
      </c>
      <c r="CY43" s="12" t="str">
        <f>IF(Tabla575233[[#This Row],[Equipo ]]="","",INDEX(CONSUMO_COMBUSTIBLE_H,MATCH(Tabla575233[[#This Row],[Equipo ]],LISTA_MAQUINARIA,0)))</f>
        <v/>
      </c>
      <c r="CZ43" s="166" t="str">
        <f>IF(Tabla575233[[#This Row],[Equipo ]]="","",INDEX(V_GALON,MATCH(Tabla575233[[#This Row],[Equipo ]],LISTA_MAQUINARIA,0)))</f>
        <v/>
      </c>
      <c r="DA43" s="10"/>
      <c r="DB43" s="165" t="str">
        <f>IF(Tabla575233[[#This Row],[Equipo ]]="","",Tabla575233[[#This Row],[Valor mensual]]+Tabla575233[[#This Row],[Combustible Hora ]]*Tabla575233[[#This Row],[Valor galon]]*Tabla575233[[#This Row],[Horas mes]])</f>
        <v/>
      </c>
      <c r="DC43" s="168" t="str">
        <f>IF(Tabla575233[[#This Row],[Valor mensual + Combustible]]="","",Tabla575233[[#This Row],[Valor mensual + Combustible]]*Tabla575233[[#This Row],[Cantidad]])</f>
        <v/>
      </c>
      <c r="DF43" s="9"/>
      <c r="DG43" s="10"/>
      <c r="DH43" s="165" t="str">
        <f>IF(Tabla578236[[#This Row],[Equipo ]]="","",INDEX(V_MENSUAL,MATCH(Tabla578236[[#This Row],[Equipo ]],LISTA_MAQUINARIA,0)))</f>
        <v/>
      </c>
      <c r="DI43" s="12" t="str">
        <f>IF(Tabla578236[[#This Row],[Equipo ]]="","",INDEX(CONSUMO_COMBUSTIBLE_H,MATCH(Tabla578236[[#This Row],[Equipo ]],LISTA_MAQUINARIA,0)))</f>
        <v/>
      </c>
      <c r="DJ43" s="166" t="str">
        <f>IF(Tabla578236[[#This Row],[Equipo ]]="","",INDEX(V_GALON,MATCH(Tabla578236[[#This Row],[Equipo ]],LISTA_MAQUINARIA,0)))</f>
        <v/>
      </c>
      <c r="DK43" s="10"/>
      <c r="DL43" s="165" t="str">
        <f>IF(Tabla578236[[#This Row],[Equipo ]]="","",Tabla578236[[#This Row],[Valor mensual]]+Tabla578236[[#This Row],[Combustible Hora ]]*Tabla578236[[#This Row],[Valor galon]]*Tabla578236[[#This Row],[Horas mes]])</f>
        <v/>
      </c>
      <c r="DM43" s="168" t="str">
        <f>IF(Tabla578236[[#This Row],[Valor mensual + Combustible]]="","",Tabla578236[[#This Row],[Valor mensual + Combustible]]*Tabla578236[[#This Row],[Cantidad]])</f>
        <v/>
      </c>
      <c r="DP43" s="9"/>
      <c r="DQ43" s="10"/>
      <c r="DR43" s="165" t="str">
        <f>IF(Tabla581239[[#This Row],[Equipo ]]="","",INDEX(V_MENSUAL,MATCH(Tabla581239[[#This Row],[Equipo ]],LISTA_MAQUINARIA,0)))</f>
        <v/>
      </c>
      <c r="DS43" s="12" t="str">
        <f>IF(Tabla581239[[#This Row],[Equipo ]]="","",INDEX(CONSUMO_COMBUSTIBLE_H,MATCH(Tabla581239[[#This Row],[Equipo ]],LISTA_MAQUINARIA,0)))</f>
        <v/>
      </c>
      <c r="DT43" s="166" t="str">
        <f>IF(Tabla581239[[#This Row],[Equipo ]]="","",INDEX(V_GALON,MATCH(Tabla581239[[#This Row],[Equipo ]],LISTA_MAQUINARIA,0)))</f>
        <v/>
      </c>
      <c r="DU43" s="10"/>
      <c r="DV43" s="165" t="str">
        <f>IF(Tabla581239[[#This Row],[Equipo ]]="","",Tabla581239[[#This Row],[Valor mensual]]+Tabla581239[[#This Row],[Combustible Hora ]]*Tabla581239[[#This Row],[Valor galon]]*Tabla581239[[#This Row],[Horas mes]])</f>
        <v/>
      </c>
      <c r="DW43" s="168" t="str">
        <f>IF(Tabla581239[[#This Row],[Valor mensual + Combustible]]="","",Tabla581239[[#This Row],[Valor mensual + Combustible]]*Tabla581239[[#This Row],[Cantidad]])</f>
        <v/>
      </c>
      <c r="DZ43" s="9"/>
      <c r="EA43" s="10"/>
      <c r="EB43" s="165" t="str">
        <f>IF(Tabla584242[[#This Row],[Equipo ]]="","",INDEX(V_MENSUAL,MATCH(Tabla584242[[#This Row],[Equipo ]],LISTA_MAQUINARIA,0)))</f>
        <v/>
      </c>
      <c r="EC43" s="12" t="str">
        <f>IF(Tabla584242[[#This Row],[Equipo ]]="","",INDEX(CONSUMO_COMBUSTIBLE_H,MATCH(Tabla584242[[#This Row],[Equipo ]],LISTA_MAQUINARIA,0)))</f>
        <v/>
      </c>
      <c r="ED43" s="166" t="str">
        <f>IF(Tabla584242[[#This Row],[Equipo ]]="","",INDEX(V_GALON,MATCH(Tabla584242[[#This Row],[Equipo ]],LISTA_MAQUINARIA,0)))</f>
        <v/>
      </c>
      <c r="EE43" s="10"/>
      <c r="EF43" s="165" t="str">
        <f>IF(Tabla584242[[#This Row],[Equipo ]]="","",Tabla584242[[#This Row],[Valor mensual]]+Tabla584242[[#This Row],[Combustible Hora ]]*Tabla584242[[#This Row],[Valor galon]]*Tabla584242[[#This Row],[Horas mes]])</f>
        <v/>
      </c>
      <c r="EG43" s="168" t="str">
        <f>IF(Tabla584242[[#This Row],[Valor mensual + Combustible]]="","",Tabla584242[[#This Row],[Valor mensual + Combustible]]*Tabla584242[[#This Row],[Cantidad]])</f>
        <v/>
      </c>
      <c r="EJ43" s="9"/>
      <c r="EK43" s="10"/>
      <c r="EL43" s="165" t="str">
        <f>IF(Tabla587245[[#This Row],[Equipo ]]="","",INDEX(V_MENSUAL,MATCH(Tabla587245[[#This Row],[Equipo ]],LISTA_MAQUINARIA,0)))</f>
        <v/>
      </c>
      <c r="EM43" s="12" t="str">
        <f>IF(Tabla587245[[#This Row],[Equipo ]]="","",INDEX(CONSUMO_COMBUSTIBLE_H,MATCH(Tabla587245[[#This Row],[Equipo ]],LISTA_MAQUINARIA,0)))</f>
        <v/>
      </c>
      <c r="EN43" s="166" t="str">
        <f>IF(Tabla587245[[#This Row],[Equipo ]]="","",INDEX(V_GALON,MATCH(Tabla587245[[#This Row],[Equipo ]],LISTA_MAQUINARIA,0)))</f>
        <v/>
      </c>
      <c r="EO43" s="10"/>
      <c r="EP43" s="165" t="str">
        <f>IF(Tabla587245[[#This Row],[Equipo ]]="","",Tabla587245[[#This Row],[Valor mensual]]+Tabla587245[[#This Row],[Combustible Hora ]]*Tabla587245[[#This Row],[Valor galon]]*Tabla587245[[#This Row],[Horas mes]])</f>
        <v/>
      </c>
      <c r="EQ43" s="168" t="str">
        <f>IF(Tabla587245[[#This Row],[Valor mensual + Combustible]]="","",Tabla587245[[#This Row],[Valor mensual + Combustible]]*Tabla587245[[#This Row],[Cantidad]])</f>
        <v/>
      </c>
      <c r="ET43" s="9"/>
      <c r="EU43" s="10"/>
      <c r="EV43" s="165" t="str">
        <f>IF(Tabla590248[[#This Row],[Equipo ]]="","",INDEX(V_MENSUAL,MATCH(Tabla590248[[#This Row],[Equipo ]],LISTA_MAQUINARIA,0)))</f>
        <v/>
      </c>
      <c r="EW43" s="12" t="str">
        <f>IF(Tabla590248[[#This Row],[Equipo ]]="","",INDEX(CONSUMO_COMBUSTIBLE_H,MATCH(Tabla590248[[#This Row],[Equipo ]],LISTA_MAQUINARIA,0)))</f>
        <v/>
      </c>
      <c r="EX43" s="166" t="str">
        <f>IF(Tabla590248[[#This Row],[Equipo ]]="","",INDEX(V_GALON,MATCH(Tabla590248[[#This Row],[Equipo ]],LISTA_MAQUINARIA,0)))</f>
        <v/>
      </c>
      <c r="EY43" s="10"/>
      <c r="EZ43" s="165" t="str">
        <f>IF(Tabla590248[[#This Row],[Equipo ]]="","",Tabla590248[[#This Row],[Valor mensual]]+Tabla590248[[#This Row],[Combustible Hora ]]*Tabla590248[[#This Row],[Valor galon]]*Tabla590248[[#This Row],[Horas mes]])</f>
        <v/>
      </c>
      <c r="FA43" s="168" t="str">
        <f>IF(Tabla590248[[#This Row],[Valor mensual + Combustible]]="","",Tabla590248[[#This Row],[Valor mensual + Combustible]]*Tabla590248[[#This Row],[Cantidad]])</f>
        <v/>
      </c>
      <c r="FD43" s="9"/>
      <c r="FE43" s="10"/>
      <c r="FF43" s="165" t="str">
        <f>IF(Tabla593251[[#This Row],[Equipo ]]="","",INDEX(V_MENSUAL,MATCH(Tabla593251[[#This Row],[Equipo ]],LISTA_MAQUINARIA,0)))</f>
        <v/>
      </c>
      <c r="FG43" s="12" t="str">
        <f>IF(Tabla593251[[#This Row],[Equipo ]]="","",INDEX(CONSUMO_COMBUSTIBLE_H,MATCH(Tabla593251[[#This Row],[Equipo ]],LISTA_MAQUINARIA,0)))</f>
        <v/>
      </c>
      <c r="FH43" s="166" t="str">
        <f>IF(Tabla593251[[#This Row],[Equipo ]]="","",INDEX(V_GALON,MATCH(Tabla593251[[#This Row],[Equipo ]],LISTA_MAQUINARIA,0)))</f>
        <v/>
      </c>
      <c r="FI43" s="10"/>
      <c r="FJ43" s="165" t="str">
        <f>IF(Tabla593251[[#This Row],[Equipo ]]="","",Tabla593251[[#This Row],[Valor mensual]]+Tabla593251[[#This Row],[Combustible Hora ]]*Tabla593251[[#This Row],[Valor galon]]*Tabla593251[[#This Row],[Horas mes]])</f>
        <v/>
      </c>
      <c r="FK43" s="168" t="str">
        <f>IF(Tabla593251[[#This Row],[Valor mensual + Combustible]]="","",Tabla593251[[#This Row],[Valor mensual + Combustible]]*Tabla593251[[#This Row],[Cantidad]])</f>
        <v/>
      </c>
      <c r="FN43" s="9"/>
      <c r="FO43" s="10"/>
      <c r="FP43" s="165" t="str">
        <f>IF(Tabla596254[[#This Row],[Equipo ]]="","",INDEX(V_MENSUAL,MATCH(Tabla596254[[#This Row],[Equipo ]],LISTA_MAQUINARIA,0)))</f>
        <v/>
      </c>
      <c r="FQ43" s="12" t="str">
        <f>IF(Tabla596254[[#This Row],[Equipo ]]="","",INDEX(CONSUMO_COMBUSTIBLE_H,MATCH(Tabla596254[[#This Row],[Equipo ]],LISTA_MAQUINARIA,0)))</f>
        <v/>
      </c>
      <c r="FR43" s="166" t="str">
        <f>IF(Tabla596254[[#This Row],[Equipo ]]="","",INDEX(V_GALON,MATCH(Tabla596254[[#This Row],[Equipo ]],LISTA_MAQUINARIA,0)))</f>
        <v/>
      </c>
      <c r="FS43" s="10"/>
      <c r="FT43" s="165" t="str">
        <f>IF(Tabla596254[[#This Row],[Equipo ]]="","",Tabla596254[[#This Row],[Valor mensual]]+Tabla596254[[#This Row],[Combustible Hora ]]*Tabla596254[[#This Row],[Valor galon]]*Tabla596254[[#This Row],[Horas mes]])</f>
        <v/>
      </c>
      <c r="FU43" s="168" t="str">
        <f>IF(Tabla596254[[#This Row],[Valor mensual + Combustible]]="","",Tabla596254[[#This Row],[Valor mensual + Combustible]]*Tabla596254[[#This Row],[Cantidad]])</f>
        <v/>
      </c>
    </row>
    <row r="44" spans="1:177" x14ac:dyDescent="0.3">
      <c r="A44" s="9" t="s">
        <v>497</v>
      </c>
      <c r="B44" s="10">
        <v>0.5</v>
      </c>
      <c r="C44" s="165">
        <f>IF(Tabla5203[[#This Row],[Equipo ]]="","",INDEX(V_MENSUAL,MATCH(Tabla5203[[#This Row],[Equipo ]],LISTA_MAQUINARIA,0)))</f>
        <v>1200000</v>
      </c>
      <c r="D44" s="12">
        <f>IF(Tabla5203[[#This Row],[Equipo ]]="","",INDEX(CONSUMO_COMBUSTIBLE_H,MATCH(Tabla5203[[#This Row],[Equipo ]],LISTA_MAQUINARIA,0)))</f>
        <v>0</v>
      </c>
      <c r="E44" s="166">
        <f>IF(Tabla5203[[#This Row],[Equipo ]]="","",INDEX(V_GALON,MATCH(Tabla5203[[#This Row],[Equipo ]],LISTA_MAQUINARIA,0)))</f>
        <v>10800</v>
      </c>
      <c r="F44" s="10"/>
      <c r="G44" s="165">
        <f>IF(Tabla5203[[#This Row],[Equipo ]]="","",Tabla5203[[#This Row],[Valor mensual]]+Tabla5203[[#This Row],[Combustible Hora ]]*Tabla5203[[#This Row],[Valor galon]]*Tabla5203[[#This Row],[Horas mes]])</f>
        <v>1200000</v>
      </c>
      <c r="H44" s="168">
        <f>IF(Tabla5203[[#This Row],[Valor mensual + Combustible]]="","",Tabla5203[[#This Row],[Valor mensual + Combustible]]*Tabla5203[[#This Row],[Cantidad]])</f>
        <v>600000</v>
      </c>
      <c r="K44" s="9" t="s">
        <v>497</v>
      </c>
      <c r="L44" s="10">
        <v>0.5</v>
      </c>
      <c r="M44" s="165" cm="1">
        <f t="array" ref="M44">IF(Tabla548206[[#This Row],[Equipo ]]="","",INDEX(V_MENSUAL,MATCH(Tabla548206[[#This Row],[Equipo ]],LISTA_MAQUINARIA,0)))</f>
        <v>1200000</v>
      </c>
      <c r="N44" s="12">
        <f>IF(Tabla548206[[#This Row],[Equipo ]]="","",INDEX(CONSUMO_COMBUSTIBLE_H,MATCH(Tabla548206[[#This Row],[Equipo ]],LISTA_MAQUINARIA,0)))</f>
        <v>0</v>
      </c>
      <c r="O44" s="166">
        <f>IF(Tabla548206[[#This Row],[Equipo ]]="","",INDEX(V_GALON,MATCH(Tabla548206[[#This Row],[Equipo ]],LISTA_MAQUINARIA,0)))</f>
        <v>10800</v>
      </c>
      <c r="P44" s="10"/>
      <c r="Q44" s="165">
        <f>IF(Tabla548206[[#This Row],[Equipo ]]="","",Tabla548206[[#This Row],[Valor mensual]]+Tabla548206[[#This Row],[Combustible Hora ]]*Tabla548206[[#This Row],[Valor galon]]*Tabla548206[[#This Row],[Horas mes]])</f>
        <v>1200000</v>
      </c>
      <c r="R44" s="168">
        <f>IF(Tabla548206[[#This Row],[Valor mensual + Combustible]]="","",Tabla548206[[#This Row],[Valor mensual + Combustible]]*Tabla548206[[#This Row],[Cantidad]])</f>
        <v>600000</v>
      </c>
      <c r="U44" s="9" t="s">
        <v>497</v>
      </c>
      <c r="V44" s="10">
        <v>0.5</v>
      </c>
      <c r="W44" s="165">
        <f>IF(Tabla551209[[#This Row],[Equipo ]]="","",INDEX(V_MENSUAL,MATCH(Tabla551209[[#This Row],[Equipo ]],LISTA_MAQUINARIA,0)))</f>
        <v>1200000</v>
      </c>
      <c r="X44" s="12">
        <f>IF(Tabla551209[[#This Row],[Equipo ]]="","",INDEX(CONSUMO_COMBUSTIBLE_H,MATCH(Tabla551209[[#This Row],[Equipo ]],LISTA_MAQUINARIA,0)))</f>
        <v>0</v>
      </c>
      <c r="Y44" s="166">
        <f>IF(Tabla551209[[#This Row],[Equipo ]]="","",INDEX(V_GALON,MATCH(Tabla551209[[#This Row],[Equipo ]],LISTA_MAQUINARIA,0)))</f>
        <v>10800</v>
      </c>
      <c r="Z44" s="10"/>
      <c r="AA44" s="165">
        <f>IF(Tabla551209[[#This Row],[Equipo ]]="","",Tabla551209[[#This Row],[Valor mensual]]+Tabla551209[[#This Row],[Combustible Hora ]]*Tabla551209[[#This Row],[Valor galon]]*Tabla551209[[#This Row],[Horas mes]])</f>
        <v>1200000</v>
      </c>
      <c r="AB44" s="168">
        <f>IF(Tabla551209[[#This Row],[Valor mensual + Combustible]]="","",Tabla551209[[#This Row],[Valor mensual + Combustible]]*Tabla551209[[#This Row],[Cantidad]])</f>
        <v>600000</v>
      </c>
      <c r="AD44" s="9" t="s">
        <v>497</v>
      </c>
      <c r="AE44" s="10">
        <v>0.5</v>
      </c>
      <c r="AF44" s="165">
        <f>IF(Tabla554212[[#This Row],[Equipo ]]="","",INDEX(V_MENSUAL,MATCH(Tabla554212[[#This Row],[Equipo ]],LISTA_MAQUINARIA,0)))</f>
        <v>1200000</v>
      </c>
      <c r="AG44" s="12">
        <f>IF(Tabla554212[[#This Row],[Equipo ]]="","",INDEX(CONSUMO_COMBUSTIBLE_H,MATCH(Tabla554212[[#This Row],[Equipo ]],LISTA_MAQUINARIA,0)))</f>
        <v>0</v>
      </c>
      <c r="AH44" s="166">
        <f>IF(Tabla554212[[#This Row],[Equipo ]]="","",INDEX(V_GALON,MATCH(Tabla554212[[#This Row],[Equipo ]],LISTA_MAQUINARIA,0)))</f>
        <v>10800</v>
      </c>
      <c r="AI44" s="10"/>
      <c r="AJ44" s="165">
        <f>IF(Tabla554212[[#This Row],[Equipo ]]="","",Tabla554212[[#This Row],[Valor mensual]]+Tabla554212[[#This Row],[Combustible Hora ]]*Tabla554212[[#This Row],[Valor galon]]*Tabla554212[[#This Row],[Horas mes]])</f>
        <v>1200000</v>
      </c>
      <c r="AK44" s="168">
        <f>IF(Tabla554212[[#This Row],[Valor mensual + Combustible]]="","",Tabla554212[[#This Row],[Valor mensual + Combustible]]*Tabla554212[[#This Row],[Cantidad]])</f>
        <v>600000</v>
      </c>
      <c r="AN44" s="9"/>
      <c r="AO44" s="10"/>
      <c r="AP44" s="165" t="str">
        <f>IF(Tabla557215[[#This Row],[Equipo ]]="","",INDEX(V_MENSUAL,MATCH(Tabla557215[[#This Row],[Equipo ]],LISTA_MAQUINARIA,0)))</f>
        <v/>
      </c>
      <c r="AQ44" s="12" t="str">
        <f>IF(Tabla557215[[#This Row],[Equipo ]]="","",INDEX(CONSUMO_COMBUSTIBLE_H,MATCH(Tabla557215[[#This Row],[Equipo ]],LISTA_MAQUINARIA,0)))</f>
        <v/>
      </c>
      <c r="AR44" s="166" t="str">
        <f>IF(Tabla557215[[#This Row],[Equipo ]]="","",INDEX(V_GALON,MATCH(Tabla557215[[#This Row],[Equipo ]],LISTA_MAQUINARIA,0)))</f>
        <v/>
      </c>
      <c r="AS44" s="10"/>
      <c r="AT44" s="165" t="str">
        <f>IF(Tabla557215[[#This Row],[Equipo ]]="","",Tabla557215[[#This Row],[Valor mensual]]+Tabla557215[[#This Row],[Combustible Hora ]]*Tabla557215[[#This Row],[Valor galon]]*Tabla557215[[#This Row],[Horas mes]])</f>
        <v/>
      </c>
      <c r="AU44" s="168" t="str">
        <f>IF(Tabla557215[[#This Row],[Valor mensual + Combustible]]="","",Tabla557215[[#This Row],[Valor mensual + Combustible]]*Tabla557215[[#This Row],[Cantidad]])</f>
        <v/>
      </c>
      <c r="AX44" s="9"/>
      <c r="AY44" s="10"/>
      <c r="AZ44" s="165" t="str">
        <f>IF(Tabla560218[[#This Row],[Equipo ]]="","",INDEX(V_MENSUAL,MATCH(Tabla560218[[#This Row],[Equipo ]],LISTA_MAQUINARIA,0)))</f>
        <v/>
      </c>
      <c r="BA44" s="12" t="str">
        <f>IF(Tabla560218[[#This Row],[Equipo ]]="","",INDEX(CONSUMO_COMBUSTIBLE_H,MATCH(Tabla560218[[#This Row],[Equipo ]],LISTA_MAQUINARIA,0)))</f>
        <v/>
      </c>
      <c r="BB44" s="166" t="str">
        <f>IF(Tabla560218[[#This Row],[Equipo ]]="","",INDEX(V_GALON,MATCH(Tabla560218[[#This Row],[Equipo ]],LISTA_MAQUINARIA,0)))</f>
        <v/>
      </c>
      <c r="BC44" s="10"/>
      <c r="BD44" s="165" t="str">
        <f>IF(Tabla560218[[#This Row],[Equipo ]]="","",Tabla560218[[#This Row],[Valor mensual]]+Tabla560218[[#This Row],[Combustible Hora ]]*Tabla560218[[#This Row],[Valor galon]]*Tabla560218[[#This Row],[Horas mes]])</f>
        <v/>
      </c>
      <c r="BE44" s="168" t="str">
        <f>IF(Tabla560218[[#This Row],[Valor mensual + Combustible]]="","",Tabla560218[[#This Row],[Valor mensual + Combustible]]*Tabla560218[[#This Row],[Cantidad]])</f>
        <v/>
      </c>
      <c r="BH44" s="9"/>
      <c r="BI44" s="10"/>
      <c r="BJ44" s="165" t="str">
        <f>IF(Tabla563221[[#This Row],[Equipo ]]="","",INDEX(V_MENSUAL,MATCH(Tabla563221[[#This Row],[Equipo ]],LISTA_MAQUINARIA,0)))</f>
        <v/>
      </c>
      <c r="BK44" s="12" t="str">
        <f>IF(Tabla563221[[#This Row],[Equipo ]]="","",INDEX(CONSUMO_COMBUSTIBLE_H,MATCH(Tabla563221[[#This Row],[Equipo ]],LISTA_MAQUINARIA,0)))</f>
        <v/>
      </c>
      <c r="BL44" s="166" t="str">
        <f>IF(Tabla563221[[#This Row],[Equipo ]]="","",INDEX(V_GALON,MATCH(Tabla563221[[#This Row],[Equipo ]],LISTA_MAQUINARIA,0)))</f>
        <v/>
      </c>
      <c r="BM44" s="10"/>
      <c r="BN44" s="165" t="str">
        <f>IF(Tabla563221[[#This Row],[Equipo ]]="","",Tabla563221[[#This Row],[Valor mensual]]+Tabla563221[[#This Row],[Combustible Hora ]]*Tabla563221[[#This Row],[Valor galon]]*Tabla563221[[#This Row],[Horas mes]])</f>
        <v/>
      </c>
      <c r="BO44" s="168" t="str">
        <f>IF(Tabla563221[[#This Row],[Valor mensual + Combustible]]="","",Tabla563221[[#This Row],[Valor mensual + Combustible]]*Tabla563221[[#This Row],[Cantidad]])</f>
        <v/>
      </c>
      <c r="BR44" s="9"/>
      <c r="BS44" s="10"/>
      <c r="BT44" s="165" t="str">
        <f>IF(Tabla566224[[#This Row],[Equipo ]]="","",INDEX(V_MENSUAL,MATCH(Tabla566224[[#This Row],[Equipo ]],LISTA_MAQUINARIA,0)))</f>
        <v/>
      </c>
      <c r="BU44" s="12" t="str">
        <f>IF(Tabla566224[[#This Row],[Equipo ]]="","",INDEX(CONSUMO_COMBUSTIBLE_H,MATCH(Tabla566224[[#This Row],[Equipo ]],LISTA_MAQUINARIA,0)))</f>
        <v/>
      </c>
      <c r="BV44" s="166" t="str">
        <f>IF(Tabla566224[[#This Row],[Equipo ]]="","",INDEX(V_GALON,MATCH(Tabla566224[[#This Row],[Equipo ]],LISTA_MAQUINARIA,0)))</f>
        <v/>
      </c>
      <c r="BW44" s="10"/>
      <c r="BX44" s="165" t="str">
        <f>IF(Tabla566224[[#This Row],[Equipo ]]="","",Tabla566224[[#This Row],[Valor mensual]]+Tabla566224[[#This Row],[Combustible Hora ]]*Tabla566224[[#This Row],[Valor galon]]*Tabla566224[[#This Row],[Horas mes]])</f>
        <v/>
      </c>
      <c r="BY44" s="168" t="str">
        <f>IF(Tabla566224[[#This Row],[Valor mensual + Combustible]]="","",Tabla566224[[#This Row],[Valor mensual + Combustible]]*Tabla566224[[#This Row],[Cantidad]])</f>
        <v/>
      </c>
      <c r="CB44" s="9"/>
      <c r="CC44" s="10"/>
      <c r="CD44" s="165" t="str">
        <f>IF(Tabla569227[[#This Row],[Equipo ]]="","",INDEX(V_MENSUAL,MATCH(Tabla569227[[#This Row],[Equipo ]],LISTA_MAQUINARIA,0)))</f>
        <v/>
      </c>
      <c r="CE44" s="12" t="str">
        <f>IF(Tabla569227[[#This Row],[Equipo ]]="","",INDEX(CONSUMO_COMBUSTIBLE_H,MATCH(Tabla569227[[#This Row],[Equipo ]],LISTA_MAQUINARIA,0)))</f>
        <v/>
      </c>
      <c r="CF44" s="166" t="str">
        <f>IF(Tabla569227[[#This Row],[Equipo ]]="","",INDEX(V_GALON,MATCH(Tabla569227[[#This Row],[Equipo ]],LISTA_MAQUINARIA,0)))</f>
        <v/>
      </c>
      <c r="CG44" s="10"/>
      <c r="CH44" s="165" t="str">
        <f>IF(Tabla569227[[#This Row],[Equipo ]]="","",Tabla569227[[#This Row],[Valor mensual]]+Tabla569227[[#This Row],[Combustible Hora ]]*Tabla569227[[#This Row],[Valor galon]]*Tabla569227[[#This Row],[Horas mes]])</f>
        <v/>
      </c>
      <c r="CI44" s="168" t="str">
        <f>IF(Tabla569227[[#This Row],[Valor mensual + Combustible]]="","",Tabla569227[[#This Row],[Valor mensual + Combustible]]*Tabla569227[[#This Row],[Cantidad]])</f>
        <v/>
      </c>
      <c r="CL44" s="9"/>
      <c r="CM44" s="10"/>
      <c r="CN44" s="165" t="str">
        <f>IF(Tabla572230[[#This Row],[Equipo ]]="","",INDEX(V_MENSUAL,MATCH(Tabla572230[[#This Row],[Equipo ]],LISTA_MAQUINARIA,0)))</f>
        <v/>
      </c>
      <c r="CO44" s="12" t="str">
        <f>IF(Tabla572230[[#This Row],[Equipo ]]="","",INDEX(CONSUMO_COMBUSTIBLE_H,MATCH(Tabla572230[[#This Row],[Equipo ]],LISTA_MAQUINARIA,0)))</f>
        <v/>
      </c>
      <c r="CP44" s="166" t="str">
        <f>IF(Tabla572230[[#This Row],[Equipo ]]="","",INDEX(V_GALON,MATCH(Tabla572230[[#This Row],[Equipo ]],LISTA_MAQUINARIA,0)))</f>
        <v/>
      </c>
      <c r="CQ44" s="10"/>
      <c r="CR44" s="165" t="str">
        <f>IF(Tabla572230[[#This Row],[Equipo ]]="","",Tabla572230[[#This Row],[Valor mensual]]+Tabla572230[[#This Row],[Combustible Hora ]]*Tabla572230[[#This Row],[Valor galon]]*Tabla572230[[#This Row],[Horas mes]])</f>
        <v/>
      </c>
      <c r="CS44" s="168" t="str">
        <f>IF(Tabla572230[[#This Row],[Valor mensual + Combustible]]="","",Tabla572230[[#This Row],[Valor mensual + Combustible]]*Tabla572230[[#This Row],[Cantidad]])</f>
        <v/>
      </c>
      <c r="CV44" s="9"/>
      <c r="CW44" s="10"/>
      <c r="CX44" s="165" t="str">
        <f>IF(Tabla575233[[#This Row],[Equipo ]]="","",INDEX(V_MENSUAL,MATCH(Tabla575233[[#This Row],[Equipo ]],LISTA_MAQUINARIA,0)))</f>
        <v/>
      </c>
      <c r="CY44" s="12" t="str">
        <f>IF(Tabla575233[[#This Row],[Equipo ]]="","",INDEX(CONSUMO_COMBUSTIBLE_H,MATCH(Tabla575233[[#This Row],[Equipo ]],LISTA_MAQUINARIA,0)))</f>
        <v/>
      </c>
      <c r="CZ44" s="166" t="str">
        <f>IF(Tabla575233[[#This Row],[Equipo ]]="","",INDEX(V_GALON,MATCH(Tabla575233[[#This Row],[Equipo ]],LISTA_MAQUINARIA,0)))</f>
        <v/>
      </c>
      <c r="DA44" s="10"/>
      <c r="DB44" s="165" t="str">
        <f>IF(Tabla575233[[#This Row],[Equipo ]]="","",Tabla575233[[#This Row],[Valor mensual]]+Tabla575233[[#This Row],[Combustible Hora ]]*Tabla575233[[#This Row],[Valor galon]]*Tabla575233[[#This Row],[Horas mes]])</f>
        <v/>
      </c>
      <c r="DC44" s="168" t="str">
        <f>IF(Tabla575233[[#This Row],[Valor mensual + Combustible]]="","",Tabla575233[[#This Row],[Valor mensual + Combustible]]*Tabla575233[[#This Row],[Cantidad]])</f>
        <v/>
      </c>
      <c r="DF44" s="9"/>
      <c r="DG44" s="10"/>
      <c r="DH44" s="165" t="str">
        <f>IF(Tabla578236[[#This Row],[Equipo ]]="","",INDEX(V_MENSUAL,MATCH(Tabla578236[[#This Row],[Equipo ]],LISTA_MAQUINARIA,0)))</f>
        <v/>
      </c>
      <c r="DI44" s="12" t="str">
        <f>IF(Tabla578236[[#This Row],[Equipo ]]="","",INDEX(CONSUMO_COMBUSTIBLE_H,MATCH(Tabla578236[[#This Row],[Equipo ]],LISTA_MAQUINARIA,0)))</f>
        <v/>
      </c>
      <c r="DJ44" s="166" t="str">
        <f>IF(Tabla578236[[#This Row],[Equipo ]]="","",INDEX(V_GALON,MATCH(Tabla578236[[#This Row],[Equipo ]],LISTA_MAQUINARIA,0)))</f>
        <v/>
      </c>
      <c r="DK44" s="10"/>
      <c r="DL44" s="165" t="str">
        <f>IF(Tabla578236[[#This Row],[Equipo ]]="","",Tabla578236[[#This Row],[Valor mensual]]+Tabla578236[[#This Row],[Combustible Hora ]]*Tabla578236[[#This Row],[Valor galon]]*Tabla578236[[#This Row],[Horas mes]])</f>
        <v/>
      </c>
      <c r="DM44" s="168" t="str">
        <f>IF(Tabla578236[[#This Row],[Valor mensual + Combustible]]="","",Tabla578236[[#This Row],[Valor mensual + Combustible]]*Tabla578236[[#This Row],[Cantidad]])</f>
        <v/>
      </c>
      <c r="DP44" s="9"/>
      <c r="DQ44" s="10"/>
      <c r="DR44" s="165" t="str">
        <f>IF(Tabla581239[[#This Row],[Equipo ]]="","",INDEX(V_MENSUAL,MATCH(Tabla581239[[#This Row],[Equipo ]],LISTA_MAQUINARIA,0)))</f>
        <v/>
      </c>
      <c r="DS44" s="12" t="str">
        <f>IF(Tabla581239[[#This Row],[Equipo ]]="","",INDEX(CONSUMO_COMBUSTIBLE_H,MATCH(Tabla581239[[#This Row],[Equipo ]],LISTA_MAQUINARIA,0)))</f>
        <v/>
      </c>
      <c r="DT44" s="166" t="str">
        <f>IF(Tabla581239[[#This Row],[Equipo ]]="","",INDEX(V_GALON,MATCH(Tabla581239[[#This Row],[Equipo ]],LISTA_MAQUINARIA,0)))</f>
        <v/>
      </c>
      <c r="DU44" s="10"/>
      <c r="DV44" s="165" t="str">
        <f>IF(Tabla581239[[#This Row],[Equipo ]]="","",Tabla581239[[#This Row],[Valor mensual]]+Tabla581239[[#This Row],[Combustible Hora ]]*Tabla581239[[#This Row],[Valor galon]]*Tabla581239[[#This Row],[Horas mes]])</f>
        <v/>
      </c>
      <c r="DW44" s="168" t="str">
        <f>IF(Tabla581239[[#This Row],[Valor mensual + Combustible]]="","",Tabla581239[[#This Row],[Valor mensual + Combustible]]*Tabla581239[[#This Row],[Cantidad]])</f>
        <v/>
      </c>
      <c r="DZ44" s="9"/>
      <c r="EA44" s="10"/>
      <c r="EB44" s="165" t="str">
        <f>IF(Tabla584242[[#This Row],[Equipo ]]="","",INDEX(V_MENSUAL,MATCH(Tabla584242[[#This Row],[Equipo ]],LISTA_MAQUINARIA,0)))</f>
        <v/>
      </c>
      <c r="EC44" s="12" t="str">
        <f>IF(Tabla584242[[#This Row],[Equipo ]]="","",INDEX(CONSUMO_COMBUSTIBLE_H,MATCH(Tabla584242[[#This Row],[Equipo ]],LISTA_MAQUINARIA,0)))</f>
        <v/>
      </c>
      <c r="ED44" s="166" t="str">
        <f>IF(Tabla584242[[#This Row],[Equipo ]]="","",INDEX(V_GALON,MATCH(Tabla584242[[#This Row],[Equipo ]],LISTA_MAQUINARIA,0)))</f>
        <v/>
      </c>
      <c r="EE44" s="10"/>
      <c r="EF44" s="165" t="str">
        <f>IF(Tabla584242[[#This Row],[Equipo ]]="","",Tabla584242[[#This Row],[Valor mensual]]+Tabla584242[[#This Row],[Combustible Hora ]]*Tabla584242[[#This Row],[Valor galon]]*Tabla584242[[#This Row],[Horas mes]])</f>
        <v/>
      </c>
      <c r="EG44" s="168" t="str">
        <f>IF(Tabla584242[[#This Row],[Valor mensual + Combustible]]="","",Tabla584242[[#This Row],[Valor mensual + Combustible]]*Tabla584242[[#This Row],[Cantidad]])</f>
        <v/>
      </c>
      <c r="EJ44" s="9"/>
      <c r="EK44" s="10"/>
      <c r="EL44" s="165" t="str">
        <f>IF(Tabla587245[[#This Row],[Equipo ]]="","",INDEX(V_MENSUAL,MATCH(Tabla587245[[#This Row],[Equipo ]],LISTA_MAQUINARIA,0)))</f>
        <v/>
      </c>
      <c r="EM44" s="12" t="str">
        <f>IF(Tabla587245[[#This Row],[Equipo ]]="","",INDEX(CONSUMO_COMBUSTIBLE_H,MATCH(Tabla587245[[#This Row],[Equipo ]],LISTA_MAQUINARIA,0)))</f>
        <v/>
      </c>
      <c r="EN44" s="166" t="str">
        <f>IF(Tabla587245[[#This Row],[Equipo ]]="","",INDEX(V_GALON,MATCH(Tabla587245[[#This Row],[Equipo ]],LISTA_MAQUINARIA,0)))</f>
        <v/>
      </c>
      <c r="EO44" s="10"/>
      <c r="EP44" s="165" t="str">
        <f>IF(Tabla587245[[#This Row],[Equipo ]]="","",Tabla587245[[#This Row],[Valor mensual]]+Tabla587245[[#This Row],[Combustible Hora ]]*Tabla587245[[#This Row],[Valor galon]]*Tabla587245[[#This Row],[Horas mes]])</f>
        <v/>
      </c>
      <c r="EQ44" s="168" t="str">
        <f>IF(Tabla587245[[#This Row],[Valor mensual + Combustible]]="","",Tabla587245[[#This Row],[Valor mensual + Combustible]]*Tabla587245[[#This Row],[Cantidad]])</f>
        <v/>
      </c>
      <c r="ET44" s="9"/>
      <c r="EU44" s="10"/>
      <c r="EV44" s="165" t="str">
        <f>IF(Tabla590248[[#This Row],[Equipo ]]="","",INDEX(V_MENSUAL,MATCH(Tabla590248[[#This Row],[Equipo ]],LISTA_MAQUINARIA,0)))</f>
        <v/>
      </c>
      <c r="EW44" s="12" t="str">
        <f>IF(Tabla590248[[#This Row],[Equipo ]]="","",INDEX(CONSUMO_COMBUSTIBLE_H,MATCH(Tabla590248[[#This Row],[Equipo ]],LISTA_MAQUINARIA,0)))</f>
        <v/>
      </c>
      <c r="EX44" s="166" t="str">
        <f>IF(Tabla590248[[#This Row],[Equipo ]]="","",INDEX(V_GALON,MATCH(Tabla590248[[#This Row],[Equipo ]],LISTA_MAQUINARIA,0)))</f>
        <v/>
      </c>
      <c r="EY44" s="10"/>
      <c r="EZ44" s="165" t="str">
        <f>IF(Tabla590248[[#This Row],[Equipo ]]="","",Tabla590248[[#This Row],[Valor mensual]]+Tabla590248[[#This Row],[Combustible Hora ]]*Tabla590248[[#This Row],[Valor galon]]*Tabla590248[[#This Row],[Horas mes]])</f>
        <v/>
      </c>
      <c r="FA44" s="168" t="str">
        <f>IF(Tabla590248[[#This Row],[Valor mensual + Combustible]]="","",Tabla590248[[#This Row],[Valor mensual + Combustible]]*Tabla590248[[#This Row],[Cantidad]])</f>
        <v/>
      </c>
      <c r="FD44" s="9"/>
      <c r="FE44" s="10"/>
      <c r="FF44" s="165" t="str">
        <f>IF(Tabla593251[[#This Row],[Equipo ]]="","",INDEX(V_MENSUAL,MATCH(Tabla593251[[#This Row],[Equipo ]],LISTA_MAQUINARIA,0)))</f>
        <v/>
      </c>
      <c r="FG44" s="12" t="str">
        <f>IF(Tabla593251[[#This Row],[Equipo ]]="","",INDEX(CONSUMO_COMBUSTIBLE_H,MATCH(Tabla593251[[#This Row],[Equipo ]],LISTA_MAQUINARIA,0)))</f>
        <v/>
      </c>
      <c r="FH44" s="166" t="str">
        <f>IF(Tabla593251[[#This Row],[Equipo ]]="","",INDEX(V_GALON,MATCH(Tabla593251[[#This Row],[Equipo ]],LISTA_MAQUINARIA,0)))</f>
        <v/>
      </c>
      <c r="FI44" s="10"/>
      <c r="FJ44" s="165" t="str">
        <f>IF(Tabla593251[[#This Row],[Equipo ]]="","",Tabla593251[[#This Row],[Valor mensual]]+Tabla593251[[#This Row],[Combustible Hora ]]*Tabla593251[[#This Row],[Valor galon]]*Tabla593251[[#This Row],[Horas mes]])</f>
        <v/>
      </c>
      <c r="FK44" s="168" t="str">
        <f>IF(Tabla593251[[#This Row],[Valor mensual + Combustible]]="","",Tabla593251[[#This Row],[Valor mensual + Combustible]]*Tabla593251[[#This Row],[Cantidad]])</f>
        <v/>
      </c>
      <c r="FN44" s="9"/>
      <c r="FO44" s="10"/>
      <c r="FP44" s="165" t="str">
        <f>IF(Tabla596254[[#This Row],[Equipo ]]="","",INDEX(V_MENSUAL,MATCH(Tabla596254[[#This Row],[Equipo ]],LISTA_MAQUINARIA,0)))</f>
        <v/>
      </c>
      <c r="FQ44" s="12" t="str">
        <f>IF(Tabla596254[[#This Row],[Equipo ]]="","",INDEX(CONSUMO_COMBUSTIBLE_H,MATCH(Tabla596254[[#This Row],[Equipo ]],LISTA_MAQUINARIA,0)))</f>
        <v/>
      </c>
      <c r="FR44" s="166" t="str">
        <f>IF(Tabla596254[[#This Row],[Equipo ]]="","",INDEX(V_GALON,MATCH(Tabla596254[[#This Row],[Equipo ]],LISTA_MAQUINARIA,0)))</f>
        <v/>
      </c>
      <c r="FS44" s="10"/>
      <c r="FT44" s="165" t="str">
        <f>IF(Tabla596254[[#This Row],[Equipo ]]="","",Tabla596254[[#This Row],[Valor mensual]]+Tabla596254[[#This Row],[Combustible Hora ]]*Tabla596254[[#This Row],[Valor galon]]*Tabla596254[[#This Row],[Horas mes]])</f>
        <v/>
      </c>
      <c r="FU44" s="168" t="str">
        <f>IF(Tabla596254[[#This Row],[Valor mensual + Combustible]]="","",Tabla596254[[#This Row],[Valor mensual + Combustible]]*Tabla596254[[#This Row],[Cantidad]])</f>
        <v/>
      </c>
    </row>
    <row r="45" spans="1:177" x14ac:dyDescent="0.3">
      <c r="A45" s="9" t="s">
        <v>498</v>
      </c>
      <c r="B45" s="10">
        <v>0.5</v>
      </c>
      <c r="C45" s="165">
        <f>IF(Tabla5203[[#This Row],[Equipo ]]="","",INDEX(V_MENSUAL,MATCH(Tabla5203[[#This Row],[Equipo ]],LISTA_MAQUINARIA,0)))</f>
        <v>5800000</v>
      </c>
      <c r="D45" s="12">
        <f>IF(Tabla5203[[#This Row],[Equipo ]]="","",INDEX(CONSUMO_COMBUSTIBLE_H,MATCH(Tabla5203[[#This Row],[Equipo ]],LISTA_MAQUINARIA,0)))</f>
        <v>0</v>
      </c>
      <c r="E45" s="166">
        <f>IF(Tabla5203[[#This Row],[Equipo ]]="","",INDEX(V_GALON,MATCH(Tabla5203[[#This Row],[Equipo ]],LISTA_MAQUINARIA,0)))</f>
        <v>10800</v>
      </c>
      <c r="F45" s="10"/>
      <c r="G45" s="165">
        <f>IF(Tabla5203[[#This Row],[Equipo ]]="","",Tabla5203[[#This Row],[Valor mensual]]+Tabla5203[[#This Row],[Combustible Hora ]]*Tabla5203[[#This Row],[Valor galon]]*Tabla5203[[#This Row],[Horas mes]])</f>
        <v>5800000</v>
      </c>
      <c r="H45" s="168">
        <f>IF(Tabla5203[[#This Row],[Valor mensual + Combustible]]="","",Tabla5203[[#This Row],[Valor mensual + Combustible]]*Tabla5203[[#This Row],[Cantidad]])</f>
        <v>2900000</v>
      </c>
      <c r="K45" s="9" t="s">
        <v>498</v>
      </c>
      <c r="L45" s="10">
        <v>0.5</v>
      </c>
      <c r="M45" s="165" cm="1">
        <f t="array" ref="M45">IF(Tabla548206[[#This Row],[Equipo ]]="","",INDEX(V_MENSUAL,MATCH(Tabla548206[[#This Row],[Equipo ]],LISTA_MAQUINARIA,0)))</f>
        <v>5800000</v>
      </c>
      <c r="N45" s="12">
        <f>IF(Tabla548206[[#This Row],[Equipo ]]="","",INDEX(CONSUMO_COMBUSTIBLE_H,MATCH(Tabla548206[[#This Row],[Equipo ]],LISTA_MAQUINARIA,0)))</f>
        <v>0</v>
      </c>
      <c r="O45" s="166">
        <f>IF(Tabla548206[[#This Row],[Equipo ]]="","",INDEX(V_GALON,MATCH(Tabla548206[[#This Row],[Equipo ]],LISTA_MAQUINARIA,0)))</f>
        <v>10800</v>
      </c>
      <c r="P45" s="10"/>
      <c r="Q45" s="165">
        <f>IF(Tabla548206[[#This Row],[Equipo ]]="","",Tabla548206[[#This Row],[Valor mensual]]+Tabla548206[[#This Row],[Combustible Hora ]]*Tabla548206[[#This Row],[Valor galon]]*Tabla548206[[#This Row],[Horas mes]])</f>
        <v>5800000</v>
      </c>
      <c r="R45" s="168">
        <f>IF(Tabla548206[[#This Row],[Valor mensual + Combustible]]="","",Tabla548206[[#This Row],[Valor mensual + Combustible]]*Tabla548206[[#This Row],[Cantidad]])</f>
        <v>2900000</v>
      </c>
      <c r="U45" s="9" t="s">
        <v>498</v>
      </c>
      <c r="V45" s="10">
        <v>0.5</v>
      </c>
      <c r="W45" s="165">
        <f>IF(Tabla551209[[#This Row],[Equipo ]]="","",INDEX(V_MENSUAL,MATCH(Tabla551209[[#This Row],[Equipo ]],LISTA_MAQUINARIA,0)))</f>
        <v>5800000</v>
      </c>
      <c r="X45" s="12">
        <f>IF(Tabla551209[[#This Row],[Equipo ]]="","",INDEX(CONSUMO_COMBUSTIBLE_H,MATCH(Tabla551209[[#This Row],[Equipo ]],LISTA_MAQUINARIA,0)))</f>
        <v>0</v>
      </c>
      <c r="Y45" s="166">
        <f>IF(Tabla551209[[#This Row],[Equipo ]]="","",INDEX(V_GALON,MATCH(Tabla551209[[#This Row],[Equipo ]],LISTA_MAQUINARIA,0)))</f>
        <v>10800</v>
      </c>
      <c r="Z45" s="10"/>
      <c r="AA45" s="165">
        <f>IF(Tabla551209[[#This Row],[Equipo ]]="","",Tabla551209[[#This Row],[Valor mensual]]+Tabla551209[[#This Row],[Combustible Hora ]]*Tabla551209[[#This Row],[Valor galon]]*Tabla551209[[#This Row],[Horas mes]])</f>
        <v>5800000</v>
      </c>
      <c r="AB45" s="168">
        <f>IF(Tabla551209[[#This Row],[Valor mensual + Combustible]]="","",Tabla551209[[#This Row],[Valor mensual + Combustible]]*Tabla551209[[#This Row],[Cantidad]])</f>
        <v>2900000</v>
      </c>
      <c r="AD45" s="9" t="s">
        <v>498</v>
      </c>
      <c r="AE45" s="10">
        <v>0.5</v>
      </c>
      <c r="AF45" s="165">
        <f>IF(Tabla554212[[#This Row],[Equipo ]]="","",INDEX(V_MENSUAL,MATCH(Tabla554212[[#This Row],[Equipo ]],LISTA_MAQUINARIA,0)))</f>
        <v>5800000</v>
      </c>
      <c r="AG45" s="12">
        <f>IF(Tabla554212[[#This Row],[Equipo ]]="","",INDEX(CONSUMO_COMBUSTIBLE_H,MATCH(Tabla554212[[#This Row],[Equipo ]],LISTA_MAQUINARIA,0)))</f>
        <v>0</v>
      </c>
      <c r="AH45" s="166">
        <f>IF(Tabla554212[[#This Row],[Equipo ]]="","",INDEX(V_GALON,MATCH(Tabla554212[[#This Row],[Equipo ]],LISTA_MAQUINARIA,0)))</f>
        <v>10800</v>
      </c>
      <c r="AI45" s="10"/>
      <c r="AJ45" s="165">
        <f>IF(Tabla554212[[#This Row],[Equipo ]]="","",Tabla554212[[#This Row],[Valor mensual]]+Tabla554212[[#This Row],[Combustible Hora ]]*Tabla554212[[#This Row],[Valor galon]]*Tabla554212[[#This Row],[Horas mes]])</f>
        <v>5800000</v>
      </c>
      <c r="AK45" s="168">
        <f>IF(Tabla554212[[#This Row],[Valor mensual + Combustible]]="","",Tabla554212[[#This Row],[Valor mensual + Combustible]]*Tabla554212[[#This Row],[Cantidad]])</f>
        <v>2900000</v>
      </c>
      <c r="AN45" s="9"/>
      <c r="AO45" s="10"/>
      <c r="AP45" s="165" t="str">
        <f>IF(Tabla557215[[#This Row],[Equipo ]]="","",INDEX(V_MENSUAL,MATCH(Tabla557215[[#This Row],[Equipo ]],LISTA_MAQUINARIA,0)))</f>
        <v/>
      </c>
      <c r="AQ45" s="12" t="str">
        <f>IF(Tabla557215[[#This Row],[Equipo ]]="","",INDEX(CONSUMO_COMBUSTIBLE_H,MATCH(Tabla557215[[#This Row],[Equipo ]],LISTA_MAQUINARIA,0)))</f>
        <v/>
      </c>
      <c r="AR45" s="166" t="str">
        <f>IF(Tabla557215[[#This Row],[Equipo ]]="","",INDEX(V_GALON,MATCH(Tabla557215[[#This Row],[Equipo ]],LISTA_MAQUINARIA,0)))</f>
        <v/>
      </c>
      <c r="AS45" s="10"/>
      <c r="AT45" s="165" t="str">
        <f>IF(Tabla557215[[#This Row],[Equipo ]]="","",Tabla557215[[#This Row],[Valor mensual]]+Tabla557215[[#This Row],[Combustible Hora ]]*Tabla557215[[#This Row],[Valor galon]]*Tabla557215[[#This Row],[Horas mes]])</f>
        <v/>
      </c>
      <c r="AU45" s="168" t="str">
        <f>IF(Tabla557215[[#This Row],[Valor mensual + Combustible]]="","",Tabla557215[[#This Row],[Valor mensual + Combustible]]*Tabla557215[[#This Row],[Cantidad]])</f>
        <v/>
      </c>
      <c r="AX45" s="9"/>
      <c r="AY45" s="10"/>
      <c r="AZ45" s="165" t="str">
        <f>IF(Tabla560218[[#This Row],[Equipo ]]="","",INDEX(V_MENSUAL,MATCH(Tabla560218[[#This Row],[Equipo ]],LISTA_MAQUINARIA,0)))</f>
        <v/>
      </c>
      <c r="BA45" s="12" t="str">
        <f>IF(Tabla560218[[#This Row],[Equipo ]]="","",INDEX(CONSUMO_COMBUSTIBLE_H,MATCH(Tabla560218[[#This Row],[Equipo ]],LISTA_MAQUINARIA,0)))</f>
        <v/>
      </c>
      <c r="BB45" s="166" t="str">
        <f>IF(Tabla560218[[#This Row],[Equipo ]]="","",INDEX(V_GALON,MATCH(Tabla560218[[#This Row],[Equipo ]],LISTA_MAQUINARIA,0)))</f>
        <v/>
      </c>
      <c r="BC45" s="10"/>
      <c r="BD45" s="165" t="str">
        <f>IF(Tabla560218[[#This Row],[Equipo ]]="","",Tabla560218[[#This Row],[Valor mensual]]+Tabla560218[[#This Row],[Combustible Hora ]]*Tabla560218[[#This Row],[Valor galon]]*Tabla560218[[#This Row],[Horas mes]])</f>
        <v/>
      </c>
      <c r="BE45" s="168" t="str">
        <f>IF(Tabla560218[[#This Row],[Valor mensual + Combustible]]="","",Tabla560218[[#This Row],[Valor mensual + Combustible]]*Tabla560218[[#This Row],[Cantidad]])</f>
        <v/>
      </c>
      <c r="BH45" s="9"/>
      <c r="BI45" s="10"/>
      <c r="BJ45" s="165" t="str">
        <f>IF(Tabla563221[[#This Row],[Equipo ]]="","",INDEX(V_MENSUAL,MATCH(Tabla563221[[#This Row],[Equipo ]],LISTA_MAQUINARIA,0)))</f>
        <v/>
      </c>
      <c r="BK45" s="12" t="str">
        <f>IF(Tabla563221[[#This Row],[Equipo ]]="","",INDEX(CONSUMO_COMBUSTIBLE_H,MATCH(Tabla563221[[#This Row],[Equipo ]],LISTA_MAQUINARIA,0)))</f>
        <v/>
      </c>
      <c r="BL45" s="166" t="str">
        <f>IF(Tabla563221[[#This Row],[Equipo ]]="","",INDEX(V_GALON,MATCH(Tabla563221[[#This Row],[Equipo ]],LISTA_MAQUINARIA,0)))</f>
        <v/>
      </c>
      <c r="BM45" s="10"/>
      <c r="BN45" s="165" t="str">
        <f>IF(Tabla563221[[#This Row],[Equipo ]]="","",Tabla563221[[#This Row],[Valor mensual]]+Tabla563221[[#This Row],[Combustible Hora ]]*Tabla563221[[#This Row],[Valor galon]]*Tabla563221[[#This Row],[Horas mes]])</f>
        <v/>
      </c>
      <c r="BO45" s="168" t="str">
        <f>IF(Tabla563221[[#This Row],[Valor mensual + Combustible]]="","",Tabla563221[[#This Row],[Valor mensual + Combustible]]*Tabla563221[[#This Row],[Cantidad]])</f>
        <v/>
      </c>
      <c r="BR45" s="9"/>
      <c r="BS45" s="10"/>
      <c r="BT45" s="165" t="str">
        <f>IF(Tabla566224[[#This Row],[Equipo ]]="","",INDEX(V_MENSUAL,MATCH(Tabla566224[[#This Row],[Equipo ]],LISTA_MAQUINARIA,0)))</f>
        <v/>
      </c>
      <c r="BU45" s="12" t="str">
        <f>IF(Tabla566224[[#This Row],[Equipo ]]="","",INDEX(CONSUMO_COMBUSTIBLE_H,MATCH(Tabla566224[[#This Row],[Equipo ]],LISTA_MAQUINARIA,0)))</f>
        <v/>
      </c>
      <c r="BV45" s="166" t="str">
        <f>IF(Tabla566224[[#This Row],[Equipo ]]="","",INDEX(V_GALON,MATCH(Tabla566224[[#This Row],[Equipo ]],LISTA_MAQUINARIA,0)))</f>
        <v/>
      </c>
      <c r="BW45" s="10"/>
      <c r="BX45" s="165" t="str">
        <f>IF(Tabla566224[[#This Row],[Equipo ]]="","",Tabla566224[[#This Row],[Valor mensual]]+Tabla566224[[#This Row],[Combustible Hora ]]*Tabla566224[[#This Row],[Valor galon]]*Tabla566224[[#This Row],[Horas mes]])</f>
        <v/>
      </c>
      <c r="BY45" s="168" t="str">
        <f>IF(Tabla566224[[#This Row],[Valor mensual + Combustible]]="","",Tabla566224[[#This Row],[Valor mensual + Combustible]]*Tabla566224[[#This Row],[Cantidad]])</f>
        <v/>
      </c>
      <c r="CB45" s="9"/>
      <c r="CC45" s="10"/>
      <c r="CD45" s="165" t="str">
        <f>IF(Tabla569227[[#This Row],[Equipo ]]="","",INDEX(V_MENSUAL,MATCH(Tabla569227[[#This Row],[Equipo ]],LISTA_MAQUINARIA,0)))</f>
        <v/>
      </c>
      <c r="CE45" s="12" t="str">
        <f>IF(Tabla569227[[#This Row],[Equipo ]]="","",INDEX(CONSUMO_COMBUSTIBLE_H,MATCH(Tabla569227[[#This Row],[Equipo ]],LISTA_MAQUINARIA,0)))</f>
        <v/>
      </c>
      <c r="CF45" s="166" t="str">
        <f>IF(Tabla569227[[#This Row],[Equipo ]]="","",INDEX(V_GALON,MATCH(Tabla569227[[#This Row],[Equipo ]],LISTA_MAQUINARIA,0)))</f>
        <v/>
      </c>
      <c r="CG45" s="10"/>
      <c r="CH45" s="165" t="str">
        <f>IF(Tabla569227[[#This Row],[Equipo ]]="","",Tabla569227[[#This Row],[Valor mensual]]+Tabla569227[[#This Row],[Combustible Hora ]]*Tabla569227[[#This Row],[Valor galon]]*Tabla569227[[#This Row],[Horas mes]])</f>
        <v/>
      </c>
      <c r="CI45" s="168" t="str">
        <f>IF(Tabla569227[[#This Row],[Valor mensual + Combustible]]="","",Tabla569227[[#This Row],[Valor mensual + Combustible]]*Tabla569227[[#This Row],[Cantidad]])</f>
        <v/>
      </c>
      <c r="CL45" s="9"/>
      <c r="CM45" s="10"/>
      <c r="CN45" s="165" t="str">
        <f>IF(Tabla572230[[#This Row],[Equipo ]]="","",INDEX(V_MENSUAL,MATCH(Tabla572230[[#This Row],[Equipo ]],LISTA_MAQUINARIA,0)))</f>
        <v/>
      </c>
      <c r="CO45" s="12" t="str">
        <f>IF(Tabla572230[[#This Row],[Equipo ]]="","",INDEX(CONSUMO_COMBUSTIBLE_H,MATCH(Tabla572230[[#This Row],[Equipo ]],LISTA_MAQUINARIA,0)))</f>
        <v/>
      </c>
      <c r="CP45" s="166" t="str">
        <f>IF(Tabla572230[[#This Row],[Equipo ]]="","",INDEX(V_GALON,MATCH(Tabla572230[[#This Row],[Equipo ]],LISTA_MAQUINARIA,0)))</f>
        <v/>
      </c>
      <c r="CQ45" s="10"/>
      <c r="CR45" s="165" t="str">
        <f>IF(Tabla572230[[#This Row],[Equipo ]]="","",Tabla572230[[#This Row],[Valor mensual]]+Tabla572230[[#This Row],[Combustible Hora ]]*Tabla572230[[#This Row],[Valor galon]]*Tabla572230[[#This Row],[Horas mes]])</f>
        <v/>
      </c>
      <c r="CS45" s="168" t="str">
        <f>IF(Tabla572230[[#This Row],[Valor mensual + Combustible]]="","",Tabla572230[[#This Row],[Valor mensual + Combustible]]*Tabla572230[[#This Row],[Cantidad]])</f>
        <v/>
      </c>
      <c r="CV45" s="9"/>
      <c r="CW45" s="10"/>
      <c r="CX45" s="165" t="str">
        <f>IF(Tabla575233[[#This Row],[Equipo ]]="","",INDEX(V_MENSUAL,MATCH(Tabla575233[[#This Row],[Equipo ]],LISTA_MAQUINARIA,0)))</f>
        <v/>
      </c>
      <c r="CY45" s="12" t="str">
        <f>IF(Tabla575233[[#This Row],[Equipo ]]="","",INDEX(CONSUMO_COMBUSTIBLE_H,MATCH(Tabla575233[[#This Row],[Equipo ]],LISTA_MAQUINARIA,0)))</f>
        <v/>
      </c>
      <c r="CZ45" s="166" t="str">
        <f>IF(Tabla575233[[#This Row],[Equipo ]]="","",INDEX(V_GALON,MATCH(Tabla575233[[#This Row],[Equipo ]],LISTA_MAQUINARIA,0)))</f>
        <v/>
      </c>
      <c r="DA45" s="10"/>
      <c r="DB45" s="165" t="str">
        <f>IF(Tabla575233[[#This Row],[Equipo ]]="","",Tabla575233[[#This Row],[Valor mensual]]+Tabla575233[[#This Row],[Combustible Hora ]]*Tabla575233[[#This Row],[Valor galon]]*Tabla575233[[#This Row],[Horas mes]])</f>
        <v/>
      </c>
      <c r="DC45" s="168" t="str">
        <f>IF(Tabla575233[[#This Row],[Valor mensual + Combustible]]="","",Tabla575233[[#This Row],[Valor mensual + Combustible]]*Tabla575233[[#This Row],[Cantidad]])</f>
        <v/>
      </c>
      <c r="DF45" s="9"/>
      <c r="DG45" s="10"/>
      <c r="DH45" s="165" t="str">
        <f>IF(Tabla578236[[#This Row],[Equipo ]]="","",INDEX(V_MENSUAL,MATCH(Tabla578236[[#This Row],[Equipo ]],LISTA_MAQUINARIA,0)))</f>
        <v/>
      </c>
      <c r="DI45" s="12" t="str">
        <f>IF(Tabla578236[[#This Row],[Equipo ]]="","",INDEX(CONSUMO_COMBUSTIBLE_H,MATCH(Tabla578236[[#This Row],[Equipo ]],LISTA_MAQUINARIA,0)))</f>
        <v/>
      </c>
      <c r="DJ45" s="166" t="str">
        <f>IF(Tabla578236[[#This Row],[Equipo ]]="","",INDEX(V_GALON,MATCH(Tabla578236[[#This Row],[Equipo ]],LISTA_MAQUINARIA,0)))</f>
        <v/>
      </c>
      <c r="DK45" s="10"/>
      <c r="DL45" s="165" t="str">
        <f>IF(Tabla578236[[#This Row],[Equipo ]]="","",Tabla578236[[#This Row],[Valor mensual]]+Tabla578236[[#This Row],[Combustible Hora ]]*Tabla578236[[#This Row],[Valor galon]]*Tabla578236[[#This Row],[Horas mes]])</f>
        <v/>
      </c>
      <c r="DM45" s="168" t="str">
        <f>IF(Tabla578236[[#This Row],[Valor mensual + Combustible]]="","",Tabla578236[[#This Row],[Valor mensual + Combustible]]*Tabla578236[[#This Row],[Cantidad]])</f>
        <v/>
      </c>
      <c r="DP45" s="9"/>
      <c r="DQ45" s="10"/>
      <c r="DR45" s="165" t="str">
        <f>IF(Tabla581239[[#This Row],[Equipo ]]="","",INDEX(V_MENSUAL,MATCH(Tabla581239[[#This Row],[Equipo ]],LISTA_MAQUINARIA,0)))</f>
        <v/>
      </c>
      <c r="DS45" s="12" t="str">
        <f>IF(Tabla581239[[#This Row],[Equipo ]]="","",INDEX(CONSUMO_COMBUSTIBLE_H,MATCH(Tabla581239[[#This Row],[Equipo ]],LISTA_MAQUINARIA,0)))</f>
        <v/>
      </c>
      <c r="DT45" s="166" t="str">
        <f>IF(Tabla581239[[#This Row],[Equipo ]]="","",INDEX(V_GALON,MATCH(Tabla581239[[#This Row],[Equipo ]],LISTA_MAQUINARIA,0)))</f>
        <v/>
      </c>
      <c r="DU45" s="10"/>
      <c r="DV45" s="165" t="str">
        <f>IF(Tabla581239[[#This Row],[Equipo ]]="","",Tabla581239[[#This Row],[Valor mensual]]+Tabla581239[[#This Row],[Combustible Hora ]]*Tabla581239[[#This Row],[Valor galon]]*Tabla581239[[#This Row],[Horas mes]])</f>
        <v/>
      </c>
      <c r="DW45" s="168" t="str">
        <f>IF(Tabla581239[[#This Row],[Valor mensual + Combustible]]="","",Tabla581239[[#This Row],[Valor mensual + Combustible]]*Tabla581239[[#This Row],[Cantidad]])</f>
        <v/>
      </c>
      <c r="DZ45" s="9"/>
      <c r="EA45" s="10"/>
      <c r="EB45" s="165" t="str">
        <f>IF(Tabla584242[[#This Row],[Equipo ]]="","",INDEX(V_MENSUAL,MATCH(Tabla584242[[#This Row],[Equipo ]],LISTA_MAQUINARIA,0)))</f>
        <v/>
      </c>
      <c r="EC45" s="12" t="str">
        <f>IF(Tabla584242[[#This Row],[Equipo ]]="","",INDEX(CONSUMO_COMBUSTIBLE_H,MATCH(Tabla584242[[#This Row],[Equipo ]],LISTA_MAQUINARIA,0)))</f>
        <v/>
      </c>
      <c r="ED45" s="166" t="str">
        <f>IF(Tabla584242[[#This Row],[Equipo ]]="","",INDEX(V_GALON,MATCH(Tabla584242[[#This Row],[Equipo ]],LISTA_MAQUINARIA,0)))</f>
        <v/>
      </c>
      <c r="EE45" s="10"/>
      <c r="EF45" s="165" t="str">
        <f>IF(Tabla584242[[#This Row],[Equipo ]]="","",Tabla584242[[#This Row],[Valor mensual]]+Tabla584242[[#This Row],[Combustible Hora ]]*Tabla584242[[#This Row],[Valor galon]]*Tabla584242[[#This Row],[Horas mes]])</f>
        <v/>
      </c>
      <c r="EG45" s="168" t="str">
        <f>IF(Tabla584242[[#This Row],[Valor mensual + Combustible]]="","",Tabla584242[[#This Row],[Valor mensual + Combustible]]*Tabla584242[[#This Row],[Cantidad]])</f>
        <v/>
      </c>
      <c r="EJ45" s="9"/>
      <c r="EK45" s="10"/>
      <c r="EL45" s="165" t="str">
        <f>IF(Tabla587245[[#This Row],[Equipo ]]="","",INDEX(V_MENSUAL,MATCH(Tabla587245[[#This Row],[Equipo ]],LISTA_MAQUINARIA,0)))</f>
        <v/>
      </c>
      <c r="EM45" s="12" t="str">
        <f>IF(Tabla587245[[#This Row],[Equipo ]]="","",INDEX(CONSUMO_COMBUSTIBLE_H,MATCH(Tabla587245[[#This Row],[Equipo ]],LISTA_MAQUINARIA,0)))</f>
        <v/>
      </c>
      <c r="EN45" s="166" t="str">
        <f>IF(Tabla587245[[#This Row],[Equipo ]]="","",INDEX(V_GALON,MATCH(Tabla587245[[#This Row],[Equipo ]],LISTA_MAQUINARIA,0)))</f>
        <v/>
      </c>
      <c r="EO45" s="10"/>
      <c r="EP45" s="165" t="str">
        <f>IF(Tabla587245[[#This Row],[Equipo ]]="","",Tabla587245[[#This Row],[Valor mensual]]+Tabla587245[[#This Row],[Combustible Hora ]]*Tabla587245[[#This Row],[Valor galon]]*Tabla587245[[#This Row],[Horas mes]])</f>
        <v/>
      </c>
      <c r="EQ45" s="168" t="str">
        <f>IF(Tabla587245[[#This Row],[Valor mensual + Combustible]]="","",Tabla587245[[#This Row],[Valor mensual + Combustible]]*Tabla587245[[#This Row],[Cantidad]])</f>
        <v/>
      </c>
      <c r="ET45" s="9"/>
      <c r="EU45" s="10"/>
      <c r="EV45" s="165" t="str">
        <f>IF(Tabla590248[[#This Row],[Equipo ]]="","",INDEX(V_MENSUAL,MATCH(Tabla590248[[#This Row],[Equipo ]],LISTA_MAQUINARIA,0)))</f>
        <v/>
      </c>
      <c r="EW45" s="12" t="str">
        <f>IF(Tabla590248[[#This Row],[Equipo ]]="","",INDEX(CONSUMO_COMBUSTIBLE_H,MATCH(Tabla590248[[#This Row],[Equipo ]],LISTA_MAQUINARIA,0)))</f>
        <v/>
      </c>
      <c r="EX45" s="166" t="str">
        <f>IF(Tabla590248[[#This Row],[Equipo ]]="","",INDEX(V_GALON,MATCH(Tabla590248[[#This Row],[Equipo ]],LISTA_MAQUINARIA,0)))</f>
        <v/>
      </c>
      <c r="EY45" s="10"/>
      <c r="EZ45" s="165" t="str">
        <f>IF(Tabla590248[[#This Row],[Equipo ]]="","",Tabla590248[[#This Row],[Valor mensual]]+Tabla590248[[#This Row],[Combustible Hora ]]*Tabla590248[[#This Row],[Valor galon]]*Tabla590248[[#This Row],[Horas mes]])</f>
        <v/>
      </c>
      <c r="FA45" s="168" t="str">
        <f>IF(Tabla590248[[#This Row],[Valor mensual + Combustible]]="","",Tabla590248[[#This Row],[Valor mensual + Combustible]]*Tabla590248[[#This Row],[Cantidad]])</f>
        <v/>
      </c>
      <c r="FD45" s="9"/>
      <c r="FE45" s="10"/>
      <c r="FF45" s="165" t="str">
        <f>IF(Tabla593251[[#This Row],[Equipo ]]="","",INDEX(V_MENSUAL,MATCH(Tabla593251[[#This Row],[Equipo ]],LISTA_MAQUINARIA,0)))</f>
        <v/>
      </c>
      <c r="FG45" s="12" t="str">
        <f>IF(Tabla593251[[#This Row],[Equipo ]]="","",INDEX(CONSUMO_COMBUSTIBLE_H,MATCH(Tabla593251[[#This Row],[Equipo ]],LISTA_MAQUINARIA,0)))</f>
        <v/>
      </c>
      <c r="FH45" s="166" t="str">
        <f>IF(Tabla593251[[#This Row],[Equipo ]]="","",INDEX(V_GALON,MATCH(Tabla593251[[#This Row],[Equipo ]],LISTA_MAQUINARIA,0)))</f>
        <v/>
      </c>
      <c r="FI45" s="10"/>
      <c r="FJ45" s="165" t="str">
        <f>IF(Tabla593251[[#This Row],[Equipo ]]="","",Tabla593251[[#This Row],[Valor mensual]]+Tabla593251[[#This Row],[Combustible Hora ]]*Tabla593251[[#This Row],[Valor galon]]*Tabla593251[[#This Row],[Horas mes]])</f>
        <v/>
      </c>
      <c r="FK45" s="168" t="str">
        <f>IF(Tabla593251[[#This Row],[Valor mensual + Combustible]]="","",Tabla593251[[#This Row],[Valor mensual + Combustible]]*Tabla593251[[#This Row],[Cantidad]])</f>
        <v/>
      </c>
      <c r="FN45" s="9"/>
      <c r="FO45" s="10"/>
      <c r="FP45" s="165" t="str">
        <f>IF(Tabla596254[[#This Row],[Equipo ]]="","",INDEX(V_MENSUAL,MATCH(Tabla596254[[#This Row],[Equipo ]],LISTA_MAQUINARIA,0)))</f>
        <v/>
      </c>
      <c r="FQ45" s="12" t="str">
        <f>IF(Tabla596254[[#This Row],[Equipo ]]="","",INDEX(CONSUMO_COMBUSTIBLE_H,MATCH(Tabla596254[[#This Row],[Equipo ]],LISTA_MAQUINARIA,0)))</f>
        <v/>
      </c>
      <c r="FR45" s="166" t="str">
        <f>IF(Tabla596254[[#This Row],[Equipo ]]="","",INDEX(V_GALON,MATCH(Tabla596254[[#This Row],[Equipo ]],LISTA_MAQUINARIA,0)))</f>
        <v/>
      </c>
      <c r="FS45" s="10"/>
      <c r="FT45" s="165" t="str">
        <f>IF(Tabla596254[[#This Row],[Equipo ]]="","",Tabla596254[[#This Row],[Valor mensual]]+Tabla596254[[#This Row],[Combustible Hora ]]*Tabla596254[[#This Row],[Valor galon]]*Tabla596254[[#This Row],[Horas mes]])</f>
        <v/>
      </c>
      <c r="FU45" s="168" t="str">
        <f>IF(Tabla596254[[#This Row],[Valor mensual + Combustible]]="","",Tabla596254[[#This Row],[Valor mensual + Combustible]]*Tabla596254[[#This Row],[Cantidad]])</f>
        <v/>
      </c>
    </row>
    <row r="46" spans="1:177" x14ac:dyDescent="0.3">
      <c r="A46" s="9" t="s">
        <v>499</v>
      </c>
      <c r="B46" s="10">
        <v>1</v>
      </c>
      <c r="C46" s="165">
        <f>IF(Tabla5203[[#This Row],[Equipo ]]="","",INDEX(V_MENSUAL,MATCH(Tabla5203[[#This Row],[Equipo ]],LISTA_MAQUINARIA,0)))</f>
        <v>1400000</v>
      </c>
      <c r="D46" s="12">
        <f>IF(Tabla5203[[#This Row],[Equipo ]]="","",INDEX(CONSUMO_COMBUSTIBLE_H,MATCH(Tabla5203[[#This Row],[Equipo ]],LISTA_MAQUINARIA,0)))</f>
        <v>0</v>
      </c>
      <c r="E46" s="166">
        <f>IF(Tabla5203[[#This Row],[Equipo ]]="","",INDEX(V_GALON,MATCH(Tabla5203[[#This Row],[Equipo ]],LISTA_MAQUINARIA,0)))</f>
        <v>10800</v>
      </c>
      <c r="F46" s="10"/>
      <c r="G46" s="165">
        <f>IF(Tabla5203[[#This Row],[Equipo ]]="","",Tabla5203[[#This Row],[Valor mensual]]+Tabla5203[[#This Row],[Combustible Hora ]]*Tabla5203[[#This Row],[Valor galon]]*Tabla5203[[#This Row],[Horas mes]])</f>
        <v>1400000</v>
      </c>
      <c r="H46" s="168">
        <f>IF(Tabla5203[[#This Row],[Valor mensual + Combustible]]="","",Tabla5203[[#This Row],[Valor mensual + Combustible]]*Tabla5203[[#This Row],[Cantidad]])</f>
        <v>1400000</v>
      </c>
      <c r="K46" s="9" t="s">
        <v>499</v>
      </c>
      <c r="L46" s="10">
        <v>1</v>
      </c>
      <c r="M46" s="165" cm="1">
        <f t="array" ref="M46">IF(Tabla548206[[#This Row],[Equipo ]]="","",INDEX(V_MENSUAL,MATCH(Tabla548206[[#This Row],[Equipo ]],LISTA_MAQUINARIA,0)))</f>
        <v>1400000</v>
      </c>
      <c r="N46" s="12">
        <f>IF(Tabla548206[[#This Row],[Equipo ]]="","",INDEX(CONSUMO_COMBUSTIBLE_H,MATCH(Tabla548206[[#This Row],[Equipo ]],LISTA_MAQUINARIA,0)))</f>
        <v>0</v>
      </c>
      <c r="O46" s="166">
        <f>IF(Tabla548206[[#This Row],[Equipo ]]="","",INDEX(V_GALON,MATCH(Tabla548206[[#This Row],[Equipo ]],LISTA_MAQUINARIA,0)))</f>
        <v>10800</v>
      </c>
      <c r="P46" s="10"/>
      <c r="Q46" s="165">
        <f>IF(Tabla548206[[#This Row],[Equipo ]]="","",Tabla548206[[#This Row],[Valor mensual]]+Tabla548206[[#This Row],[Combustible Hora ]]*Tabla548206[[#This Row],[Valor galon]]*Tabla548206[[#This Row],[Horas mes]])</f>
        <v>1400000</v>
      </c>
      <c r="R46" s="168">
        <f>IF(Tabla548206[[#This Row],[Valor mensual + Combustible]]="","",Tabla548206[[#This Row],[Valor mensual + Combustible]]*Tabla548206[[#This Row],[Cantidad]])</f>
        <v>1400000</v>
      </c>
      <c r="U46" s="9" t="s">
        <v>499</v>
      </c>
      <c r="V46" s="10">
        <v>1</v>
      </c>
      <c r="W46" s="165">
        <f>IF(Tabla551209[[#This Row],[Equipo ]]="","",INDEX(V_MENSUAL,MATCH(Tabla551209[[#This Row],[Equipo ]],LISTA_MAQUINARIA,0)))</f>
        <v>1400000</v>
      </c>
      <c r="X46" s="12">
        <f>IF(Tabla551209[[#This Row],[Equipo ]]="","",INDEX(CONSUMO_COMBUSTIBLE_H,MATCH(Tabla551209[[#This Row],[Equipo ]],LISTA_MAQUINARIA,0)))</f>
        <v>0</v>
      </c>
      <c r="Y46" s="166">
        <f>IF(Tabla551209[[#This Row],[Equipo ]]="","",INDEX(V_GALON,MATCH(Tabla551209[[#This Row],[Equipo ]],LISTA_MAQUINARIA,0)))</f>
        <v>10800</v>
      </c>
      <c r="Z46" s="10"/>
      <c r="AA46" s="165">
        <f>IF(Tabla551209[[#This Row],[Equipo ]]="","",Tabla551209[[#This Row],[Valor mensual]]+Tabla551209[[#This Row],[Combustible Hora ]]*Tabla551209[[#This Row],[Valor galon]]*Tabla551209[[#This Row],[Horas mes]])</f>
        <v>1400000</v>
      </c>
      <c r="AB46" s="168">
        <f>IF(Tabla551209[[#This Row],[Valor mensual + Combustible]]="","",Tabla551209[[#This Row],[Valor mensual + Combustible]]*Tabla551209[[#This Row],[Cantidad]])</f>
        <v>1400000</v>
      </c>
      <c r="AD46" s="9" t="s">
        <v>499</v>
      </c>
      <c r="AE46" s="10">
        <v>1</v>
      </c>
      <c r="AF46" s="165">
        <f>IF(Tabla554212[[#This Row],[Equipo ]]="","",INDEX(V_MENSUAL,MATCH(Tabla554212[[#This Row],[Equipo ]],LISTA_MAQUINARIA,0)))</f>
        <v>1400000</v>
      </c>
      <c r="AG46" s="12">
        <f>IF(Tabla554212[[#This Row],[Equipo ]]="","",INDEX(CONSUMO_COMBUSTIBLE_H,MATCH(Tabla554212[[#This Row],[Equipo ]],LISTA_MAQUINARIA,0)))</f>
        <v>0</v>
      </c>
      <c r="AH46" s="166">
        <f>IF(Tabla554212[[#This Row],[Equipo ]]="","",INDEX(V_GALON,MATCH(Tabla554212[[#This Row],[Equipo ]],LISTA_MAQUINARIA,0)))</f>
        <v>10800</v>
      </c>
      <c r="AI46" s="10"/>
      <c r="AJ46" s="165">
        <f>IF(Tabla554212[[#This Row],[Equipo ]]="","",Tabla554212[[#This Row],[Valor mensual]]+Tabla554212[[#This Row],[Combustible Hora ]]*Tabla554212[[#This Row],[Valor galon]]*Tabla554212[[#This Row],[Horas mes]])</f>
        <v>1400000</v>
      </c>
      <c r="AK46" s="168">
        <f>IF(Tabla554212[[#This Row],[Valor mensual + Combustible]]="","",Tabla554212[[#This Row],[Valor mensual + Combustible]]*Tabla554212[[#This Row],[Cantidad]])</f>
        <v>1400000</v>
      </c>
      <c r="AN46" s="9"/>
      <c r="AO46" s="10"/>
      <c r="AP46" s="165" t="str">
        <f>IF(Tabla557215[[#This Row],[Equipo ]]="","",INDEX(V_MENSUAL,MATCH(Tabla557215[[#This Row],[Equipo ]],LISTA_MAQUINARIA,0)))</f>
        <v/>
      </c>
      <c r="AQ46" s="12" t="str">
        <f>IF(Tabla557215[[#This Row],[Equipo ]]="","",INDEX(CONSUMO_COMBUSTIBLE_H,MATCH(Tabla557215[[#This Row],[Equipo ]],LISTA_MAQUINARIA,0)))</f>
        <v/>
      </c>
      <c r="AR46" s="166" t="str">
        <f>IF(Tabla557215[[#This Row],[Equipo ]]="","",INDEX(V_GALON,MATCH(Tabla557215[[#This Row],[Equipo ]],LISTA_MAQUINARIA,0)))</f>
        <v/>
      </c>
      <c r="AS46" s="10"/>
      <c r="AT46" s="165" t="str">
        <f>IF(Tabla557215[[#This Row],[Equipo ]]="","",Tabla557215[[#This Row],[Valor mensual]]+Tabla557215[[#This Row],[Combustible Hora ]]*Tabla557215[[#This Row],[Valor galon]]*Tabla557215[[#This Row],[Horas mes]])</f>
        <v/>
      </c>
      <c r="AU46" s="168" t="str">
        <f>IF(Tabla557215[[#This Row],[Valor mensual + Combustible]]="","",Tabla557215[[#This Row],[Valor mensual + Combustible]]*Tabla557215[[#This Row],[Cantidad]])</f>
        <v/>
      </c>
      <c r="AX46" s="9"/>
      <c r="AY46" s="10"/>
      <c r="AZ46" s="165" t="str">
        <f>IF(Tabla560218[[#This Row],[Equipo ]]="","",INDEX(V_MENSUAL,MATCH(Tabla560218[[#This Row],[Equipo ]],LISTA_MAQUINARIA,0)))</f>
        <v/>
      </c>
      <c r="BA46" s="12" t="str">
        <f>IF(Tabla560218[[#This Row],[Equipo ]]="","",INDEX(CONSUMO_COMBUSTIBLE_H,MATCH(Tabla560218[[#This Row],[Equipo ]],LISTA_MAQUINARIA,0)))</f>
        <v/>
      </c>
      <c r="BB46" s="166" t="str">
        <f>IF(Tabla560218[[#This Row],[Equipo ]]="","",INDEX(V_GALON,MATCH(Tabla560218[[#This Row],[Equipo ]],LISTA_MAQUINARIA,0)))</f>
        <v/>
      </c>
      <c r="BC46" s="10"/>
      <c r="BD46" s="165" t="str">
        <f>IF(Tabla560218[[#This Row],[Equipo ]]="","",Tabla560218[[#This Row],[Valor mensual]]+Tabla560218[[#This Row],[Combustible Hora ]]*Tabla560218[[#This Row],[Valor galon]]*Tabla560218[[#This Row],[Horas mes]])</f>
        <v/>
      </c>
      <c r="BE46" s="168" t="str">
        <f>IF(Tabla560218[[#This Row],[Valor mensual + Combustible]]="","",Tabla560218[[#This Row],[Valor mensual + Combustible]]*Tabla560218[[#This Row],[Cantidad]])</f>
        <v/>
      </c>
      <c r="BH46" s="9"/>
      <c r="BI46" s="10"/>
      <c r="BJ46" s="165" t="str">
        <f>IF(Tabla563221[[#This Row],[Equipo ]]="","",INDEX(V_MENSUAL,MATCH(Tabla563221[[#This Row],[Equipo ]],LISTA_MAQUINARIA,0)))</f>
        <v/>
      </c>
      <c r="BK46" s="12" t="str">
        <f>IF(Tabla563221[[#This Row],[Equipo ]]="","",INDEX(CONSUMO_COMBUSTIBLE_H,MATCH(Tabla563221[[#This Row],[Equipo ]],LISTA_MAQUINARIA,0)))</f>
        <v/>
      </c>
      <c r="BL46" s="166" t="str">
        <f>IF(Tabla563221[[#This Row],[Equipo ]]="","",INDEX(V_GALON,MATCH(Tabla563221[[#This Row],[Equipo ]],LISTA_MAQUINARIA,0)))</f>
        <v/>
      </c>
      <c r="BM46" s="10"/>
      <c r="BN46" s="165" t="str">
        <f>IF(Tabla563221[[#This Row],[Equipo ]]="","",Tabla563221[[#This Row],[Valor mensual]]+Tabla563221[[#This Row],[Combustible Hora ]]*Tabla563221[[#This Row],[Valor galon]]*Tabla563221[[#This Row],[Horas mes]])</f>
        <v/>
      </c>
      <c r="BO46" s="168" t="str">
        <f>IF(Tabla563221[[#This Row],[Valor mensual + Combustible]]="","",Tabla563221[[#This Row],[Valor mensual + Combustible]]*Tabla563221[[#This Row],[Cantidad]])</f>
        <v/>
      </c>
      <c r="BR46" s="9"/>
      <c r="BS46" s="10"/>
      <c r="BT46" s="165" t="str">
        <f>IF(Tabla566224[[#This Row],[Equipo ]]="","",INDEX(V_MENSUAL,MATCH(Tabla566224[[#This Row],[Equipo ]],LISTA_MAQUINARIA,0)))</f>
        <v/>
      </c>
      <c r="BU46" s="12" t="str">
        <f>IF(Tabla566224[[#This Row],[Equipo ]]="","",INDEX(CONSUMO_COMBUSTIBLE_H,MATCH(Tabla566224[[#This Row],[Equipo ]],LISTA_MAQUINARIA,0)))</f>
        <v/>
      </c>
      <c r="BV46" s="166" t="str">
        <f>IF(Tabla566224[[#This Row],[Equipo ]]="","",INDEX(V_GALON,MATCH(Tabla566224[[#This Row],[Equipo ]],LISTA_MAQUINARIA,0)))</f>
        <v/>
      </c>
      <c r="BW46" s="10"/>
      <c r="BX46" s="165" t="str">
        <f>IF(Tabla566224[[#This Row],[Equipo ]]="","",Tabla566224[[#This Row],[Valor mensual]]+Tabla566224[[#This Row],[Combustible Hora ]]*Tabla566224[[#This Row],[Valor galon]]*Tabla566224[[#This Row],[Horas mes]])</f>
        <v/>
      </c>
      <c r="BY46" s="168" t="str">
        <f>IF(Tabla566224[[#This Row],[Valor mensual + Combustible]]="","",Tabla566224[[#This Row],[Valor mensual + Combustible]]*Tabla566224[[#This Row],[Cantidad]])</f>
        <v/>
      </c>
      <c r="CB46" s="9"/>
      <c r="CC46" s="10"/>
      <c r="CD46" s="165" t="str">
        <f>IF(Tabla569227[[#This Row],[Equipo ]]="","",INDEX(V_MENSUAL,MATCH(Tabla569227[[#This Row],[Equipo ]],LISTA_MAQUINARIA,0)))</f>
        <v/>
      </c>
      <c r="CE46" s="12" t="str">
        <f>IF(Tabla569227[[#This Row],[Equipo ]]="","",INDEX(CONSUMO_COMBUSTIBLE_H,MATCH(Tabla569227[[#This Row],[Equipo ]],LISTA_MAQUINARIA,0)))</f>
        <v/>
      </c>
      <c r="CF46" s="166" t="str">
        <f>IF(Tabla569227[[#This Row],[Equipo ]]="","",INDEX(V_GALON,MATCH(Tabla569227[[#This Row],[Equipo ]],LISTA_MAQUINARIA,0)))</f>
        <v/>
      </c>
      <c r="CG46" s="10"/>
      <c r="CH46" s="165" t="str">
        <f>IF(Tabla569227[[#This Row],[Equipo ]]="","",Tabla569227[[#This Row],[Valor mensual]]+Tabla569227[[#This Row],[Combustible Hora ]]*Tabla569227[[#This Row],[Valor galon]]*Tabla569227[[#This Row],[Horas mes]])</f>
        <v/>
      </c>
      <c r="CI46" s="168" t="str">
        <f>IF(Tabla569227[[#This Row],[Valor mensual + Combustible]]="","",Tabla569227[[#This Row],[Valor mensual + Combustible]]*Tabla569227[[#This Row],[Cantidad]])</f>
        <v/>
      </c>
      <c r="CL46" s="9"/>
      <c r="CM46" s="10"/>
      <c r="CN46" s="165" t="str">
        <f>IF(Tabla572230[[#This Row],[Equipo ]]="","",INDEX(V_MENSUAL,MATCH(Tabla572230[[#This Row],[Equipo ]],LISTA_MAQUINARIA,0)))</f>
        <v/>
      </c>
      <c r="CO46" s="12" t="str">
        <f>IF(Tabla572230[[#This Row],[Equipo ]]="","",INDEX(CONSUMO_COMBUSTIBLE_H,MATCH(Tabla572230[[#This Row],[Equipo ]],LISTA_MAQUINARIA,0)))</f>
        <v/>
      </c>
      <c r="CP46" s="166" t="str">
        <f>IF(Tabla572230[[#This Row],[Equipo ]]="","",INDEX(V_GALON,MATCH(Tabla572230[[#This Row],[Equipo ]],LISTA_MAQUINARIA,0)))</f>
        <v/>
      </c>
      <c r="CQ46" s="10"/>
      <c r="CR46" s="165" t="str">
        <f>IF(Tabla572230[[#This Row],[Equipo ]]="","",Tabla572230[[#This Row],[Valor mensual]]+Tabla572230[[#This Row],[Combustible Hora ]]*Tabla572230[[#This Row],[Valor galon]]*Tabla572230[[#This Row],[Horas mes]])</f>
        <v/>
      </c>
      <c r="CS46" s="168" t="str">
        <f>IF(Tabla572230[[#This Row],[Valor mensual + Combustible]]="","",Tabla572230[[#This Row],[Valor mensual + Combustible]]*Tabla572230[[#This Row],[Cantidad]])</f>
        <v/>
      </c>
      <c r="CV46" s="9"/>
      <c r="CW46" s="10"/>
      <c r="CX46" s="165" t="str">
        <f>IF(Tabla575233[[#This Row],[Equipo ]]="","",INDEX(V_MENSUAL,MATCH(Tabla575233[[#This Row],[Equipo ]],LISTA_MAQUINARIA,0)))</f>
        <v/>
      </c>
      <c r="CY46" s="12" t="str">
        <f>IF(Tabla575233[[#This Row],[Equipo ]]="","",INDEX(CONSUMO_COMBUSTIBLE_H,MATCH(Tabla575233[[#This Row],[Equipo ]],LISTA_MAQUINARIA,0)))</f>
        <v/>
      </c>
      <c r="CZ46" s="166" t="str">
        <f>IF(Tabla575233[[#This Row],[Equipo ]]="","",INDEX(V_GALON,MATCH(Tabla575233[[#This Row],[Equipo ]],LISTA_MAQUINARIA,0)))</f>
        <v/>
      </c>
      <c r="DA46" s="10"/>
      <c r="DB46" s="165" t="str">
        <f>IF(Tabla575233[[#This Row],[Equipo ]]="","",Tabla575233[[#This Row],[Valor mensual]]+Tabla575233[[#This Row],[Combustible Hora ]]*Tabla575233[[#This Row],[Valor galon]]*Tabla575233[[#This Row],[Horas mes]])</f>
        <v/>
      </c>
      <c r="DC46" s="168" t="str">
        <f>IF(Tabla575233[[#This Row],[Valor mensual + Combustible]]="","",Tabla575233[[#This Row],[Valor mensual + Combustible]]*Tabla575233[[#This Row],[Cantidad]])</f>
        <v/>
      </c>
      <c r="DF46" s="9"/>
      <c r="DG46" s="10"/>
      <c r="DH46" s="165" t="str">
        <f>IF(Tabla578236[[#This Row],[Equipo ]]="","",INDEX(V_MENSUAL,MATCH(Tabla578236[[#This Row],[Equipo ]],LISTA_MAQUINARIA,0)))</f>
        <v/>
      </c>
      <c r="DI46" s="12" t="str">
        <f>IF(Tabla578236[[#This Row],[Equipo ]]="","",INDEX(CONSUMO_COMBUSTIBLE_H,MATCH(Tabla578236[[#This Row],[Equipo ]],LISTA_MAQUINARIA,0)))</f>
        <v/>
      </c>
      <c r="DJ46" s="166" t="str">
        <f>IF(Tabla578236[[#This Row],[Equipo ]]="","",INDEX(V_GALON,MATCH(Tabla578236[[#This Row],[Equipo ]],LISTA_MAQUINARIA,0)))</f>
        <v/>
      </c>
      <c r="DK46" s="10"/>
      <c r="DL46" s="165" t="str">
        <f>IF(Tabla578236[[#This Row],[Equipo ]]="","",Tabla578236[[#This Row],[Valor mensual]]+Tabla578236[[#This Row],[Combustible Hora ]]*Tabla578236[[#This Row],[Valor galon]]*Tabla578236[[#This Row],[Horas mes]])</f>
        <v/>
      </c>
      <c r="DM46" s="168" t="str">
        <f>IF(Tabla578236[[#This Row],[Valor mensual + Combustible]]="","",Tabla578236[[#This Row],[Valor mensual + Combustible]]*Tabla578236[[#This Row],[Cantidad]])</f>
        <v/>
      </c>
      <c r="DP46" s="9"/>
      <c r="DQ46" s="10"/>
      <c r="DR46" s="165" t="str">
        <f>IF(Tabla581239[[#This Row],[Equipo ]]="","",INDEX(V_MENSUAL,MATCH(Tabla581239[[#This Row],[Equipo ]],LISTA_MAQUINARIA,0)))</f>
        <v/>
      </c>
      <c r="DS46" s="12" t="str">
        <f>IF(Tabla581239[[#This Row],[Equipo ]]="","",INDEX(CONSUMO_COMBUSTIBLE_H,MATCH(Tabla581239[[#This Row],[Equipo ]],LISTA_MAQUINARIA,0)))</f>
        <v/>
      </c>
      <c r="DT46" s="166" t="str">
        <f>IF(Tabla581239[[#This Row],[Equipo ]]="","",INDEX(V_GALON,MATCH(Tabla581239[[#This Row],[Equipo ]],LISTA_MAQUINARIA,0)))</f>
        <v/>
      </c>
      <c r="DU46" s="10"/>
      <c r="DV46" s="165" t="str">
        <f>IF(Tabla581239[[#This Row],[Equipo ]]="","",Tabla581239[[#This Row],[Valor mensual]]+Tabla581239[[#This Row],[Combustible Hora ]]*Tabla581239[[#This Row],[Valor galon]]*Tabla581239[[#This Row],[Horas mes]])</f>
        <v/>
      </c>
      <c r="DW46" s="168" t="str">
        <f>IF(Tabla581239[[#This Row],[Valor mensual + Combustible]]="","",Tabla581239[[#This Row],[Valor mensual + Combustible]]*Tabla581239[[#This Row],[Cantidad]])</f>
        <v/>
      </c>
      <c r="DZ46" s="9"/>
      <c r="EA46" s="10"/>
      <c r="EB46" s="165" t="str">
        <f>IF(Tabla584242[[#This Row],[Equipo ]]="","",INDEX(V_MENSUAL,MATCH(Tabla584242[[#This Row],[Equipo ]],LISTA_MAQUINARIA,0)))</f>
        <v/>
      </c>
      <c r="EC46" s="12" t="str">
        <f>IF(Tabla584242[[#This Row],[Equipo ]]="","",INDEX(CONSUMO_COMBUSTIBLE_H,MATCH(Tabla584242[[#This Row],[Equipo ]],LISTA_MAQUINARIA,0)))</f>
        <v/>
      </c>
      <c r="ED46" s="166" t="str">
        <f>IF(Tabla584242[[#This Row],[Equipo ]]="","",INDEX(V_GALON,MATCH(Tabla584242[[#This Row],[Equipo ]],LISTA_MAQUINARIA,0)))</f>
        <v/>
      </c>
      <c r="EE46" s="10"/>
      <c r="EF46" s="165" t="str">
        <f>IF(Tabla584242[[#This Row],[Equipo ]]="","",Tabla584242[[#This Row],[Valor mensual]]+Tabla584242[[#This Row],[Combustible Hora ]]*Tabla584242[[#This Row],[Valor galon]]*Tabla584242[[#This Row],[Horas mes]])</f>
        <v/>
      </c>
      <c r="EG46" s="168" t="str">
        <f>IF(Tabla584242[[#This Row],[Valor mensual + Combustible]]="","",Tabla584242[[#This Row],[Valor mensual + Combustible]]*Tabla584242[[#This Row],[Cantidad]])</f>
        <v/>
      </c>
      <c r="EJ46" s="9"/>
      <c r="EK46" s="10"/>
      <c r="EL46" s="165" t="str">
        <f>IF(Tabla587245[[#This Row],[Equipo ]]="","",INDEX(V_MENSUAL,MATCH(Tabla587245[[#This Row],[Equipo ]],LISTA_MAQUINARIA,0)))</f>
        <v/>
      </c>
      <c r="EM46" s="12" t="str">
        <f>IF(Tabla587245[[#This Row],[Equipo ]]="","",INDEX(CONSUMO_COMBUSTIBLE_H,MATCH(Tabla587245[[#This Row],[Equipo ]],LISTA_MAQUINARIA,0)))</f>
        <v/>
      </c>
      <c r="EN46" s="166" t="str">
        <f>IF(Tabla587245[[#This Row],[Equipo ]]="","",INDEX(V_GALON,MATCH(Tabla587245[[#This Row],[Equipo ]],LISTA_MAQUINARIA,0)))</f>
        <v/>
      </c>
      <c r="EO46" s="10"/>
      <c r="EP46" s="165" t="str">
        <f>IF(Tabla587245[[#This Row],[Equipo ]]="","",Tabla587245[[#This Row],[Valor mensual]]+Tabla587245[[#This Row],[Combustible Hora ]]*Tabla587245[[#This Row],[Valor galon]]*Tabla587245[[#This Row],[Horas mes]])</f>
        <v/>
      </c>
      <c r="EQ46" s="168" t="str">
        <f>IF(Tabla587245[[#This Row],[Valor mensual + Combustible]]="","",Tabla587245[[#This Row],[Valor mensual + Combustible]]*Tabla587245[[#This Row],[Cantidad]])</f>
        <v/>
      </c>
      <c r="ET46" s="9"/>
      <c r="EU46" s="10"/>
      <c r="EV46" s="165" t="str">
        <f>IF(Tabla590248[[#This Row],[Equipo ]]="","",INDEX(V_MENSUAL,MATCH(Tabla590248[[#This Row],[Equipo ]],LISTA_MAQUINARIA,0)))</f>
        <v/>
      </c>
      <c r="EW46" s="12" t="str">
        <f>IF(Tabla590248[[#This Row],[Equipo ]]="","",INDEX(CONSUMO_COMBUSTIBLE_H,MATCH(Tabla590248[[#This Row],[Equipo ]],LISTA_MAQUINARIA,0)))</f>
        <v/>
      </c>
      <c r="EX46" s="166" t="str">
        <f>IF(Tabla590248[[#This Row],[Equipo ]]="","",INDEX(V_GALON,MATCH(Tabla590248[[#This Row],[Equipo ]],LISTA_MAQUINARIA,0)))</f>
        <v/>
      </c>
      <c r="EY46" s="10"/>
      <c r="EZ46" s="165" t="str">
        <f>IF(Tabla590248[[#This Row],[Equipo ]]="","",Tabla590248[[#This Row],[Valor mensual]]+Tabla590248[[#This Row],[Combustible Hora ]]*Tabla590248[[#This Row],[Valor galon]]*Tabla590248[[#This Row],[Horas mes]])</f>
        <v/>
      </c>
      <c r="FA46" s="168" t="str">
        <f>IF(Tabla590248[[#This Row],[Valor mensual + Combustible]]="","",Tabla590248[[#This Row],[Valor mensual + Combustible]]*Tabla590248[[#This Row],[Cantidad]])</f>
        <v/>
      </c>
      <c r="FD46" s="9"/>
      <c r="FE46" s="10"/>
      <c r="FF46" s="165" t="str">
        <f>IF(Tabla593251[[#This Row],[Equipo ]]="","",INDEX(V_MENSUAL,MATCH(Tabla593251[[#This Row],[Equipo ]],LISTA_MAQUINARIA,0)))</f>
        <v/>
      </c>
      <c r="FG46" s="12" t="str">
        <f>IF(Tabla593251[[#This Row],[Equipo ]]="","",INDEX(CONSUMO_COMBUSTIBLE_H,MATCH(Tabla593251[[#This Row],[Equipo ]],LISTA_MAQUINARIA,0)))</f>
        <v/>
      </c>
      <c r="FH46" s="166" t="str">
        <f>IF(Tabla593251[[#This Row],[Equipo ]]="","",INDEX(V_GALON,MATCH(Tabla593251[[#This Row],[Equipo ]],LISTA_MAQUINARIA,0)))</f>
        <v/>
      </c>
      <c r="FI46" s="10"/>
      <c r="FJ46" s="165" t="str">
        <f>IF(Tabla593251[[#This Row],[Equipo ]]="","",Tabla593251[[#This Row],[Valor mensual]]+Tabla593251[[#This Row],[Combustible Hora ]]*Tabla593251[[#This Row],[Valor galon]]*Tabla593251[[#This Row],[Horas mes]])</f>
        <v/>
      </c>
      <c r="FK46" s="168" t="str">
        <f>IF(Tabla593251[[#This Row],[Valor mensual + Combustible]]="","",Tabla593251[[#This Row],[Valor mensual + Combustible]]*Tabla593251[[#This Row],[Cantidad]])</f>
        <v/>
      </c>
      <c r="FN46" s="9"/>
      <c r="FO46" s="10"/>
      <c r="FP46" s="165" t="str">
        <f>IF(Tabla596254[[#This Row],[Equipo ]]="","",INDEX(V_MENSUAL,MATCH(Tabla596254[[#This Row],[Equipo ]],LISTA_MAQUINARIA,0)))</f>
        <v/>
      </c>
      <c r="FQ46" s="12" t="str">
        <f>IF(Tabla596254[[#This Row],[Equipo ]]="","",INDEX(CONSUMO_COMBUSTIBLE_H,MATCH(Tabla596254[[#This Row],[Equipo ]],LISTA_MAQUINARIA,0)))</f>
        <v/>
      </c>
      <c r="FR46" s="166" t="str">
        <f>IF(Tabla596254[[#This Row],[Equipo ]]="","",INDEX(V_GALON,MATCH(Tabla596254[[#This Row],[Equipo ]],LISTA_MAQUINARIA,0)))</f>
        <v/>
      </c>
      <c r="FS46" s="10"/>
      <c r="FT46" s="165" t="str">
        <f>IF(Tabla596254[[#This Row],[Equipo ]]="","",Tabla596254[[#This Row],[Valor mensual]]+Tabla596254[[#This Row],[Combustible Hora ]]*Tabla596254[[#This Row],[Valor galon]]*Tabla596254[[#This Row],[Horas mes]])</f>
        <v/>
      </c>
      <c r="FU46" s="168" t="str">
        <f>IF(Tabla596254[[#This Row],[Valor mensual + Combustible]]="","",Tabla596254[[#This Row],[Valor mensual + Combustible]]*Tabla596254[[#This Row],[Cantidad]])</f>
        <v/>
      </c>
    </row>
    <row r="47" spans="1:177" x14ac:dyDescent="0.3">
      <c r="A47" s="9" t="s">
        <v>500</v>
      </c>
      <c r="B47" s="10">
        <v>1</v>
      </c>
      <c r="C47" s="165">
        <f>IF(Tabla5203[[#This Row],[Equipo ]]="","",INDEX(V_MENSUAL,MATCH(Tabla5203[[#This Row],[Equipo ]],LISTA_MAQUINARIA,0)))</f>
        <v>900000</v>
      </c>
      <c r="D47" s="12">
        <f>IF(Tabla5203[[#This Row],[Equipo ]]="","",INDEX(CONSUMO_COMBUSTIBLE_H,MATCH(Tabla5203[[#This Row],[Equipo ]],LISTA_MAQUINARIA,0)))</f>
        <v>0</v>
      </c>
      <c r="E47" s="166">
        <f>IF(Tabla5203[[#This Row],[Equipo ]]="","",INDEX(V_GALON,MATCH(Tabla5203[[#This Row],[Equipo ]],LISTA_MAQUINARIA,0)))</f>
        <v>10800</v>
      </c>
      <c r="F47" s="10"/>
      <c r="G47" s="165">
        <f>IF(Tabla5203[[#This Row],[Equipo ]]="","",Tabla5203[[#This Row],[Valor mensual]]+Tabla5203[[#This Row],[Combustible Hora ]]*Tabla5203[[#This Row],[Valor galon]]*Tabla5203[[#This Row],[Horas mes]])</f>
        <v>900000</v>
      </c>
      <c r="H47" s="168">
        <f>IF(Tabla5203[[#This Row],[Valor mensual + Combustible]]="","",Tabla5203[[#This Row],[Valor mensual + Combustible]]*Tabla5203[[#This Row],[Cantidad]])</f>
        <v>900000</v>
      </c>
      <c r="K47" s="9" t="s">
        <v>500</v>
      </c>
      <c r="L47" s="10">
        <v>1</v>
      </c>
      <c r="M47" s="165" cm="1">
        <f t="array" ref="M47">IF(Tabla548206[[#This Row],[Equipo ]]="","",INDEX(V_MENSUAL,MATCH(Tabla548206[[#This Row],[Equipo ]],LISTA_MAQUINARIA,0)))</f>
        <v>900000</v>
      </c>
      <c r="N47" s="12">
        <f>IF(Tabla548206[[#This Row],[Equipo ]]="","",INDEX(CONSUMO_COMBUSTIBLE_H,MATCH(Tabla548206[[#This Row],[Equipo ]],LISTA_MAQUINARIA,0)))</f>
        <v>0</v>
      </c>
      <c r="O47" s="166">
        <f>IF(Tabla548206[[#This Row],[Equipo ]]="","",INDEX(V_GALON,MATCH(Tabla548206[[#This Row],[Equipo ]],LISTA_MAQUINARIA,0)))</f>
        <v>10800</v>
      </c>
      <c r="P47" s="10"/>
      <c r="Q47" s="165">
        <f>IF(Tabla548206[[#This Row],[Equipo ]]="","",Tabla548206[[#This Row],[Valor mensual]]+Tabla548206[[#This Row],[Combustible Hora ]]*Tabla548206[[#This Row],[Valor galon]]*Tabla548206[[#This Row],[Horas mes]])</f>
        <v>900000</v>
      </c>
      <c r="R47" s="168">
        <f>IF(Tabla548206[[#This Row],[Valor mensual + Combustible]]="","",Tabla548206[[#This Row],[Valor mensual + Combustible]]*Tabla548206[[#This Row],[Cantidad]])</f>
        <v>900000</v>
      </c>
      <c r="U47" s="9" t="s">
        <v>500</v>
      </c>
      <c r="V47" s="10">
        <v>1</v>
      </c>
      <c r="W47" s="165">
        <f>IF(Tabla551209[[#This Row],[Equipo ]]="","",INDEX(V_MENSUAL,MATCH(Tabla551209[[#This Row],[Equipo ]],LISTA_MAQUINARIA,0)))</f>
        <v>900000</v>
      </c>
      <c r="X47" s="12">
        <f>IF(Tabla551209[[#This Row],[Equipo ]]="","",INDEX(CONSUMO_COMBUSTIBLE_H,MATCH(Tabla551209[[#This Row],[Equipo ]],LISTA_MAQUINARIA,0)))</f>
        <v>0</v>
      </c>
      <c r="Y47" s="166">
        <f>IF(Tabla551209[[#This Row],[Equipo ]]="","",INDEX(V_GALON,MATCH(Tabla551209[[#This Row],[Equipo ]],LISTA_MAQUINARIA,0)))</f>
        <v>10800</v>
      </c>
      <c r="Z47" s="10"/>
      <c r="AA47" s="165">
        <f>IF(Tabla551209[[#This Row],[Equipo ]]="","",Tabla551209[[#This Row],[Valor mensual]]+Tabla551209[[#This Row],[Combustible Hora ]]*Tabla551209[[#This Row],[Valor galon]]*Tabla551209[[#This Row],[Horas mes]])</f>
        <v>900000</v>
      </c>
      <c r="AB47" s="168">
        <f>IF(Tabla551209[[#This Row],[Valor mensual + Combustible]]="","",Tabla551209[[#This Row],[Valor mensual + Combustible]]*Tabla551209[[#This Row],[Cantidad]])</f>
        <v>900000</v>
      </c>
      <c r="AD47" s="9" t="s">
        <v>500</v>
      </c>
      <c r="AE47" s="10">
        <v>1</v>
      </c>
      <c r="AF47" s="165">
        <f>IF(Tabla554212[[#This Row],[Equipo ]]="","",INDEX(V_MENSUAL,MATCH(Tabla554212[[#This Row],[Equipo ]],LISTA_MAQUINARIA,0)))</f>
        <v>900000</v>
      </c>
      <c r="AG47" s="12">
        <f>IF(Tabla554212[[#This Row],[Equipo ]]="","",INDEX(CONSUMO_COMBUSTIBLE_H,MATCH(Tabla554212[[#This Row],[Equipo ]],LISTA_MAQUINARIA,0)))</f>
        <v>0</v>
      </c>
      <c r="AH47" s="166">
        <f>IF(Tabla554212[[#This Row],[Equipo ]]="","",INDEX(V_GALON,MATCH(Tabla554212[[#This Row],[Equipo ]],LISTA_MAQUINARIA,0)))</f>
        <v>10800</v>
      </c>
      <c r="AI47" s="10"/>
      <c r="AJ47" s="165">
        <f>IF(Tabla554212[[#This Row],[Equipo ]]="","",Tabla554212[[#This Row],[Valor mensual]]+Tabla554212[[#This Row],[Combustible Hora ]]*Tabla554212[[#This Row],[Valor galon]]*Tabla554212[[#This Row],[Horas mes]])</f>
        <v>900000</v>
      </c>
      <c r="AK47" s="168">
        <f>IF(Tabla554212[[#This Row],[Valor mensual + Combustible]]="","",Tabla554212[[#This Row],[Valor mensual + Combustible]]*Tabla554212[[#This Row],[Cantidad]])</f>
        <v>900000</v>
      </c>
      <c r="AN47" s="9"/>
      <c r="AO47" s="10"/>
      <c r="AP47" s="165" t="str">
        <f>IF(Tabla557215[[#This Row],[Equipo ]]="","",INDEX(V_MENSUAL,MATCH(Tabla557215[[#This Row],[Equipo ]],LISTA_MAQUINARIA,0)))</f>
        <v/>
      </c>
      <c r="AQ47" s="12" t="str">
        <f>IF(Tabla557215[[#This Row],[Equipo ]]="","",INDEX(CONSUMO_COMBUSTIBLE_H,MATCH(Tabla557215[[#This Row],[Equipo ]],LISTA_MAQUINARIA,0)))</f>
        <v/>
      </c>
      <c r="AR47" s="166" t="str">
        <f>IF(Tabla557215[[#This Row],[Equipo ]]="","",INDEX(V_GALON,MATCH(Tabla557215[[#This Row],[Equipo ]],LISTA_MAQUINARIA,0)))</f>
        <v/>
      </c>
      <c r="AS47" s="10"/>
      <c r="AT47" s="165" t="str">
        <f>IF(Tabla557215[[#This Row],[Equipo ]]="","",Tabla557215[[#This Row],[Valor mensual]]+Tabla557215[[#This Row],[Combustible Hora ]]*Tabla557215[[#This Row],[Valor galon]]*Tabla557215[[#This Row],[Horas mes]])</f>
        <v/>
      </c>
      <c r="AU47" s="168" t="str">
        <f>IF(Tabla557215[[#This Row],[Valor mensual + Combustible]]="","",Tabla557215[[#This Row],[Valor mensual + Combustible]]*Tabla557215[[#This Row],[Cantidad]])</f>
        <v/>
      </c>
      <c r="AX47" s="9"/>
      <c r="AY47" s="10"/>
      <c r="AZ47" s="165" t="str">
        <f>IF(Tabla560218[[#This Row],[Equipo ]]="","",INDEX(V_MENSUAL,MATCH(Tabla560218[[#This Row],[Equipo ]],LISTA_MAQUINARIA,0)))</f>
        <v/>
      </c>
      <c r="BA47" s="12" t="str">
        <f>IF(Tabla560218[[#This Row],[Equipo ]]="","",INDEX(CONSUMO_COMBUSTIBLE_H,MATCH(Tabla560218[[#This Row],[Equipo ]],LISTA_MAQUINARIA,0)))</f>
        <v/>
      </c>
      <c r="BB47" s="166" t="str">
        <f>IF(Tabla560218[[#This Row],[Equipo ]]="","",INDEX(V_GALON,MATCH(Tabla560218[[#This Row],[Equipo ]],LISTA_MAQUINARIA,0)))</f>
        <v/>
      </c>
      <c r="BC47" s="10"/>
      <c r="BD47" s="165" t="str">
        <f>IF(Tabla560218[[#This Row],[Equipo ]]="","",Tabla560218[[#This Row],[Valor mensual]]+Tabla560218[[#This Row],[Combustible Hora ]]*Tabla560218[[#This Row],[Valor galon]]*Tabla560218[[#This Row],[Horas mes]])</f>
        <v/>
      </c>
      <c r="BE47" s="168" t="str">
        <f>IF(Tabla560218[[#This Row],[Valor mensual + Combustible]]="","",Tabla560218[[#This Row],[Valor mensual + Combustible]]*Tabla560218[[#This Row],[Cantidad]])</f>
        <v/>
      </c>
      <c r="BH47" s="9"/>
      <c r="BI47" s="10"/>
      <c r="BJ47" s="165" t="str">
        <f>IF(Tabla563221[[#This Row],[Equipo ]]="","",INDEX(V_MENSUAL,MATCH(Tabla563221[[#This Row],[Equipo ]],LISTA_MAQUINARIA,0)))</f>
        <v/>
      </c>
      <c r="BK47" s="12" t="str">
        <f>IF(Tabla563221[[#This Row],[Equipo ]]="","",INDEX(CONSUMO_COMBUSTIBLE_H,MATCH(Tabla563221[[#This Row],[Equipo ]],LISTA_MAQUINARIA,0)))</f>
        <v/>
      </c>
      <c r="BL47" s="166" t="str">
        <f>IF(Tabla563221[[#This Row],[Equipo ]]="","",INDEX(V_GALON,MATCH(Tabla563221[[#This Row],[Equipo ]],LISTA_MAQUINARIA,0)))</f>
        <v/>
      </c>
      <c r="BM47" s="10"/>
      <c r="BN47" s="165" t="str">
        <f>IF(Tabla563221[[#This Row],[Equipo ]]="","",Tabla563221[[#This Row],[Valor mensual]]+Tabla563221[[#This Row],[Combustible Hora ]]*Tabla563221[[#This Row],[Valor galon]]*Tabla563221[[#This Row],[Horas mes]])</f>
        <v/>
      </c>
      <c r="BO47" s="168" t="str">
        <f>IF(Tabla563221[[#This Row],[Valor mensual + Combustible]]="","",Tabla563221[[#This Row],[Valor mensual + Combustible]]*Tabla563221[[#This Row],[Cantidad]])</f>
        <v/>
      </c>
      <c r="BR47" s="9"/>
      <c r="BS47" s="10"/>
      <c r="BT47" s="165" t="str">
        <f>IF(Tabla566224[[#This Row],[Equipo ]]="","",INDEX(V_MENSUAL,MATCH(Tabla566224[[#This Row],[Equipo ]],LISTA_MAQUINARIA,0)))</f>
        <v/>
      </c>
      <c r="BU47" s="12" t="str">
        <f>IF(Tabla566224[[#This Row],[Equipo ]]="","",INDEX(CONSUMO_COMBUSTIBLE_H,MATCH(Tabla566224[[#This Row],[Equipo ]],LISTA_MAQUINARIA,0)))</f>
        <v/>
      </c>
      <c r="BV47" s="166" t="str">
        <f>IF(Tabla566224[[#This Row],[Equipo ]]="","",INDEX(V_GALON,MATCH(Tabla566224[[#This Row],[Equipo ]],LISTA_MAQUINARIA,0)))</f>
        <v/>
      </c>
      <c r="BW47" s="10"/>
      <c r="BX47" s="165" t="str">
        <f>IF(Tabla566224[[#This Row],[Equipo ]]="","",Tabla566224[[#This Row],[Valor mensual]]+Tabla566224[[#This Row],[Combustible Hora ]]*Tabla566224[[#This Row],[Valor galon]]*Tabla566224[[#This Row],[Horas mes]])</f>
        <v/>
      </c>
      <c r="BY47" s="168" t="str">
        <f>IF(Tabla566224[[#This Row],[Valor mensual + Combustible]]="","",Tabla566224[[#This Row],[Valor mensual + Combustible]]*Tabla566224[[#This Row],[Cantidad]])</f>
        <v/>
      </c>
      <c r="CB47" s="9"/>
      <c r="CC47" s="10"/>
      <c r="CD47" s="165" t="str">
        <f>IF(Tabla569227[[#This Row],[Equipo ]]="","",INDEX(V_MENSUAL,MATCH(Tabla569227[[#This Row],[Equipo ]],LISTA_MAQUINARIA,0)))</f>
        <v/>
      </c>
      <c r="CE47" s="12" t="str">
        <f>IF(Tabla569227[[#This Row],[Equipo ]]="","",INDEX(CONSUMO_COMBUSTIBLE_H,MATCH(Tabla569227[[#This Row],[Equipo ]],LISTA_MAQUINARIA,0)))</f>
        <v/>
      </c>
      <c r="CF47" s="166" t="str">
        <f>IF(Tabla569227[[#This Row],[Equipo ]]="","",INDEX(V_GALON,MATCH(Tabla569227[[#This Row],[Equipo ]],LISTA_MAQUINARIA,0)))</f>
        <v/>
      </c>
      <c r="CG47" s="10"/>
      <c r="CH47" s="165" t="str">
        <f>IF(Tabla569227[[#This Row],[Equipo ]]="","",Tabla569227[[#This Row],[Valor mensual]]+Tabla569227[[#This Row],[Combustible Hora ]]*Tabla569227[[#This Row],[Valor galon]]*Tabla569227[[#This Row],[Horas mes]])</f>
        <v/>
      </c>
      <c r="CI47" s="168" t="str">
        <f>IF(Tabla569227[[#This Row],[Valor mensual + Combustible]]="","",Tabla569227[[#This Row],[Valor mensual + Combustible]]*Tabla569227[[#This Row],[Cantidad]])</f>
        <v/>
      </c>
      <c r="CL47" s="9"/>
      <c r="CM47" s="10"/>
      <c r="CN47" s="165" t="str">
        <f>IF(Tabla572230[[#This Row],[Equipo ]]="","",INDEX(V_MENSUAL,MATCH(Tabla572230[[#This Row],[Equipo ]],LISTA_MAQUINARIA,0)))</f>
        <v/>
      </c>
      <c r="CO47" s="12" t="str">
        <f>IF(Tabla572230[[#This Row],[Equipo ]]="","",INDEX(CONSUMO_COMBUSTIBLE_H,MATCH(Tabla572230[[#This Row],[Equipo ]],LISTA_MAQUINARIA,0)))</f>
        <v/>
      </c>
      <c r="CP47" s="166" t="str">
        <f>IF(Tabla572230[[#This Row],[Equipo ]]="","",INDEX(V_GALON,MATCH(Tabla572230[[#This Row],[Equipo ]],LISTA_MAQUINARIA,0)))</f>
        <v/>
      </c>
      <c r="CQ47" s="10"/>
      <c r="CR47" s="165" t="str">
        <f>IF(Tabla572230[[#This Row],[Equipo ]]="","",Tabla572230[[#This Row],[Valor mensual]]+Tabla572230[[#This Row],[Combustible Hora ]]*Tabla572230[[#This Row],[Valor galon]]*Tabla572230[[#This Row],[Horas mes]])</f>
        <v/>
      </c>
      <c r="CS47" s="168" t="str">
        <f>IF(Tabla572230[[#This Row],[Valor mensual + Combustible]]="","",Tabla572230[[#This Row],[Valor mensual + Combustible]]*Tabla572230[[#This Row],[Cantidad]])</f>
        <v/>
      </c>
      <c r="CV47" s="9"/>
      <c r="CW47" s="10"/>
      <c r="CX47" s="165" t="str">
        <f>IF(Tabla575233[[#This Row],[Equipo ]]="","",INDEX(V_MENSUAL,MATCH(Tabla575233[[#This Row],[Equipo ]],LISTA_MAQUINARIA,0)))</f>
        <v/>
      </c>
      <c r="CY47" s="12" t="str">
        <f>IF(Tabla575233[[#This Row],[Equipo ]]="","",INDEX(CONSUMO_COMBUSTIBLE_H,MATCH(Tabla575233[[#This Row],[Equipo ]],LISTA_MAQUINARIA,0)))</f>
        <v/>
      </c>
      <c r="CZ47" s="166" t="str">
        <f>IF(Tabla575233[[#This Row],[Equipo ]]="","",INDEX(V_GALON,MATCH(Tabla575233[[#This Row],[Equipo ]],LISTA_MAQUINARIA,0)))</f>
        <v/>
      </c>
      <c r="DA47" s="10"/>
      <c r="DB47" s="165" t="str">
        <f>IF(Tabla575233[[#This Row],[Equipo ]]="","",Tabla575233[[#This Row],[Valor mensual]]+Tabla575233[[#This Row],[Combustible Hora ]]*Tabla575233[[#This Row],[Valor galon]]*Tabla575233[[#This Row],[Horas mes]])</f>
        <v/>
      </c>
      <c r="DC47" s="168" t="str">
        <f>IF(Tabla575233[[#This Row],[Valor mensual + Combustible]]="","",Tabla575233[[#This Row],[Valor mensual + Combustible]]*Tabla575233[[#This Row],[Cantidad]])</f>
        <v/>
      </c>
      <c r="DF47" s="9"/>
      <c r="DG47" s="10"/>
      <c r="DH47" s="165" t="str">
        <f>IF(Tabla578236[[#This Row],[Equipo ]]="","",INDEX(V_MENSUAL,MATCH(Tabla578236[[#This Row],[Equipo ]],LISTA_MAQUINARIA,0)))</f>
        <v/>
      </c>
      <c r="DI47" s="12" t="str">
        <f>IF(Tabla578236[[#This Row],[Equipo ]]="","",INDEX(CONSUMO_COMBUSTIBLE_H,MATCH(Tabla578236[[#This Row],[Equipo ]],LISTA_MAQUINARIA,0)))</f>
        <v/>
      </c>
      <c r="DJ47" s="166" t="str">
        <f>IF(Tabla578236[[#This Row],[Equipo ]]="","",INDEX(V_GALON,MATCH(Tabla578236[[#This Row],[Equipo ]],LISTA_MAQUINARIA,0)))</f>
        <v/>
      </c>
      <c r="DK47" s="10"/>
      <c r="DL47" s="165" t="str">
        <f>IF(Tabla578236[[#This Row],[Equipo ]]="","",Tabla578236[[#This Row],[Valor mensual]]+Tabla578236[[#This Row],[Combustible Hora ]]*Tabla578236[[#This Row],[Valor galon]]*Tabla578236[[#This Row],[Horas mes]])</f>
        <v/>
      </c>
      <c r="DM47" s="168" t="str">
        <f>IF(Tabla578236[[#This Row],[Valor mensual + Combustible]]="","",Tabla578236[[#This Row],[Valor mensual + Combustible]]*Tabla578236[[#This Row],[Cantidad]])</f>
        <v/>
      </c>
      <c r="DP47" s="9"/>
      <c r="DQ47" s="10"/>
      <c r="DR47" s="165" t="str">
        <f>IF(Tabla581239[[#This Row],[Equipo ]]="","",INDEX(V_MENSUAL,MATCH(Tabla581239[[#This Row],[Equipo ]],LISTA_MAQUINARIA,0)))</f>
        <v/>
      </c>
      <c r="DS47" s="12" t="str">
        <f>IF(Tabla581239[[#This Row],[Equipo ]]="","",INDEX(CONSUMO_COMBUSTIBLE_H,MATCH(Tabla581239[[#This Row],[Equipo ]],LISTA_MAQUINARIA,0)))</f>
        <v/>
      </c>
      <c r="DT47" s="166" t="str">
        <f>IF(Tabla581239[[#This Row],[Equipo ]]="","",INDEX(V_GALON,MATCH(Tabla581239[[#This Row],[Equipo ]],LISTA_MAQUINARIA,0)))</f>
        <v/>
      </c>
      <c r="DU47" s="10"/>
      <c r="DV47" s="165" t="str">
        <f>IF(Tabla581239[[#This Row],[Equipo ]]="","",Tabla581239[[#This Row],[Valor mensual]]+Tabla581239[[#This Row],[Combustible Hora ]]*Tabla581239[[#This Row],[Valor galon]]*Tabla581239[[#This Row],[Horas mes]])</f>
        <v/>
      </c>
      <c r="DW47" s="168" t="str">
        <f>IF(Tabla581239[[#This Row],[Valor mensual + Combustible]]="","",Tabla581239[[#This Row],[Valor mensual + Combustible]]*Tabla581239[[#This Row],[Cantidad]])</f>
        <v/>
      </c>
      <c r="DZ47" s="9"/>
      <c r="EA47" s="10"/>
      <c r="EB47" s="165" t="str">
        <f>IF(Tabla584242[[#This Row],[Equipo ]]="","",INDEX(V_MENSUAL,MATCH(Tabla584242[[#This Row],[Equipo ]],LISTA_MAQUINARIA,0)))</f>
        <v/>
      </c>
      <c r="EC47" s="12" t="str">
        <f>IF(Tabla584242[[#This Row],[Equipo ]]="","",INDEX(CONSUMO_COMBUSTIBLE_H,MATCH(Tabla584242[[#This Row],[Equipo ]],LISTA_MAQUINARIA,0)))</f>
        <v/>
      </c>
      <c r="ED47" s="166" t="str">
        <f>IF(Tabla584242[[#This Row],[Equipo ]]="","",INDEX(V_GALON,MATCH(Tabla584242[[#This Row],[Equipo ]],LISTA_MAQUINARIA,0)))</f>
        <v/>
      </c>
      <c r="EE47" s="10"/>
      <c r="EF47" s="165" t="str">
        <f>IF(Tabla584242[[#This Row],[Equipo ]]="","",Tabla584242[[#This Row],[Valor mensual]]+Tabla584242[[#This Row],[Combustible Hora ]]*Tabla584242[[#This Row],[Valor galon]]*Tabla584242[[#This Row],[Horas mes]])</f>
        <v/>
      </c>
      <c r="EG47" s="168" t="str">
        <f>IF(Tabla584242[[#This Row],[Valor mensual + Combustible]]="","",Tabla584242[[#This Row],[Valor mensual + Combustible]]*Tabla584242[[#This Row],[Cantidad]])</f>
        <v/>
      </c>
      <c r="EJ47" s="9"/>
      <c r="EK47" s="10"/>
      <c r="EL47" s="165" t="str">
        <f>IF(Tabla587245[[#This Row],[Equipo ]]="","",INDEX(V_MENSUAL,MATCH(Tabla587245[[#This Row],[Equipo ]],LISTA_MAQUINARIA,0)))</f>
        <v/>
      </c>
      <c r="EM47" s="12" t="str">
        <f>IF(Tabla587245[[#This Row],[Equipo ]]="","",INDEX(CONSUMO_COMBUSTIBLE_H,MATCH(Tabla587245[[#This Row],[Equipo ]],LISTA_MAQUINARIA,0)))</f>
        <v/>
      </c>
      <c r="EN47" s="166" t="str">
        <f>IF(Tabla587245[[#This Row],[Equipo ]]="","",INDEX(V_GALON,MATCH(Tabla587245[[#This Row],[Equipo ]],LISTA_MAQUINARIA,0)))</f>
        <v/>
      </c>
      <c r="EO47" s="10"/>
      <c r="EP47" s="165" t="str">
        <f>IF(Tabla587245[[#This Row],[Equipo ]]="","",Tabla587245[[#This Row],[Valor mensual]]+Tabla587245[[#This Row],[Combustible Hora ]]*Tabla587245[[#This Row],[Valor galon]]*Tabla587245[[#This Row],[Horas mes]])</f>
        <v/>
      </c>
      <c r="EQ47" s="168" t="str">
        <f>IF(Tabla587245[[#This Row],[Valor mensual + Combustible]]="","",Tabla587245[[#This Row],[Valor mensual + Combustible]]*Tabla587245[[#This Row],[Cantidad]])</f>
        <v/>
      </c>
      <c r="ET47" s="9"/>
      <c r="EU47" s="10"/>
      <c r="EV47" s="165" t="str">
        <f>IF(Tabla590248[[#This Row],[Equipo ]]="","",INDEX(V_MENSUAL,MATCH(Tabla590248[[#This Row],[Equipo ]],LISTA_MAQUINARIA,0)))</f>
        <v/>
      </c>
      <c r="EW47" s="12" t="str">
        <f>IF(Tabla590248[[#This Row],[Equipo ]]="","",INDEX(CONSUMO_COMBUSTIBLE_H,MATCH(Tabla590248[[#This Row],[Equipo ]],LISTA_MAQUINARIA,0)))</f>
        <v/>
      </c>
      <c r="EX47" s="166" t="str">
        <f>IF(Tabla590248[[#This Row],[Equipo ]]="","",INDEX(V_GALON,MATCH(Tabla590248[[#This Row],[Equipo ]],LISTA_MAQUINARIA,0)))</f>
        <v/>
      </c>
      <c r="EY47" s="10"/>
      <c r="EZ47" s="165" t="str">
        <f>IF(Tabla590248[[#This Row],[Equipo ]]="","",Tabla590248[[#This Row],[Valor mensual]]+Tabla590248[[#This Row],[Combustible Hora ]]*Tabla590248[[#This Row],[Valor galon]]*Tabla590248[[#This Row],[Horas mes]])</f>
        <v/>
      </c>
      <c r="FA47" s="168" t="str">
        <f>IF(Tabla590248[[#This Row],[Valor mensual + Combustible]]="","",Tabla590248[[#This Row],[Valor mensual + Combustible]]*Tabla590248[[#This Row],[Cantidad]])</f>
        <v/>
      </c>
      <c r="FD47" s="9"/>
      <c r="FE47" s="10"/>
      <c r="FF47" s="165" t="str">
        <f>IF(Tabla593251[[#This Row],[Equipo ]]="","",INDEX(V_MENSUAL,MATCH(Tabla593251[[#This Row],[Equipo ]],LISTA_MAQUINARIA,0)))</f>
        <v/>
      </c>
      <c r="FG47" s="12" t="str">
        <f>IF(Tabla593251[[#This Row],[Equipo ]]="","",INDEX(CONSUMO_COMBUSTIBLE_H,MATCH(Tabla593251[[#This Row],[Equipo ]],LISTA_MAQUINARIA,0)))</f>
        <v/>
      </c>
      <c r="FH47" s="166" t="str">
        <f>IF(Tabla593251[[#This Row],[Equipo ]]="","",INDEX(V_GALON,MATCH(Tabla593251[[#This Row],[Equipo ]],LISTA_MAQUINARIA,0)))</f>
        <v/>
      </c>
      <c r="FI47" s="10"/>
      <c r="FJ47" s="165" t="str">
        <f>IF(Tabla593251[[#This Row],[Equipo ]]="","",Tabla593251[[#This Row],[Valor mensual]]+Tabla593251[[#This Row],[Combustible Hora ]]*Tabla593251[[#This Row],[Valor galon]]*Tabla593251[[#This Row],[Horas mes]])</f>
        <v/>
      </c>
      <c r="FK47" s="168" t="str">
        <f>IF(Tabla593251[[#This Row],[Valor mensual + Combustible]]="","",Tabla593251[[#This Row],[Valor mensual + Combustible]]*Tabla593251[[#This Row],[Cantidad]])</f>
        <v/>
      </c>
      <c r="FN47" s="9"/>
      <c r="FO47" s="10"/>
      <c r="FP47" s="165" t="str">
        <f>IF(Tabla596254[[#This Row],[Equipo ]]="","",INDEX(V_MENSUAL,MATCH(Tabla596254[[#This Row],[Equipo ]],LISTA_MAQUINARIA,0)))</f>
        <v/>
      </c>
      <c r="FQ47" s="12" t="str">
        <f>IF(Tabla596254[[#This Row],[Equipo ]]="","",INDEX(CONSUMO_COMBUSTIBLE_H,MATCH(Tabla596254[[#This Row],[Equipo ]],LISTA_MAQUINARIA,0)))</f>
        <v/>
      </c>
      <c r="FR47" s="166" t="str">
        <f>IF(Tabla596254[[#This Row],[Equipo ]]="","",INDEX(V_GALON,MATCH(Tabla596254[[#This Row],[Equipo ]],LISTA_MAQUINARIA,0)))</f>
        <v/>
      </c>
      <c r="FS47" s="10"/>
      <c r="FT47" s="165" t="str">
        <f>IF(Tabla596254[[#This Row],[Equipo ]]="","",Tabla596254[[#This Row],[Valor mensual]]+Tabla596254[[#This Row],[Combustible Hora ]]*Tabla596254[[#This Row],[Valor galon]]*Tabla596254[[#This Row],[Horas mes]])</f>
        <v/>
      </c>
      <c r="FU47" s="168" t="str">
        <f>IF(Tabla596254[[#This Row],[Valor mensual + Combustible]]="","",Tabla596254[[#This Row],[Valor mensual + Combustible]]*Tabla596254[[#This Row],[Cantidad]])</f>
        <v/>
      </c>
    </row>
    <row r="48" spans="1:177" x14ac:dyDescent="0.3">
      <c r="A48" s="9" t="s">
        <v>501</v>
      </c>
      <c r="B48" s="10">
        <v>0.5</v>
      </c>
      <c r="C48" s="165">
        <f>IF(Tabla5203[[#This Row],[Equipo ]]="","",INDEX(V_MENSUAL,MATCH(Tabla5203[[#This Row],[Equipo ]],LISTA_MAQUINARIA,0)))</f>
        <v>1000000</v>
      </c>
      <c r="D48" s="12">
        <f>IF(Tabla5203[[#This Row],[Equipo ]]="","",INDEX(CONSUMO_COMBUSTIBLE_H,MATCH(Tabla5203[[#This Row],[Equipo ]],LISTA_MAQUINARIA,0)))</f>
        <v>0</v>
      </c>
      <c r="E48" s="166">
        <f>IF(Tabla5203[[#This Row],[Equipo ]]="","",INDEX(V_GALON,MATCH(Tabla5203[[#This Row],[Equipo ]],LISTA_MAQUINARIA,0)))</f>
        <v>10800</v>
      </c>
      <c r="F48" s="10"/>
      <c r="G48" s="165">
        <f>IF(Tabla5203[[#This Row],[Equipo ]]="","",Tabla5203[[#This Row],[Valor mensual]]+Tabla5203[[#This Row],[Combustible Hora ]]*Tabla5203[[#This Row],[Valor galon]]*Tabla5203[[#This Row],[Horas mes]])</f>
        <v>1000000</v>
      </c>
      <c r="H48" s="168">
        <f>IF(Tabla5203[[#This Row],[Valor mensual + Combustible]]="","",Tabla5203[[#This Row],[Valor mensual + Combustible]]*Tabla5203[[#This Row],[Cantidad]])</f>
        <v>500000</v>
      </c>
      <c r="K48" s="9" t="s">
        <v>501</v>
      </c>
      <c r="L48" s="10">
        <v>0.5</v>
      </c>
      <c r="M48" s="165" cm="1">
        <f t="array" ref="M48">IF(Tabla548206[[#This Row],[Equipo ]]="","",INDEX(V_MENSUAL,MATCH(Tabla548206[[#This Row],[Equipo ]],LISTA_MAQUINARIA,0)))</f>
        <v>1000000</v>
      </c>
      <c r="N48" s="12">
        <f>IF(Tabla548206[[#This Row],[Equipo ]]="","",INDEX(CONSUMO_COMBUSTIBLE_H,MATCH(Tabla548206[[#This Row],[Equipo ]],LISTA_MAQUINARIA,0)))</f>
        <v>0</v>
      </c>
      <c r="O48" s="166">
        <f>IF(Tabla548206[[#This Row],[Equipo ]]="","",INDEX(V_GALON,MATCH(Tabla548206[[#This Row],[Equipo ]],LISTA_MAQUINARIA,0)))</f>
        <v>10800</v>
      </c>
      <c r="P48" s="10"/>
      <c r="Q48" s="165">
        <f>IF(Tabla548206[[#This Row],[Equipo ]]="","",Tabla548206[[#This Row],[Valor mensual]]+Tabla548206[[#This Row],[Combustible Hora ]]*Tabla548206[[#This Row],[Valor galon]]*Tabla548206[[#This Row],[Horas mes]])</f>
        <v>1000000</v>
      </c>
      <c r="R48" s="168">
        <f>IF(Tabla548206[[#This Row],[Valor mensual + Combustible]]="","",Tabla548206[[#This Row],[Valor mensual + Combustible]]*Tabla548206[[#This Row],[Cantidad]])</f>
        <v>500000</v>
      </c>
      <c r="U48" s="9" t="s">
        <v>501</v>
      </c>
      <c r="V48" s="10">
        <v>0.5</v>
      </c>
      <c r="W48" s="165">
        <f>IF(Tabla551209[[#This Row],[Equipo ]]="","",INDEX(V_MENSUAL,MATCH(Tabla551209[[#This Row],[Equipo ]],LISTA_MAQUINARIA,0)))</f>
        <v>1000000</v>
      </c>
      <c r="X48" s="12">
        <f>IF(Tabla551209[[#This Row],[Equipo ]]="","",INDEX(CONSUMO_COMBUSTIBLE_H,MATCH(Tabla551209[[#This Row],[Equipo ]],LISTA_MAQUINARIA,0)))</f>
        <v>0</v>
      </c>
      <c r="Y48" s="166">
        <f>IF(Tabla551209[[#This Row],[Equipo ]]="","",INDEX(V_GALON,MATCH(Tabla551209[[#This Row],[Equipo ]],LISTA_MAQUINARIA,0)))</f>
        <v>10800</v>
      </c>
      <c r="Z48" s="10"/>
      <c r="AA48" s="165">
        <f>IF(Tabla551209[[#This Row],[Equipo ]]="","",Tabla551209[[#This Row],[Valor mensual]]+Tabla551209[[#This Row],[Combustible Hora ]]*Tabla551209[[#This Row],[Valor galon]]*Tabla551209[[#This Row],[Horas mes]])</f>
        <v>1000000</v>
      </c>
      <c r="AB48" s="168">
        <f>IF(Tabla551209[[#This Row],[Valor mensual + Combustible]]="","",Tabla551209[[#This Row],[Valor mensual + Combustible]]*Tabla551209[[#This Row],[Cantidad]])</f>
        <v>500000</v>
      </c>
      <c r="AD48" s="9" t="s">
        <v>501</v>
      </c>
      <c r="AE48" s="10">
        <v>0.5</v>
      </c>
      <c r="AF48" s="165">
        <f>IF(Tabla554212[[#This Row],[Equipo ]]="","",INDEX(V_MENSUAL,MATCH(Tabla554212[[#This Row],[Equipo ]],LISTA_MAQUINARIA,0)))</f>
        <v>1000000</v>
      </c>
      <c r="AG48" s="12">
        <f>IF(Tabla554212[[#This Row],[Equipo ]]="","",INDEX(CONSUMO_COMBUSTIBLE_H,MATCH(Tabla554212[[#This Row],[Equipo ]],LISTA_MAQUINARIA,0)))</f>
        <v>0</v>
      </c>
      <c r="AH48" s="166">
        <f>IF(Tabla554212[[#This Row],[Equipo ]]="","",INDEX(V_GALON,MATCH(Tabla554212[[#This Row],[Equipo ]],LISTA_MAQUINARIA,0)))</f>
        <v>10800</v>
      </c>
      <c r="AI48" s="10"/>
      <c r="AJ48" s="165">
        <f>IF(Tabla554212[[#This Row],[Equipo ]]="","",Tabla554212[[#This Row],[Valor mensual]]+Tabla554212[[#This Row],[Combustible Hora ]]*Tabla554212[[#This Row],[Valor galon]]*Tabla554212[[#This Row],[Horas mes]])</f>
        <v>1000000</v>
      </c>
      <c r="AK48" s="168">
        <f>IF(Tabla554212[[#This Row],[Valor mensual + Combustible]]="","",Tabla554212[[#This Row],[Valor mensual + Combustible]]*Tabla554212[[#This Row],[Cantidad]])</f>
        <v>500000</v>
      </c>
      <c r="AN48" s="9"/>
      <c r="AO48" s="10"/>
      <c r="AP48" s="165" t="str">
        <f>IF(Tabla557215[[#This Row],[Equipo ]]="","",INDEX(V_MENSUAL,MATCH(Tabla557215[[#This Row],[Equipo ]],LISTA_MAQUINARIA,0)))</f>
        <v/>
      </c>
      <c r="AQ48" s="12" t="str">
        <f>IF(Tabla557215[[#This Row],[Equipo ]]="","",INDEX(CONSUMO_COMBUSTIBLE_H,MATCH(Tabla557215[[#This Row],[Equipo ]],LISTA_MAQUINARIA,0)))</f>
        <v/>
      </c>
      <c r="AR48" s="166" t="str">
        <f>IF(Tabla557215[[#This Row],[Equipo ]]="","",INDEX(V_GALON,MATCH(Tabla557215[[#This Row],[Equipo ]],LISTA_MAQUINARIA,0)))</f>
        <v/>
      </c>
      <c r="AS48" s="10"/>
      <c r="AT48" s="165" t="str">
        <f>IF(Tabla557215[[#This Row],[Equipo ]]="","",Tabla557215[[#This Row],[Valor mensual]]+Tabla557215[[#This Row],[Combustible Hora ]]*Tabla557215[[#This Row],[Valor galon]]*Tabla557215[[#This Row],[Horas mes]])</f>
        <v/>
      </c>
      <c r="AU48" s="168" t="str">
        <f>IF(Tabla557215[[#This Row],[Valor mensual + Combustible]]="","",Tabla557215[[#This Row],[Valor mensual + Combustible]]*Tabla557215[[#This Row],[Cantidad]])</f>
        <v/>
      </c>
      <c r="AX48" s="9"/>
      <c r="AY48" s="10"/>
      <c r="AZ48" s="165" t="str">
        <f>IF(Tabla560218[[#This Row],[Equipo ]]="","",INDEX(V_MENSUAL,MATCH(Tabla560218[[#This Row],[Equipo ]],LISTA_MAQUINARIA,0)))</f>
        <v/>
      </c>
      <c r="BA48" s="12" t="str">
        <f>IF(Tabla560218[[#This Row],[Equipo ]]="","",INDEX(CONSUMO_COMBUSTIBLE_H,MATCH(Tabla560218[[#This Row],[Equipo ]],LISTA_MAQUINARIA,0)))</f>
        <v/>
      </c>
      <c r="BB48" s="166" t="str">
        <f>IF(Tabla560218[[#This Row],[Equipo ]]="","",INDEX(V_GALON,MATCH(Tabla560218[[#This Row],[Equipo ]],LISTA_MAQUINARIA,0)))</f>
        <v/>
      </c>
      <c r="BC48" s="10"/>
      <c r="BD48" s="165" t="str">
        <f>IF(Tabla560218[[#This Row],[Equipo ]]="","",Tabla560218[[#This Row],[Valor mensual]]+Tabla560218[[#This Row],[Combustible Hora ]]*Tabla560218[[#This Row],[Valor galon]]*Tabla560218[[#This Row],[Horas mes]])</f>
        <v/>
      </c>
      <c r="BE48" s="168" t="str">
        <f>IF(Tabla560218[[#This Row],[Valor mensual + Combustible]]="","",Tabla560218[[#This Row],[Valor mensual + Combustible]]*Tabla560218[[#This Row],[Cantidad]])</f>
        <v/>
      </c>
      <c r="BH48" s="9"/>
      <c r="BI48" s="10"/>
      <c r="BJ48" s="165" t="str">
        <f>IF(Tabla563221[[#This Row],[Equipo ]]="","",INDEX(V_MENSUAL,MATCH(Tabla563221[[#This Row],[Equipo ]],LISTA_MAQUINARIA,0)))</f>
        <v/>
      </c>
      <c r="BK48" s="12" t="str">
        <f>IF(Tabla563221[[#This Row],[Equipo ]]="","",INDEX(CONSUMO_COMBUSTIBLE_H,MATCH(Tabla563221[[#This Row],[Equipo ]],LISTA_MAQUINARIA,0)))</f>
        <v/>
      </c>
      <c r="BL48" s="166" t="str">
        <f>IF(Tabla563221[[#This Row],[Equipo ]]="","",INDEX(V_GALON,MATCH(Tabla563221[[#This Row],[Equipo ]],LISTA_MAQUINARIA,0)))</f>
        <v/>
      </c>
      <c r="BM48" s="10"/>
      <c r="BN48" s="165" t="str">
        <f>IF(Tabla563221[[#This Row],[Equipo ]]="","",Tabla563221[[#This Row],[Valor mensual]]+Tabla563221[[#This Row],[Combustible Hora ]]*Tabla563221[[#This Row],[Valor galon]]*Tabla563221[[#This Row],[Horas mes]])</f>
        <v/>
      </c>
      <c r="BO48" s="168" t="str">
        <f>IF(Tabla563221[[#This Row],[Valor mensual + Combustible]]="","",Tabla563221[[#This Row],[Valor mensual + Combustible]]*Tabla563221[[#This Row],[Cantidad]])</f>
        <v/>
      </c>
      <c r="BR48" s="9"/>
      <c r="BS48" s="10"/>
      <c r="BT48" s="165" t="str">
        <f>IF(Tabla566224[[#This Row],[Equipo ]]="","",INDEX(V_MENSUAL,MATCH(Tabla566224[[#This Row],[Equipo ]],LISTA_MAQUINARIA,0)))</f>
        <v/>
      </c>
      <c r="BU48" s="12" t="str">
        <f>IF(Tabla566224[[#This Row],[Equipo ]]="","",INDEX(CONSUMO_COMBUSTIBLE_H,MATCH(Tabla566224[[#This Row],[Equipo ]],LISTA_MAQUINARIA,0)))</f>
        <v/>
      </c>
      <c r="BV48" s="166" t="str">
        <f>IF(Tabla566224[[#This Row],[Equipo ]]="","",INDEX(V_GALON,MATCH(Tabla566224[[#This Row],[Equipo ]],LISTA_MAQUINARIA,0)))</f>
        <v/>
      </c>
      <c r="BW48" s="10"/>
      <c r="BX48" s="165" t="str">
        <f>IF(Tabla566224[[#This Row],[Equipo ]]="","",Tabla566224[[#This Row],[Valor mensual]]+Tabla566224[[#This Row],[Combustible Hora ]]*Tabla566224[[#This Row],[Valor galon]]*Tabla566224[[#This Row],[Horas mes]])</f>
        <v/>
      </c>
      <c r="BY48" s="168" t="str">
        <f>IF(Tabla566224[[#This Row],[Valor mensual + Combustible]]="","",Tabla566224[[#This Row],[Valor mensual + Combustible]]*Tabla566224[[#This Row],[Cantidad]])</f>
        <v/>
      </c>
      <c r="CB48" s="9"/>
      <c r="CC48" s="10"/>
      <c r="CD48" s="165" t="str">
        <f>IF(Tabla569227[[#This Row],[Equipo ]]="","",INDEX(V_MENSUAL,MATCH(Tabla569227[[#This Row],[Equipo ]],LISTA_MAQUINARIA,0)))</f>
        <v/>
      </c>
      <c r="CE48" s="12" t="str">
        <f>IF(Tabla569227[[#This Row],[Equipo ]]="","",INDEX(CONSUMO_COMBUSTIBLE_H,MATCH(Tabla569227[[#This Row],[Equipo ]],LISTA_MAQUINARIA,0)))</f>
        <v/>
      </c>
      <c r="CF48" s="166" t="str">
        <f>IF(Tabla569227[[#This Row],[Equipo ]]="","",INDEX(V_GALON,MATCH(Tabla569227[[#This Row],[Equipo ]],LISTA_MAQUINARIA,0)))</f>
        <v/>
      </c>
      <c r="CG48" s="10"/>
      <c r="CH48" s="165" t="str">
        <f>IF(Tabla569227[[#This Row],[Equipo ]]="","",Tabla569227[[#This Row],[Valor mensual]]+Tabla569227[[#This Row],[Combustible Hora ]]*Tabla569227[[#This Row],[Valor galon]]*Tabla569227[[#This Row],[Horas mes]])</f>
        <v/>
      </c>
      <c r="CI48" s="168" t="str">
        <f>IF(Tabla569227[[#This Row],[Valor mensual + Combustible]]="","",Tabla569227[[#This Row],[Valor mensual + Combustible]]*Tabla569227[[#This Row],[Cantidad]])</f>
        <v/>
      </c>
      <c r="CL48" s="9"/>
      <c r="CM48" s="10"/>
      <c r="CN48" s="165" t="str">
        <f>IF(Tabla572230[[#This Row],[Equipo ]]="","",INDEX(V_MENSUAL,MATCH(Tabla572230[[#This Row],[Equipo ]],LISTA_MAQUINARIA,0)))</f>
        <v/>
      </c>
      <c r="CO48" s="12" t="str">
        <f>IF(Tabla572230[[#This Row],[Equipo ]]="","",INDEX(CONSUMO_COMBUSTIBLE_H,MATCH(Tabla572230[[#This Row],[Equipo ]],LISTA_MAQUINARIA,0)))</f>
        <v/>
      </c>
      <c r="CP48" s="166" t="str">
        <f>IF(Tabla572230[[#This Row],[Equipo ]]="","",INDEX(V_GALON,MATCH(Tabla572230[[#This Row],[Equipo ]],LISTA_MAQUINARIA,0)))</f>
        <v/>
      </c>
      <c r="CQ48" s="10"/>
      <c r="CR48" s="165" t="str">
        <f>IF(Tabla572230[[#This Row],[Equipo ]]="","",Tabla572230[[#This Row],[Valor mensual]]+Tabla572230[[#This Row],[Combustible Hora ]]*Tabla572230[[#This Row],[Valor galon]]*Tabla572230[[#This Row],[Horas mes]])</f>
        <v/>
      </c>
      <c r="CS48" s="168" t="str">
        <f>IF(Tabla572230[[#This Row],[Valor mensual + Combustible]]="","",Tabla572230[[#This Row],[Valor mensual + Combustible]]*Tabla572230[[#This Row],[Cantidad]])</f>
        <v/>
      </c>
      <c r="CV48" s="9"/>
      <c r="CW48" s="10"/>
      <c r="CX48" s="165" t="str">
        <f>IF(Tabla575233[[#This Row],[Equipo ]]="","",INDEX(V_MENSUAL,MATCH(Tabla575233[[#This Row],[Equipo ]],LISTA_MAQUINARIA,0)))</f>
        <v/>
      </c>
      <c r="CY48" s="12" t="str">
        <f>IF(Tabla575233[[#This Row],[Equipo ]]="","",INDEX(CONSUMO_COMBUSTIBLE_H,MATCH(Tabla575233[[#This Row],[Equipo ]],LISTA_MAQUINARIA,0)))</f>
        <v/>
      </c>
      <c r="CZ48" s="166" t="str">
        <f>IF(Tabla575233[[#This Row],[Equipo ]]="","",INDEX(V_GALON,MATCH(Tabla575233[[#This Row],[Equipo ]],LISTA_MAQUINARIA,0)))</f>
        <v/>
      </c>
      <c r="DA48" s="10"/>
      <c r="DB48" s="165" t="str">
        <f>IF(Tabla575233[[#This Row],[Equipo ]]="","",Tabla575233[[#This Row],[Valor mensual]]+Tabla575233[[#This Row],[Combustible Hora ]]*Tabla575233[[#This Row],[Valor galon]]*Tabla575233[[#This Row],[Horas mes]])</f>
        <v/>
      </c>
      <c r="DC48" s="168" t="str">
        <f>IF(Tabla575233[[#This Row],[Valor mensual + Combustible]]="","",Tabla575233[[#This Row],[Valor mensual + Combustible]]*Tabla575233[[#This Row],[Cantidad]])</f>
        <v/>
      </c>
      <c r="DF48" s="9"/>
      <c r="DG48" s="10"/>
      <c r="DH48" s="165" t="str">
        <f>IF(Tabla578236[[#This Row],[Equipo ]]="","",INDEX(V_MENSUAL,MATCH(Tabla578236[[#This Row],[Equipo ]],LISTA_MAQUINARIA,0)))</f>
        <v/>
      </c>
      <c r="DI48" s="12" t="str">
        <f>IF(Tabla578236[[#This Row],[Equipo ]]="","",INDEX(CONSUMO_COMBUSTIBLE_H,MATCH(Tabla578236[[#This Row],[Equipo ]],LISTA_MAQUINARIA,0)))</f>
        <v/>
      </c>
      <c r="DJ48" s="166" t="str">
        <f>IF(Tabla578236[[#This Row],[Equipo ]]="","",INDEX(V_GALON,MATCH(Tabla578236[[#This Row],[Equipo ]],LISTA_MAQUINARIA,0)))</f>
        <v/>
      </c>
      <c r="DK48" s="10"/>
      <c r="DL48" s="165" t="str">
        <f>IF(Tabla578236[[#This Row],[Equipo ]]="","",Tabla578236[[#This Row],[Valor mensual]]+Tabla578236[[#This Row],[Combustible Hora ]]*Tabla578236[[#This Row],[Valor galon]]*Tabla578236[[#This Row],[Horas mes]])</f>
        <v/>
      </c>
      <c r="DM48" s="168" t="str">
        <f>IF(Tabla578236[[#This Row],[Valor mensual + Combustible]]="","",Tabla578236[[#This Row],[Valor mensual + Combustible]]*Tabla578236[[#This Row],[Cantidad]])</f>
        <v/>
      </c>
      <c r="DP48" s="9"/>
      <c r="DQ48" s="10"/>
      <c r="DR48" s="165" t="str">
        <f>IF(Tabla581239[[#This Row],[Equipo ]]="","",INDEX(V_MENSUAL,MATCH(Tabla581239[[#This Row],[Equipo ]],LISTA_MAQUINARIA,0)))</f>
        <v/>
      </c>
      <c r="DS48" s="12" t="str">
        <f>IF(Tabla581239[[#This Row],[Equipo ]]="","",INDEX(CONSUMO_COMBUSTIBLE_H,MATCH(Tabla581239[[#This Row],[Equipo ]],LISTA_MAQUINARIA,0)))</f>
        <v/>
      </c>
      <c r="DT48" s="166" t="str">
        <f>IF(Tabla581239[[#This Row],[Equipo ]]="","",INDEX(V_GALON,MATCH(Tabla581239[[#This Row],[Equipo ]],LISTA_MAQUINARIA,0)))</f>
        <v/>
      </c>
      <c r="DU48" s="10"/>
      <c r="DV48" s="165" t="str">
        <f>IF(Tabla581239[[#This Row],[Equipo ]]="","",Tabla581239[[#This Row],[Valor mensual]]+Tabla581239[[#This Row],[Combustible Hora ]]*Tabla581239[[#This Row],[Valor galon]]*Tabla581239[[#This Row],[Horas mes]])</f>
        <v/>
      </c>
      <c r="DW48" s="168" t="str">
        <f>IF(Tabla581239[[#This Row],[Valor mensual + Combustible]]="","",Tabla581239[[#This Row],[Valor mensual + Combustible]]*Tabla581239[[#This Row],[Cantidad]])</f>
        <v/>
      </c>
      <c r="DZ48" s="9"/>
      <c r="EA48" s="10"/>
      <c r="EB48" s="165" t="str">
        <f>IF(Tabla584242[[#This Row],[Equipo ]]="","",INDEX(V_MENSUAL,MATCH(Tabla584242[[#This Row],[Equipo ]],LISTA_MAQUINARIA,0)))</f>
        <v/>
      </c>
      <c r="EC48" s="12" t="str">
        <f>IF(Tabla584242[[#This Row],[Equipo ]]="","",INDEX(CONSUMO_COMBUSTIBLE_H,MATCH(Tabla584242[[#This Row],[Equipo ]],LISTA_MAQUINARIA,0)))</f>
        <v/>
      </c>
      <c r="ED48" s="166" t="str">
        <f>IF(Tabla584242[[#This Row],[Equipo ]]="","",INDEX(V_GALON,MATCH(Tabla584242[[#This Row],[Equipo ]],LISTA_MAQUINARIA,0)))</f>
        <v/>
      </c>
      <c r="EE48" s="10"/>
      <c r="EF48" s="165" t="str">
        <f>IF(Tabla584242[[#This Row],[Equipo ]]="","",Tabla584242[[#This Row],[Valor mensual]]+Tabla584242[[#This Row],[Combustible Hora ]]*Tabla584242[[#This Row],[Valor galon]]*Tabla584242[[#This Row],[Horas mes]])</f>
        <v/>
      </c>
      <c r="EG48" s="168" t="str">
        <f>IF(Tabla584242[[#This Row],[Valor mensual + Combustible]]="","",Tabla584242[[#This Row],[Valor mensual + Combustible]]*Tabla584242[[#This Row],[Cantidad]])</f>
        <v/>
      </c>
      <c r="EJ48" s="9"/>
      <c r="EK48" s="10"/>
      <c r="EL48" s="165" t="str">
        <f>IF(Tabla587245[[#This Row],[Equipo ]]="","",INDEX(V_MENSUAL,MATCH(Tabla587245[[#This Row],[Equipo ]],LISTA_MAQUINARIA,0)))</f>
        <v/>
      </c>
      <c r="EM48" s="12" t="str">
        <f>IF(Tabla587245[[#This Row],[Equipo ]]="","",INDEX(CONSUMO_COMBUSTIBLE_H,MATCH(Tabla587245[[#This Row],[Equipo ]],LISTA_MAQUINARIA,0)))</f>
        <v/>
      </c>
      <c r="EN48" s="166" t="str">
        <f>IF(Tabla587245[[#This Row],[Equipo ]]="","",INDEX(V_GALON,MATCH(Tabla587245[[#This Row],[Equipo ]],LISTA_MAQUINARIA,0)))</f>
        <v/>
      </c>
      <c r="EO48" s="10"/>
      <c r="EP48" s="165" t="str">
        <f>IF(Tabla587245[[#This Row],[Equipo ]]="","",Tabla587245[[#This Row],[Valor mensual]]+Tabla587245[[#This Row],[Combustible Hora ]]*Tabla587245[[#This Row],[Valor galon]]*Tabla587245[[#This Row],[Horas mes]])</f>
        <v/>
      </c>
      <c r="EQ48" s="168" t="str">
        <f>IF(Tabla587245[[#This Row],[Valor mensual + Combustible]]="","",Tabla587245[[#This Row],[Valor mensual + Combustible]]*Tabla587245[[#This Row],[Cantidad]])</f>
        <v/>
      </c>
      <c r="ET48" s="9"/>
      <c r="EU48" s="10"/>
      <c r="EV48" s="165" t="str">
        <f>IF(Tabla590248[[#This Row],[Equipo ]]="","",INDEX(V_MENSUAL,MATCH(Tabla590248[[#This Row],[Equipo ]],LISTA_MAQUINARIA,0)))</f>
        <v/>
      </c>
      <c r="EW48" s="12" t="str">
        <f>IF(Tabla590248[[#This Row],[Equipo ]]="","",INDEX(CONSUMO_COMBUSTIBLE_H,MATCH(Tabla590248[[#This Row],[Equipo ]],LISTA_MAQUINARIA,0)))</f>
        <v/>
      </c>
      <c r="EX48" s="166" t="str">
        <f>IF(Tabla590248[[#This Row],[Equipo ]]="","",INDEX(V_GALON,MATCH(Tabla590248[[#This Row],[Equipo ]],LISTA_MAQUINARIA,0)))</f>
        <v/>
      </c>
      <c r="EY48" s="10"/>
      <c r="EZ48" s="165" t="str">
        <f>IF(Tabla590248[[#This Row],[Equipo ]]="","",Tabla590248[[#This Row],[Valor mensual]]+Tabla590248[[#This Row],[Combustible Hora ]]*Tabla590248[[#This Row],[Valor galon]]*Tabla590248[[#This Row],[Horas mes]])</f>
        <v/>
      </c>
      <c r="FA48" s="168" t="str">
        <f>IF(Tabla590248[[#This Row],[Valor mensual + Combustible]]="","",Tabla590248[[#This Row],[Valor mensual + Combustible]]*Tabla590248[[#This Row],[Cantidad]])</f>
        <v/>
      </c>
      <c r="FD48" s="9"/>
      <c r="FE48" s="10"/>
      <c r="FF48" s="165" t="str">
        <f>IF(Tabla593251[[#This Row],[Equipo ]]="","",INDEX(V_MENSUAL,MATCH(Tabla593251[[#This Row],[Equipo ]],LISTA_MAQUINARIA,0)))</f>
        <v/>
      </c>
      <c r="FG48" s="12" t="str">
        <f>IF(Tabla593251[[#This Row],[Equipo ]]="","",INDEX(CONSUMO_COMBUSTIBLE_H,MATCH(Tabla593251[[#This Row],[Equipo ]],LISTA_MAQUINARIA,0)))</f>
        <v/>
      </c>
      <c r="FH48" s="166" t="str">
        <f>IF(Tabla593251[[#This Row],[Equipo ]]="","",INDEX(V_GALON,MATCH(Tabla593251[[#This Row],[Equipo ]],LISTA_MAQUINARIA,0)))</f>
        <v/>
      </c>
      <c r="FI48" s="10"/>
      <c r="FJ48" s="165" t="str">
        <f>IF(Tabla593251[[#This Row],[Equipo ]]="","",Tabla593251[[#This Row],[Valor mensual]]+Tabla593251[[#This Row],[Combustible Hora ]]*Tabla593251[[#This Row],[Valor galon]]*Tabla593251[[#This Row],[Horas mes]])</f>
        <v/>
      </c>
      <c r="FK48" s="168" t="str">
        <f>IF(Tabla593251[[#This Row],[Valor mensual + Combustible]]="","",Tabla593251[[#This Row],[Valor mensual + Combustible]]*Tabla593251[[#This Row],[Cantidad]])</f>
        <v/>
      </c>
      <c r="FN48" s="9"/>
      <c r="FO48" s="10"/>
      <c r="FP48" s="165" t="str">
        <f>IF(Tabla596254[[#This Row],[Equipo ]]="","",INDEX(V_MENSUAL,MATCH(Tabla596254[[#This Row],[Equipo ]],LISTA_MAQUINARIA,0)))</f>
        <v/>
      </c>
      <c r="FQ48" s="12" t="str">
        <f>IF(Tabla596254[[#This Row],[Equipo ]]="","",INDEX(CONSUMO_COMBUSTIBLE_H,MATCH(Tabla596254[[#This Row],[Equipo ]],LISTA_MAQUINARIA,0)))</f>
        <v/>
      </c>
      <c r="FR48" s="166" t="str">
        <f>IF(Tabla596254[[#This Row],[Equipo ]]="","",INDEX(V_GALON,MATCH(Tabla596254[[#This Row],[Equipo ]],LISTA_MAQUINARIA,0)))</f>
        <v/>
      </c>
      <c r="FS48" s="10"/>
      <c r="FT48" s="165" t="str">
        <f>IF(Tabla596254[[#This Row],[Equipo ]]="","",Tabla596254[[#This Row],[Valor mensual]]+Tabla596254[[#This Row],[Combustible Hora ]]*Tabla596254[[#This Row],[Valor galon]]*Tabla596254[[#This Row],[Horas mes]])</f>
        <v/>
      </c>
      <c r="FU48" s="168" t="str">
        <f>IF(Tabla596254[[#This Row],[Valor mensual + Combustible]]="","",Tabla596254[[#This Row],[Valor mensual + Combustible]]*Tabla596254[[#This Row],[Cantidad]])</f>
        <v/>
      </c>
    </row>
    <row r="49" spans="1:177" x14ac:dyDescent="0.3">
      <c r="A49" s="9" t="s">
        <v>502</v>
      </c>
      <c r="B49" s="10">
        <v>0.5</v>
      </c>
      <c r="C49" s="165">
        <f>IF(Tabla5203[[#This Row],[Equipo ]]="","",INDEX(V_MENSUAL,MATCH(Tabla5203[[#This Row],[Equipo ]],LISTA_MAQUINARIA,0)))</f>
        <v>3000000</v>
      </c>
      <c r="D49" s="12">
        <f>IF(Tabla5203[[#This Row],[Equipo ]]="","",INDEX(CONSUMO_COMBUSTIBLE_H,MATCH(Tabla5203[[#This Row],[Equipo ]],LISTA_MAQUINARIA,0)))</f>
        <v>0</v>
      </c>
      <c r="E49" s="166">
        <f>IF(Tabla5203[[#This Row],[Equipo ]]="","",INDEX(V_GALON,MATCH(Tabla5203[[#This Row],[Equipo ]],LISTA_MAQUINARIA,0)))</f>
        <v>10800</v>
      </c>
      <c r="F49" s="10"/>
      <c r="G49" s="165">
        <f>IF(Tabla5203[[#This Row],[Equipo ]]="","",Tabla5203[[#This Row],[Valor mensual]]+Tabla5203[[#This Row],[Combustible Hora ]]*Tabla5203[[#This Row],[Valor galon]]*Tabla5203[[#This Row],[Horas mes]])</f>
        <v>3000000</v>
      </c>
      <c r="H49" s="168">
        <f>IF(Tabla5203[[#This Row],[Valor mensual + Combustible]]="","",Tabla5203[[#This Row],[Valor mensual + Combustible]]*Tabla5203[[#This Row],[Cantidad]])</f>
        <v>1500000</v>
      </c>
      <c r="K49" s="9" t="s">
        <v>502</v>
      </c>
      <c r="L49" s="10">
        <v>0.5</v>
      </c>
      <c r="M49" s="165" cm="1">
        <f t="array" ref="M49">IF(Tabla548206[[#This Row],[Equipo ]]="","",INDEX(V_MENSUAL,MATCH(Tabla548206[[#This Row],[Equipo ]],LISTA_MAQUINARIA,0)))</f>
        <v>3000000</v>
      </c>
      <c r="N49" s="12">
        <f>IF(Tabla548206[[#This Row],[Equipo ]]="","",INDEX(CONSUMO_COMBUSTIBLE_H,MATCH(Tabla548206[[#This Row],[Equipo ]],LISTA_MAQUINARIA,0)))</f>
        <v>0</v>
      </c>
      <c r="O49" s="166">
        <f>IF(Tabla548206[[#This Row],[Equipo ]]="","",INDEX(V_GALON,MATCH(Tabla548206[[#This Row],[Equipo ]],LISTA_MAQUINARIA,0)))</f>
        <v>10800</v>
      </c>
      <c r="P49" s="10"/>
      <c r="Q49" s="165">
        <f>IF(Tabla548206[[#This Row],[Equipo ]]="","",Tabla548206[[#This Row],[Valor mensual]]+Tabla548206[[#This Row],[Combustible Hora ]]*Tabla548206[[#This Row],[Valor galon]]*Tabla548206[[#This Row],[Horas mes]])</f>
        <v>3000000</v>
      </c>
      <c r="R49" s="168">
        <f>IF(Tabla548206[[#This Row],[Valor mensual + Combustible]]="","",Tabla548206[[#This Row],[Valor mensual + Combustible]]*Tabla548206[[#This Row],[Cantidad]])</f>
        <v>1500000</v>
      </c>
      <c r="U49" s="9" t="s">
        <v>502</v>
      </c>
      <c r="V49" s="10">
        <v>0.5</v>
      </c>
      <c r="W49" s="165">
        <f>IF(Tabla551209[[#This Row],[Equipo ]]="","",INDEX(V_MENSUAL,MATCH(Tabla551209[[#This Row],[Equipo ]],LISTA_MAQUINARIA,0)))</f>
        <v>3000000</v>
      </c>
      <c r="X49" s="12">
        <f>IF(Tabla551209[[#This Row],[Equipo ]]="","",INDEX(CONSUMO_COMBUSTIBLE_H,MATCH(Tabla551209[[#This Row],[Equipo ]],LISTA_MAQUINARIA,0)))</f>
        <v>0</v>
      </c>
      <c r="Y49" s="166">
        <f>IF(Tabla551209[[#This Row],[Equipo ]]="","",INDEX(V_GALON,MATCH(Tabla551209[[#This Row],[Equipo ]],LISTA_MAQUINARIA,0)))</f>
        <v>10800</v>
      </c>
      <c r="Z49" s="10"/>
      <c r="AA49" s="165">
        <f>IF(Tabla551209[[#This Row],[Equipo ]]="","",Tabla551209[[#This Row],[Valor mensual]]+Tabla551209[[#This Row],[Combustible Hora ]]*Tabla551209[[#This Row],[Valor galon]]*Tabla551209[[#This Row],[Horas mes]])</f>
        <v>3000000</v>
      </c>
      <c r="AB49" s="168">
        <f>IF(Tabla551209[[#This Row],[Valor mensual + Combustible]]="","",Tabla551209[[#This Row],[Valor mensual + Combustible]]*Tabla551209[[#This Row],[Cantidad]])</f>
        <v>1500000</v>
      </c>
      <c r="AD49" s="9" t="s">
        <v>502</v>
      </c>
      <c r="AE49" s="10">
        <v>0.5</v>
      </c>
      <c r="AF49" s="165">
        <f>IF(Tabla554212[[#This Row],[Equipo ]]="","",INDEX(V_MENSUAL,MATCH(Tabla554212[[#This Row],[Equipo ]],LISTA_MAQUINARIA,0)))</f>
        <v>3000000</v>
      </c>
      <c r="AG49" s="12">
        <f>IF(Tabla554212[[#This Row],[Equipo ]]="","",INDEX(CONSUMO_COMBUSTIBLE_H,MATCH(Tabla554212[[#This Row],[Equipo ]],LISTA_MAQUINARIA,0)))</f>
        <v>0</v>
      </c>
      <c r="AH49" s="166">
        <f>IF(Tabla554212[[#This Row],[Equipo ]]="","",INDEX(V_GALON,MATCH(Tabla554212[[#This Row],[Equipo ]],LISTA_MAQUINARIA,0)))</f>
        <v>10800</v>
      </c>
      <c r="AI49" s="10"/>
      <c r="AJ49" s="165">
        <f>IF(Tabla554212[[#This Row],[Equipo ]]="","",Tabla554212[[#This Row],[Valor mensual]]+Tabla554212[[#This Row],[Combustible Hora ]]*Tabla554212[[#This Row],[Valor galon]]*Tabla554212[[#This Row],[Horas mes]])</f>
        <v>3000000</v>
      </c>
      <c r="AK49" s="168">
        <f>IF(Tabla554212[[#This Row],[Valor mensual + Combustible]]="","",Tabla554212[[#This Row],[Valor mensual + Combustible]]*Tabla554212[[#This Row],[Cantidad]])</f>
        <v>1500000</v>
      </c>
      <c r="AN49" s="9"/>
      <c r="AO49" s="10"/>
      <c r="AP49" s="165" t="str">
        <f>IF(Tabla557215[[#This Row],[Equipo ]]="","",INDEX(V_MENSUAL,MATCH(Tabla557215[[#This Row],[Equipo ]],LISTA_MAQUINARIA,0)))</f>
        <v/>
      </c>
      <c r="AQ49" s="12" t="str">
        <f>IF(Tabla557215[[#This Row],[Equipo ]]="","",INDEX(CONSUMO_COMBUSTIBLE_H,MATCH(Tabla557215[[#This Row],[Equipo ]],LISTA_MAQUINARIA,0)))</f>
        <v/>
      </c>
      <c r="AR49" s="166" t="str">
        <f>IF(Tabla557215[[#This Row],[Equipo ]]="","",INDEX(V_GALON,MATCH(Tabla557215[[#This Row],[Equipo ]],LISTA_MAQUINARIA,0)))</f>
        <v/>
      </c>
      <c r="AS49" s="10"/>
      <c r="AT49" s="165" t="str">
        <f>IF(Tabla557215[[#This Row],[Equipo ]]="","",Tabla557215[[#This Row],[Valor mensual]]+Tabla557215[[#This Row],[Combustible Hora ]]*Tabla557215[[#This Row],[Valor galon]]*Tabla557215[[#This Row],[Horas mes]])</f>
        <v/>
      </c>
      <c r="AU49" s="168" t="str">
        <f>IF(Tabla557215[[#This Row],[Valor mensual + Combustible]]="","",Tabla557215[[#This Row],[Valor mensual + Combustible]]*Tabla557215[[#This Row],[Cantidad]])</f>
        <v/>
      </c>
      <c r="AX49" s="9"/>
      <c r="AY49" s="10"/>
      <c r="AZ49" s="165" t="str">
        <f>IF(Tabla560218[[#This Row],[Equipo ]]="","",INDEX(V_MENSUAL,MATCH(Tabla560218[[#This Row],[Equipo ]],LISTA_MAQUINARIA,0)))</f>
        <v/>
      </c>
      <c r="BA49" s="12" t="str">
        <f>IF(Tabla560218[[#This Row],[Equipo ]]="","",INDEX(CONSUMO_COMBUSTIBLE_H,MATCH(Tabla560218[[#This Row],[Equipo ]],LISTA_MAQUINARIA,0)))</f>
        <v/>
      </c>
      <c r="BB49" s="166" t="str">
        <f>IF(Tabla560218[[#This Row],[Equipo ]]="","",INDEX(V_GALON,MATCH(Tabla560218[[#This Row],[Equipo ]],LISTA_MAQUINARIA,0)))</f>
        <v/>
      </c>
      <c r="BC49" s="10"/>
      <c r="BD49" s="165" t="str">
        <f>IF(Tabla560218[[#This Row],[Equipo ]]="","",Tabla560218[[#This Row],[Valor mensual]]+Tabla560218[[#This Row],[Combustible Hora ]]*Tabla560218[[#This Row],[Valor galon]]*Tabla560218[[#This Row],[Horas mes]])</f>
        <v/>
      </c>
      <c r="BE49" s="168" t="str">
        <f>IF(Tabla560218[[#This Row],[Valor mensual + Combustible]]="","",Tabla560218[[#This Row],[Valor mensual + Combustible]]*Tabla560218[[#This Row],[Cantidad]])</f>
        <v/>
      </c>
      <c r="BH49" s="9"/>
      <c r="BI49" s="10"/>
      <c r="BJ49" s="165" t="str">
        <f>IF(Tabla563221[[#This Row],[Equipo ]]="","",INDEX(V_MENSUAL,MATCH(Tabla563221[[#This Row],[Equipo ]],LISTA_MAQUINARIA,0)))</f>
        <v/>
      </c>
      <c r="BK49" s="12" t="str">
        <f>IF(Tabla563221[[#This Row],[Equipo ]]="","",INDEX(CONSUMO_COMBUSTIBLE_H,MATCH(Tabla563221[[#This Row],[Equipo ]],LISTA_MAQUINARIA,0)))</f>
        <v/>
      </c>
      <c r="BL49" s="166" t="str">
        <f>IF(Tabla563221[[#This Row],[Equipo ]]="","",INDEX(V_GALON,MATCH(Tabla563221[[#This Row],[Equipo ]],LISTA_MAQUINARIA,0)))</f>
        <v/>
      </c>
      <c r="BM49" s="10"/>
      <c r="BN49" s="165" t="str">
        <f>IF(Tabla563221[[#This Row],[Equipo ]]="","",Tabla563221[[#This Row],[Valor mensual]]+Tabla563221[[#This Row],[Combustible Hora ]]*Tabla563221[[#This Row],[Valor galon]]*Tabla563221[[#This Row],[Horas mes]])</f>
        <v/>
      </c>
      <c r="BO49" s="168" t="str">
        <f>IF(Tabla563221[[#This Row],[Valor mensual + Combustible]]="","",Tabla563221[[#This Row],[Valor mensual + Combustible]]*Tabla563221[[#This Row],[Cantidad]])</f>
        <v/>
      </c>
      <c r="BR49" s="9"/>
      <c r="BS49" s="10"/>
      <c r="BT49" s="165" t="str">
        <f>IF(Tabla566224[[#This Row],[Equipo ]]="","",INDEX(V_MENSUAL,MATCH(Tabla566224[[#This Row],[Equipo ]],LISTA_MAQUINARIA,0)))</f>
        <v/>
      </c>
      <c r="BU49" s="12" t="str">
        <f>IF(Tabla566224[[#This Row],[Equipo ]]="","",INDEX(CONSUMO_COMBUSTIBLE_H,MATCH(Tabla566224[[#This Row],[Equipo ]],LISTA_MAQUINARIA,0)))</f>
        <v/>
      </c>
      <c r="BV49" s="166" t="str">
        <f>IF(Tabla566224[[#This Row],[Equipo ]]="","",INDEX(V_GALON,MATCH(Tabla566224[[#This Row],[Equipo ]],LISTA_MAQUINARIA,0)))</f>
        <v/>
      </c>
      <c r="BW49" s="10"/>
      <c r="BX49" s="165" t="str">
        <f>IF(Tabla566224[[#This Row],[Equipo ]]="","",Tabla566224[[#This Row],[Valor mensual]]+Tabla566224[[#This Row],[Combustible Hora ]]*Tabla566224[[#This Row],[Valor galon]]*Tabla566224[[#This Row],[Horas mes]])</f>
        <v/>
      </c>
      <c r="BY49" s="168" t="str">
        <f>IF(Tabla566224[[#This Row],[Valor mensual + Combustible]]="","",Tabla566224[[#This Row],[Valor mensual + Combustible]]*Tabla566224[[#This Row],[Cantidad]])</f>
        <v/>
      </c>
      <c r="CB49" s="9"/>
      <c r="CC49" s="10"/>
      <c r="CD49" s="165" t="str">
        <f>IF(Tabla569227[[#This Row],[Equipo ]]="","",INDEX(V_MENSUAL,MATCH(Tabla569227[[#This Row],[Equipo ]],LISTA_MAQUINARIA,0)))</f>
        <v/>
      </c>
      <c r="CE49" s="12" t="str">
        <f>IF(Tabla569227[[#This Row],[Equipo ]]="","",INDEX(CONSUMO_COMBUSTIBLE_H,MATCH(Tabla569227[[#This Row],[Equipo ]],LISTA_MAQUINARIA,0)))</f>
        <v/>
      </c>
      <c r="CF49" s="166" t="str">
        <f>IF(Tabla569227[[#This Row],[Equipo ]]="","",INDEX(V_GALON,MATCH(Tabla569227[[#This Row],[Equipo ]],LISTA_MAQUINARIA,0)))</f>
        <v/>
      </c>
      <c r="CG49" s="10"/>
      <c r="CH49" s="165" t="str">
        <f>IF(Tabla569227[[#This Row],[Equipo ]]="","",Tabla569227[[#This Row],[Valor mensual]]+Tabla569227[[#This Row],[Combustible Hora ]]*Tabla569227[[#This Row],[Valor galon]]*Tabla569227[[#This Row],[Horas mes]])</f>
        <v/>
      </c>
      <c r="CI49" s="168" t="str">
        <f>IF(Tabla569227[[#This Row],[Valor mensual + Combustible]]="","",Tabla569227[[#This Row],[Valor mensual + Combustible]]*Tabla569227[[#This Row],[Cantidad]])</f>
        <v/>
      </c>
      <c r="CL49" s="9"/>
      <c r="CM49" s="10"/>
      <c r="CN49" s="165" t="str">
        <f>IF(Tabla572230[[#This Row],[Equipo ]]="","",INDEX(V_MENSUAL,MATCH(Tabla572230[[#This Row],[Equipo ]],LISTA_MAQUINARIA,0)))</f>
        <v/>
      </c>
      <c r="CO49" s="12" t="str">
        <f>IF(Tabla572230[[#This Row],[Equipo ]]="","",INDEX(CONSUMO_COMBUSTIBLE_H,MATCH(Tabla572230[[#This Row],[Equipo ]],LISTA_MAQUINARIA,0)))</f>
        <v/>
      </c>
      <c r="CP49" s="166" t="str">
        <f>IF(Tabla572230[[#This Row],[Equipo ]]="","",INDEX(V_GALON,MATCH(Tabla572230[[#This Row],[Equipo ]],LISTA_MAQUINARIA,0)))</f>
        <v/>
      </c>
      <c r="CQ49" s="10"/>
      <c r="CR49" s="165" t="str">
        <f>IF(Tabla572230[[#This Row],[Equipo ]]="","",Tabla572230[[#This Row],[Valor mensual]]+Tabla572230[[#This Row],[Combustible Hora ]]*Tabla572230[[#This Row],[Valor galon]]*Tabla572230[[#This Row],[Horas mes]])</f>
        <v/>
      </c>
      <c r="CS49" s="168" t="str">
        <f>IF(Tabla572230[[#This Row],[Valor mensual + Combustible]]="","",Tabla572230[[#This Row],[Valor mensual + Combustible]]*Tabla572230[[#This Row],[Cantidad]])</f>
        <v/>
      </c>
      <c r="CV49" s="9"/>
      <c r="CW49" s="10"/>
      <c r="CX49" s="165" t="str">
        <f>IF(Tabla575233[[#This Row],[Equipo ]]="","",INDEX(V_MENSUAL,MATCH(Tabla575233[[#This Row],[Equipo ]],LISTA_MAQUINARIA,0)))</f>
        <v/>
      </c>
      <c r="CY49" s="12" t="str">
        <f>IF(Tabla575233[[#This Row],[Equipo ]]="","",INDEX(CONSUMO_COMBUSTIBLE_H,MATCH(Tabla575233[[#This Row],[Equipo ]],LISTA_MAQUINARIA,0)))</f>
        <v/>
      </c>
      <c r="CZ49" s="166" t="str">
        <f>IF(Tabla575233[[#This Row],[Equipo ]]="","",INDEX(V_GALON,MATCH(Tabla575233[[#This Row],[Equipo ]],LISTA_MAQUINARIA,0)))</f>
        <v/>
      </c>
      <c r="DA49" s="10"/>
      <c r="DB49" s="165" t="str">
        <f>IF(Tabla575233[[#This Row],[Equipo ]]="","",Tabla575233[[#This Row],[Valor mensual]]+Tabla575233[[#This Row],[Combustible Hora ]]*Tabla575233[[#This Row],[Valor galon]]*Tabla575233[[#This Row],[Horas mes]])</f>
        <v/>
      </c>
      <c r="DC49" s="168" t="str">
        <f>IF(Tabla575233[[#This Row],[Valor mensual + Combustible]]="","",Tabla575233[[#This Row],[Valor mensual + Combustible]]*Tabla575233[[#This Row],[Cantidad]])</f>
        <v/>
      </c>
      <c r="DF49" s="9"/>
      <c r="DG49" s="10"/>
      <c r="DH49" s="165" t="str">
        <f>IF(Tabla578236[[#This Row],[Equipo ]]="","",INDEX(V_MENSUAL,MATCH(Tabla578236[[#This Row],[Equipo ]],LISTA_MAQUINARIA,0)))</f>
        <v/>
      </c>
      <c r="DI49" s="12" t="str">
        <f>IF(Tabla578236[[#This Row],[Equipo ]]="","",INDEX(CONSUMO_COMBUSTIBLE_H,MATCH(Tabla578236[[#This Row],[Equipo ]],LISTA_MAQUINARIA,0)))</f>
        <v/>
      </c>
      <c r="DJ49" s="166" t="str">
        <f>IF(Tabla578236[[#This Row],[Equipo ]]="","",INDEX(V_GALON,MATCH(Tabla578236[[#This Row],[Equipo ]],LISTA_MAQUINARIA,0)))</f>
        <v/>
      </c>
      <c r="DK49" s="10"/>
      <c r="DL49" s="165" t="str">
        <f>IF(Tabla578236[[#This Row],[Equipo ]]="","",Tabla578236[[#This Row],[Valor mensual]]+Tabla578236[[#This Row],[Combustible Hora ]]*Tabla578236[[#This Row],[Valor galon]]*Tabla578236[[#This Row],[Horas mes]])</f>
        <v/>
      </c>
      <c r="DM49" s="168" t="str">
        <f>IF(Tabla578236[[#This Row],[Valor mensual + Combustible]]="","",Tabla578236[[#This Row],[Valor mensual + Combustible]]*Tabla578236[[#This Row],[Cantidad]])</f>
        <v/>
      </c>
      <c r="DP49" s="9"/>
      <c r="DQ49" s="10"/>
      <c r="DR49" s="165" t="str">
        <f>IF(Tabla581239[[#This Row],[Equipo ]]="","",INDEX(V_MENSUAL,MATCH(Tabla581239[[#This Row],[Equipo ]],LISTA_MAQUINARIA,0)))</f>
        <v/>
      </c>
      <c r="DS49" s="12" t="str">
        <f>IF(Tabla581239[[#This Row],[Equipo ]]="","",INDEX(CONSUMO_COMBUSTIBLE_H,MATCH(Tabla581239[[#This Row],[Equipo ]],LISTA_MAQUINARIA,0)))</f>
        <v/>
      </c>
      <c r="DT49" s="166" t="str">
        <f>IF(Tabla581239[[#This Row],[Equipo ]]="","",INDEX(V_GALON,MATCH(Tabla581239[[#This Row],[Equipo ]],LISTA_MAQUINARIA,0)))</f>
        <v/>
      </c>
      <c r="DU49" s="10"/>
      <c r="DV49" s="165" t="str">
        <f>IF(Tabla581239[[#This Row],[Equipo ]]="","",Tabla581239[[#This Row],[Valor mensual]]+Tabla581239[[#This Row],[Combustible Hora ]]*Tabla581239[[#This Row],[Valor galon]]*Tabla581239[[#This Row],[Horas mes]])</f>
        <v/>
      </c>
      <c r="DW49" s="168" t="str">
        <f>IF(Tabla581239[[#This Row],[Valor mensual + Combustible]]="","",Tabla581239[[#This Row],[Valor mensual + Combustible]]*Tabla581239[[#This Row],[Cantidad]])</f>
        <v/>
      </c>
      <c r="DZ49" s="9"/>
      <c r="EA49" s="10"/>
      <c r="EB49" s="165" t="str">
        <f>IF(Tabla584242[[#This Row],[Equipo ]]="","",INDEX(V_MENSUAL,MATCH(Tabla584242[[#This Row],[Equipo ]],LISTA_MAQUINARIA,0)))</f>
        <v/>
      </c>
      <c r="EC49" s="12" t="str">
        <f>IF(Tabla584242[[#This Row],[Equipo ]]="","",INDEX(CONSUMO_COMBUSTIBLE_H,MATCH(Tabla584242[[#This Row],[Equipo ]],LISTA_MAQUINARIA,0)))</f>
        <v/>
      </c>
      <c r="ED49" s="166" t="str">
        <f>IF(Tabla584242[[#This Row],[Equipo ]]="","",INDEX(V_GALON,MATCH(Tabla584242[[#This Row],[Equipo ]],LISTA_MAQUINARIA,0)))</f>
        <v/>
      </c>
      <c r="EE49" s="10"/>
      <c r="EF49" s="165" t="str">
        <f>IF(Tabla584242[[#This Row],[Equipo ]]="","",Tabla584242[[#This Row],[Valor mensual]]+Tabla584242[[#This Row],[Combustible Hora ]]*Tabla584242[[#This Row],[Valor galon]]*Tabla584242[[#This Row],[Horas mes]])</f>
        <v/>
      </c>
      <c r="EG49" s="168" t="str">
        <f>IF(Tabla584242[[#This Row],[Valor mensual + Combustible]]="","",Tabla584242[[#This Row],[Valor mensual + Combustible]]*Tabla584242[[#This Row],[Cantidad]])</f>
        <v/>
      </c>
      <c r="EJ49" s="9"/>
      <c r="EK49" s="10"/>
      <c r="EL49" s="165" t="str">
        <f>IF(Tabla587245[[#This Row],[Equipo ]]="","",INDEX(V_MENSUAL,MATCH(Tabla587245[[#This Row],[Equipo ]],LISTA_MAQUINARIA,0)))</f>
        <v/>
      </c>
      <c r="EM49" s="12" t="str">
        <f>IF(Tabla587245[[#This Row],[Equipo ]]="","",INDEX(CONSUMO_COMBUSTIBLE_H,MATCH(Tabla587245[[#This Row],[Equipo ]],LISTA_MAQUINARIA,0)))</f>
        <v/>
      </c>
      <c r="EN49" s="166" t="str">
        <f>IF(Tabla587245[[#This Row],[Equipo ]]="","",INDEX(V_GALON,MATCH(Tabla587245[[#This Row],[Equipo ]],LISTA_MAQUINARIA,0)))</f>
        <v/>
      </c>
      <c r="EO49" s="10"/>
      <c r="EP49" s="165" t="str">
        <f>IF(Tabla587245[[#This Row],[Equipo ]]="","",Tabla587245[[#This Row],[Valor mensual]]+Tabla587245[[#This Row],[Combustible Hora ]]*Tabla587245[[#This Row],[Valor galon]]*Tabla587245[[#This Row],[Horas mes]])</f>
        <v/>
      </c>
      <c r="EQ49" s="168" t="str">
        <f>IF(Tabla587245[[#This Row],[Valor mensual + Combustible]]="","",Tabla587245[[#This Row],[Valor mensual + Combustible]]*Tabla587245[[#This Row],[Cantidad]])</f>
        <v/>
      </c>
      <c r="ET49" s="9"/>
      <c r="EU49" s="10"/>
      <c r="EV49" s="165" t="str">
        <f>IF(Tabla590248[[#This Row],[Equipo ]]="","",INDEX(V_MENSUAL,MATCH(Tabla590248[[#This Row],[Equipo ]],LISTA_MAQUINARIA,0)))</f>
        <v/>
      </c>
      <c r="EW49" s="12" t="str">
        <f>IF(Tabla590248[[#This Row],[Equipo ]]="","",INDEX(CONSUMO_COMBUSTIBLE_H,MATCH(Tabla590248[[#This Row],[Equipo ]],LISTA_MAQUINARIA,0)))</f>
        <v/>
      </c>
      <c r="EX49" s="166" t="str">
        <f>IF(Tabla590248[[#This Row],[Equipo ]]="","",INDEX(V_GALON,MATCH(Tabla590248[[#This Row],[Equipo ]],LISTA_MAQUINARIA,0)))</f>
        <v/>
      </c>
      <c r="EY49" s="10"/>
      <c r="EZ49" s="165" t="str">
        <f>IF(Tabla590248[[#This Row],[Equipo ]]="","",Tabla590248[[#This Row],[Valor mensual]]+Tabla590248[[#This Row],[Combustible Hora ]]*Tabla590248[[#This Row],[Valor galon]]*Tabla590248[[#This Row],[Horas mes]])</f>
        <v/>
      </c>
      <c r="FA49" s="168" t="str">
        <f>IF(Tabla590248[[#This Row],[Valor mensual + Combustible]]="","",Tabla590248[[#This Row],[Valor mensual + Combustible]]*Tabla590248[[#This Row],[Cantidad]])</f>
        <v/>
      </c>
      <c r="FD49" s="9"/>
      <c r="FE49" s="10"/>
      <c r="FF49" s="165" t="str">
        <f>IF(Tabla593251[[#This Row],[Equipo ]]="","",INDEX(V_MENSUAL,MATCH(Tabla593251[[#This Row],[Equipo ]],LISTA_MAQUINARIA,0)))</f>
        <v/>
      </c>
      <c r="FG49" s="12" t="str">
        <f>IF(Tabla593251[[#This Row],[Equipo ]]="","",INDEX(CONSUMO_COMBUSTIBLE_H,MATCH(Tabla593251[[#This Row],[Equipo ]],LISTA_MAQUINARIA,0)))</f>
        <v/>
      </c>
      <c r="FH49" s="166" t="str">
        <f>IF(Tabla593251[[#This Row],[Equipo ]]="","",INDEX(V_GALON,MATCH(Tabla593251[[#This Row],[Equipo ]],LISTA_MAQUINARIA,0)))</f>
        <v/>
      </c>
      <c r="FI49" s="10"/>
      <c r="FJ49" s="165" t="str">
        <f>IF(Tabla593251[[#This Row],[Equipo ]]="","",Tabla593251[[#This Row],[Valor mensual]]+Tabla593251[[#This Row],[Combustible Hora ]]*Tabla593251[[#This Row],[Valor galon]]*Tabla593251[[#This Row],[Horas mes]])</f>
        <v/>
      </c>
      <c r="FK49" s="168" t="str">
        <f>IF(Tabla593251[[#This Row],[Valor mensual + Combustible]]="","",Tabla593251[[#This Row],[Valor mensual + Combustible]]*Tabla593251[[#This Row],[Cantidad]])</f>
        <v/>
      </c>
      <c r="FN49" s="9"/>
      <c r="FO49" s="10"/>
      <c r="FP49" s="165" t="str">
        <f>IF(Tabla596254[[#This Row],[Equipo ]]="","",INDEX(V_MENSUAL,MATCH(Tabla596254[[#This Row],[Equipo ]],LISTA_MAQUINARIA,0)))</f>
        <v/>
      </c>
      <c r="FQ49" s="12" t="str">
        <f>IF(Tabla596254[[#This Row],[Equipo ]]="","",INDEX(CONSUMO_COMBUSTIBLE_H,MATCH(Tabla596254[[#This Row],[Equipo ]],LISTA_MAQUINARIA,0)))</f>
        <v/>
      </c>
      <c r="FR49" s="166" t="str">
        <f>IF(Tabla596254[[#This Row],[Equipo ]]="","",INDEX(V_GALON,MATCH(Tabla596254[[#This Row],[Equipo ]],LISTA_MAQUINARIA,0)))</f>
        <v/>
      </c>
      <c r="FS49" s="10"/>
      <c r="FT49" s="165" t="str">
        <f>IF(Tabla596254[[#This Row],[Equipo ]]="","",Tabla596254[[#This Row],[Valor mensual]]+Tabla596254[[#This Row],[Combustible Hora ]]*Tabla596254[[#This Row],[Valor galon]]*Tabla596254[[#This Row],[Horas mes]])</f>
        <v/>
      </c>
      <c r="FU49" s="168" t="str">
        <f>IF(Tabla596254[[#This Row],[Valor mensual + Combustible]]="","",Tabla596254[[#This Row],[Valor mensual + Combustible]]*Tabla596254[[#This Row],[Cantidad]])</f>
        <v/>
      </c>
    </row>
    <row r="50" spans="1:177" x14ac:dyDescent="0.3">
      <c r="A50" s="9" t="s">
        <v>503</v>
      </c>
      <c r="B50" s="10">
        <v>0.5</v>
      </c>
      <c r="C50" s="165">
        <f>IF(Tabla5203[[#This Row],[Equipo ]]="","",INDEX(V_MENSUAL,MATCH(Tabla5203[[#This Row],[Equipo ]],LISTA_MAQUINARIA,0)))</f>
        <v>6000000</v>
      </c>
      <c r="D50" s="12">
        <f>IF(Tabla5203[[#This Row],[Equipo ]]="","",INDEX(CONSUMO_COMBUSTIBLE_H,MATCH(Tabla5203[[#This Row],[Equipo ]],LISTA_MAQUINARIA,0)))</f>
        <v>0</v>
      </c>
      <c r="E50" s="166">
        <f>IF(Tabla5203[[#This Row],[Equipo ]]="","",INDEX(V_GALON,MATCH(Tabla5203[[#This Row],[Equipo ]],LISTA_MAQUINARIA,0)))</f>
        <v>10800</v>
      </c>
      <c r="F50" s="10"/>
      <c r="G50" s="165">
        <f>IF(Tabla5203[[#This Row],[Equipo ]]="","",Tabla5203[[#This Row],[Valor mensual]]+Tabla5203[[#This Row],[Combustible Hora ]]*Tabla5203[[#This Row],[Valor galon]]*Tabla5203[[#This Row],[Horas mes]])</f>
        <v>6000000</v>
      </c>
      <c r="H50" s="168">
        <f>IF(Tabla5203[[#This Row],[Valor mensual + Combustible]]="","",Tabla5203[[#This Row],[Valor mensual + Combustible]]*Tabla5203[[#This Row],[Cantidad]])</f>
        <v>3000000</v>
      </c>
      <c r="K50" s="9" t="s">
        <v>503</v>
      </c>
      <c r="L50" s="10">
        <v>0.5</v>
      </c>
      <c r="M50" s="165" cm="1">
        <f t="array" ref="M50">IF(Tabla548206[[#This Row],[Equipo ]]="","",INDEX(V_MENSUAL,MATCH(Tabla548206[[#This Row],[Equipo ]],LISTA_MAQUINARIA,0)))</f>
        <v>6000000</v>
      </c>
      <c r="N50" s="12">
        <f>IF(Tabla548206[[#This Row],[Equipo ]]="","",INDEX(CONSUMO_COMBUSTIBLE_H,MATCH(Tabla548206[[#This Row],[Equipo ]],LISTA_MAQUINARIA,0)))</f>
        <v>0</v>
      </c>
      <c r="O50" s="166">
        <f>IF(Tabla548206[[#This Row],[Equipo ]]="","",INDEX(V_GALON,MATCH(Tabla548206[[#This Row],[Equipo ]],LISTA_MAQUINARIA,0)))</f>
        <v>10800</v>
      </c>
      <c r="P50" s="10"/>
      <c r="Q50" s="165">
        <f>IF(Tabla548206[[#This Row],[Equipo ]]="","",Tabla548206[[#This Row],[Valor mensual]]+Tabla548206[[#This Row],[Combustible Hora ]]*Tabla548206[[#This Row],[Valor galon]]*Tabla548206[[#This Row],[Horas mes]])</f>
        <v>6000000</v>
      </c>
      <c r="R50" s="168">
        <f>IF(Tabla548206[[#This Row],[Valor mensual + Combustible]]="","",Tabla548206[[#This Row],[Valor mensual + Combustible]]*Tabla548206[[#This Row],[Cantidad]])</f>
        <v>3000000</v>
      </c>
      <c r="U50" s="9" t="s">
        <v>503</v>
      </c>
      <c r="V50" s="10">
        <v>0.5</v>
      </c>
      <c r="W50" s="165">
        <f>IF(Tabla551209[[#This Row],[Equipo ]]="","",INDEX(V_MENSUAL,MATCH(Tabla551209[[#This Row],[Equipo ]],LISTA_MAQUINARIA,0)))</f>
        <v>6000000</v>
      </c>
      <c r="X50" s="12">
        <f>IF(Tabla551209[[#This Row],[Equipo ]]="","",INDEX(CONSUMO_COMBUSTIBLE_H,MATCH(Tabla551209[[#This Row],[Equipo ]],LISTA_MAQUINARIA,0)))</f>
        <v>0</v>
      </c>
      <c r="Y50" s="166">
        <f>IF(Tabla551209[[#This Row],[Equipo ]]="","",INDEX(V_GALON,MATCH(Tabla551209[[#This Row],[Equipo ]],LISTA_MAQUINARIA,0)))</f>
        <v>10800</v>
      </c>
      <c r="Z50" s="10"/>
      <c r="AA50" s="165">
        <f>IF(Tabla551209[[#This Row],[Equipo ]]="","",Tabla551209[[#This Row],[Valor mensual]]+Tabla551209[[#This Row],[Combustible Hora ]]*Tabla551209[[#This Row],[Valor galon]]*Tabla551209[[#This Row],[Horas mes]])</f>
        <v>6000000</v>
      </c>
      <c r="AB50" s="168">
        <f>IF(Tabla551209[[#This Row],[Valor mensual + Combustible]]="","",Tabla551209[[#This Row],[Valor mensual + Combustible]]*Tabla551209[[#This Row],[Cantidad]])</f>
        <v>3000000</v>
      </c>
      <c r="AD50" s="9" t="s">
        <v>503</v>
      </c>
      <c r="AE50" s="10">
        <v>0.5</v>
      </c>
      <c r="AF50" s="165">
        <f>IF(Tabla554212[[#This Row],[Equipo ]]="","",INDEX(V_MENSUAL,MATCH(Tabla554212[[#This Row],[Equipo ]],LISTA_MAQUINARIA,0)))</f>
        <v>6000000</v>
      </c>
      <c r="AG50" s="12">
        <f>IF(Tabla554212[[#This Row],[Equipo ]]="","",INDEX(CONSUMO_COMBUSTIBLE_H,MATCH(Tabla554212[[#This Row],[Equipo ]],LISTA_MAQUINARIA,0)))</f>
        <v>0</v>
      </c>
      <c r="AH50" s="166">
        <f>IF(Tabla554212[[#This Row],[Equipo ]]="","",INDEX(V_GALON,MATCH(Tabla554212[[#This Row],[Equipo ]],LISTA_MAQUINARIA,0)))</f>
        <v>10800</v>
      </c>
      <c r="AI50" s="10"/>
      <c r="AJ50" s="165">
        <f>IF(Tabla554212[[#This Row],[Equipo ]]="","",Tabla554212[[#This Row],[Valor mensual]]+Tabla554212[[#This Row],[Combustible Hora ]]*Tabla554212[[#This Row],[Valor galon]]*Tabla554212[[#This Row],[Horas mes]])</f>
        <v>6000000</v>
      </c>
      <c r="AK50" s="168">
        <f>IF(Tabla554212[[#This Row],[Valor mensual + Combustible]]="","",Tabla554212[[#This Row],[Valor mensual + Combustible]]*Tabla554212[[#This Row],[Cantidad]])</f>
        <v>3000000</v>
      </c>
      <c r="AN50" s="9"/>
      <c r="AO50" s="10"/>
      <c r="AP50" s="165" t="str">
        <f>IF(Tabla557215[[#This Row],[Equipo ]]="","",INDEX(V_MENSUAL,MATCH(Tabla557215[[#This Row],[Equipo ]],LISTA_MAQUINARIA,0)))</f>
        <v/>
      </c>
      <c r="AQ50" s="12" t="str">
        <f>IF(Tabla557215[[#This Row],[Equipo ]]="","",INDEX(CONSUMO_COMBUSTIBLE_H,MATCH(Tabla557215[[#This Row],[Equipo ]],LISTA_MAQUINARIA,0)))</f>
        <v/>
      </c>
      <c r="AR50" s="166" t="str">
        <f>IF(Tabla557215[[#This Row],[Equipo ]]="","",INDEX(V_GALON,MATCH(Tabla557215[[#This Row],[Equipo ]],LISTA_MAQUINARIA,0)))</f>
        <v/>
      </c>
      <c r="AS50" s="10"/>
      <c r="AT50" s="165" t="str">
        <f>IF(Tabla557215[[#This Row],[Equipo ]]="","",Tabla557215[[#This Row],[Valor mensual]]+Tabla557215[[#This Row],[Combustible Hora ]]*Tabla557215[[#This Row],[Valor galon]]*Tabla557215[[#This Row],[Horas mes]])</f>
        <v/>
      </c>
      <c r="AU50" s="168" t="str">
        <f>IF(Tabla557215[[#This Row],[Valor mensual + Combustible]]="","",Tabla557215[[#This Row],[Valor mensual + Combustible]]*Tabla557215[[#This Row],[Cantidad]])</f>
        <v/>
      </c>
      <c r="AX50" s="9"/>
      <c r="AY50" s="10"/>
      <c r="AZ50" s="165" t="str">
        <f>IF(Tabla560218[[#This Row],[Equipo ]]="","",INDEX(V_MENSUAL,MATCH(Tabla560218[[#This Row],[Equipo ]],LISTA_MAQUINARIA,0)))</f>
        <v/>
      </c>
      <c r="BA50" s="12" t="str">
        <f>IF(Tabla560218[[#This Row],[Equipo ]]="","",INDEX(CONSUMO_COMBUSTIBLE_H,MATCH(Tabla560218[[#This Row],[Equipo ]],LISTA_MAQUINARIA,0)))</f>
        <v/>
      </c>
      <c r="BB50" s="166" t="str">
        <f>IF(Tabla560218[[#This Row],[Equipo ]]="","",INDEX(V_GALON,MATCH(Tabla560218[[#This Row],[Equipo ]],LISTA_MAQUINARIA,0)))</f>
        <v/>
      </c>
      <c r="BC50" s="10"/>
      <c r="BD50" s="165" t="str">
        <f>IF(Tabla560218[[#This Row],[Equipo ]]="","",Tabla560218[[#This Row],[Valor mensual]]+Tabla560218[[#This Row],[Combustible Hora ]]*Tabla560218[[#This Row],[Valor galon]]*Tabla560218[[#This Row],[Horas mes]])</f>
        <v/>
      </c>
      <c r="BE50" s="168" t="str">
        <f>IF(Tabla560218[[#This Row],[Valor mensual + Combustible]]="","",Tabla560218[[#This Row],[Valor mensual + Combustible]]*Tabla560218[[#This Row],[Cantidad]])</f>
        <v/>
      </c>
      <c r="BH50" s="9"/>
      <c r="BI50" s="10"/>
      <c r="BJ50" s="165" t="str">
        <f>IF(Tabla563221[[#This Row],[Equipo ]]="","",INDEX(V_MENSUAL,MATCH(Tabla563221[[#This Row],[Equipo ]],LISTA_MAQUINARIA,0)))</f>
        <v/>
      </c>
      <c r="BK50" s="12" t="str">
        <f>IF(Tabla563221[[#This Row],[Equipo ]]="","",INDEX(CONSUMO_COMBUSTIBLE_H,MATCH(Tabla563221[[#This Row],[Equipo ]],LISTA_MAQUINARIA,0)))</f>
        <v/>
      </c>
      <c r="BL50" s="166" t="str">
        <f>IF(Tabla563221[[#This Row],[Equipo ]]="","",INDEX(V_GALON,MATCH(Tabla563221[[#This Row],[Equipo ]],LISTA_MAQUINARIA,0)))</f>
        <v/>
      </c>
      <c r="BM50" s="10"/>
      <c r="BN50" s="165" t="str">
        <f>IF(Tabla563221[[#This Row],[Equipo ]]="","",Tabla563221[[#This Row],[Valor mensual]]+Tabla563221[[#This Row],[Combustible Hora ]]*Tabla563221[[#This Row],[Valor galon]]*Tabla563221[[#This Row],[Horas mes]])</f>
        <v/>
      </c>
      <c r="BO50" s="168" t="str">
        <f>IF(Tabla563221[[#This Row],[Valor mensual + Combustible]]="","",Tabla563221[[#This Row],[Valor mensual + Combustible]]*Tabla563221[[#This Row],[Cantidad]])</f>
        <v/>
      </c>
      <c r="BR50" s="9"/>
      <c r="BS50" s="10"/>
      <c r="BT50" s="165" t="str">
        <f>IF(Tabla566224[[#This Row],[Equipo ]]="","",INDEX(V_MENSUAL,MATCH(Tabla566224[[#This Row],[Equipo ]],LISTA_MAQUINARIA,0)))</f>
        <v/>
      </c>
      <c r="BU50" s="12" t="str">
        <f>IF(Tabla566224[[#This Row],[Equipo ]]="","",INDEX(CONSUMO_COMBUSTIBLE_H,MATCH(Tabla566224[[#This Row],[Equipo ]],LISTA_MAQUINARIA,0)))</f>
        <v/>
      </c>
      <c r="BV50" s="166" t="str">
        <f>IF(Tabla566224[[#This Row],[Equipo ]]="","",INDEX(V_GALON,MATCH(Tabla566224[[#This Row],[Equipo ]],LISTA_MAQUINARIA,0)))</f>
        <v/>
      </c>
      <c r="BW50" s="10"/>
      <c r="BX50" s="165" t="str">
        <f>IF(Tabla566224[[#This Row],[Equipo ]]="","",Tabla566224[[#This Row],[Valor mensual]]+Tabla566224[[#This Row],[Combustible Hora ]]*Tabla566224[[#This Row],[Valor galon]]*Tabla566224[[#This Row],[Horas mes]])</f>
        <v/>
      </c>
      <c r="BY50" s="168" t="str">
        <f>IF(Tabla566224[[#This Row],[Valor mensual + Combustible]]="","",Tabla566224[[#This Row],[Valor mensual + Combustible]]*Tabla566224[[#This Row],[Cantidad]])</f>
        <v/>
      </c>
      <c r="CB50" s="9"/>
      <c r="CC50" s="10"/>
      <c r="CD50" s="165" t="str">
        <f>IF(Tabla569227[[#This Row],[Equipo ]]="","",INDEX(V_MENSUAL,MATCH(Tabla569227[[#This Row],[Equipo ]],LISTA_MAQUINARIA,0)))</f>
        <v/>
      </c>
      <c r="CE50" s="12" t="str">
        <f>IF(Tabla569227[[#This Row],[Equipo ]]="","",INDEX(CONSUMO_COMBUSTIBLE_H,MATCH(Tabla569227[[#This Row],[Equipo ]],LISTA_MAQUINARIA,0)))</f>
        <v/>
      </c>
      <c r="CF50" s="166" t="str">
        <f>IF(Tabla569227[[#This Row],[Equipo ]]="","",INDEX(V_GALON,MATCH(Tabla569227[[#This Row],[Equipo ]],LISTA_MAQUINARIA,0)))</f>
        <v/>
      </c>
      <c r="CG50" s="10"/>
      <c r="CH50" s="165" t="str">
        <f>IF(Tabla569227[[#This Row],[Equipo ]]="","",Tabla569227[[#This Row],[Valor mensual]]+Tabla569227[[#This Row],[Combustible Hora ]]*Tabla569227[[#This Row],[Valor galon]]*Tabla569227[[#This Row],[Horas mes]])</f>
        <v/>
      </c>
      <c r="CI50" s="168" t="str">
        <f>IF(Tabla569227[[#This Row],[Valor mensual + Combustible]]="","",Tabla569227[[#This Row],[Valor mensual + Combustible]]*Tabla569227[[#This Row],[Cantidad]])</f>
        <v/>
      </c>
      <c r="CL50" s="9"/>
      <c r="CM50" s="10"/>
      <c r="CN50" s="165" t="str">
        <f>IF(Tabla572230[[#This Row],[Equipo ]]="","",INDEX(V_MENSUAL,MATCH(Tabla572230[[#This Row],[Equipo ]],LISTA_MAQUINARIA,0)))</f>
        <v/>
      </c>
      <c r="CO50" s="12" t="str">
        <f>IF(Tabla572230[[#This Row],[Equipo ]]="","",INDEX(CONSUMO_COMBUSTIBLE_H,MATCH(Tabla572230[[#This Row],[Equipo ]],LISTA_MAQUINARIA,0)))</f>
        <v/>
      </c>
      <c r="CP50" s="166" t="str">
        <f>IF(Tabla572230[[#This Row],[Equipo ]]="","",INDEX(V_GALON,MATCH(Tabla572230[[#This Row],[Equipo ]],LISTA_MAQUINARIA,0)))</f>
        <v/>
      </c>
      <c r="CQ50" s="10"/>
      <c r="CR50" s="165" t="str">
        <f>IF(Tabla572230[[#This Row],[Equipo ]]="","",Tabla572230[[#This Row],[Valor mensual]]+Tabla572230[[#This Row],[Combustible Hora ]]*Tabla572230[[#This Row],[Valor galon]]*Tabla572230[[#This Row],[Horas mes]])</f>
        <v/>
      </c>
      <c r="CS50" s="168" t="str">
        <f>IF(Tabla572230[[#This Row],[Valor mensual + Combustible]]="","",Tabla572230[[#This Row],[Valor mensual + Combustible]]*Tabla572230[[#This Row],[Cantidad]])</f>
        <v/>
      </c>
      <c r="CV50" s="9"/>
      <c r="CW50" s="10"/>
      <c r="CX50" s="165" t="str">
        <f>IF(Tabla575233[[#This Row],[Equipo ]]="","",INDEX(V_MENSUAL,MATCH(Tabla575233[[#This Row],[Equipo ]],LISTA_MAQUINARIA,0)))</f>
        <v/>
      </c>
      <c r="CY50" s="12" t="str">
        <f>IF(Tabla575233[[#This Row],[Equipo ]]="","",INDEX(CONSUMO_COMBUSTIBLE_H,MATCH(Tabla575233[[#This Row],[Equipo ]],LISTA_MAQUINARIA,0)))</f>
        <v/>
      </c>
      <c r="CZ50" s="166" t="str">
        <f>IF(Tabla575233[[#This Row],[Equipo ]]="","",INDEX(V_GALON,MATCH(Tabla575233[[#This Row],[Equipo ]],LISTA_MAQUINARIA,0)))</f>
        <v/>
      </c>
      <c r="DA50" s="10"/>
      <c r="DB50" s="165" t="str">
        <f>IF(Tabla575233[[#This Row],[Equipo ]]="","",Tabla575233[[#This Row],[Valor mensual]]+Tabla575233[[#This Row],[Combustible Hora ]]*Tabla575233[[#This Row],[Valor galon]]*Tabla575233[[#This Row],[Horas mes]])</f>
        <v/>
      </c>
      <c r="DC50" s="168" t="str">
        <f>IF(Tabla575233[[#This Row],[Valor mensual + Combustible]]="","",Tabla575233[[#This Row],[Valor mensual + Combustible]]*Tabla575233[[#This Row],[Cantidad]])</f>
        <v/>
      </c>
      <c r="DF50" s="9"/>
      <c r="DG50" s="10"/>
      <c r="DH50" s="165" t="str">
        <f>IF(Tabla578236[[#This Row],[Equipo ]]="","",INDEX(V_MENSUAL,MATCH(Tabla578236[[#This Row],[Equipo ]],LISTA_MAQUINARIA,0)))</f>
        <v/>
      </c>
      <c r="DI50" s="12" t="str">
        <f>IF(Tabla578236[[#This Row],[Equipo ]]="","",INDEX(CONSUMO_COMBUSTIBLE_H,MATCH(Tabla578236[[#This Row],[Equipo ]],LISTA_MAQUINARIA,0)))</f>
        <v/>
      </c>
      <c r="DJ50" s="166" t="str">
        <f>IF(Tabla578236[[#This Row],[Equipo ]]="","",INDEX(V_GALON,MATCH(Tabla578236[[#This Row],[Equipo ]],LISTA_MAQUINARIA,0)))</f>
        <v/>
      </c>
      <c r="DK50" s="10"/>
      <c r="DL50" s="165" t="str">
        <f>IF(Tabla578236[[#This Row],[Equipo ]]="","",Tabla578236[[#This Row],[Valor mensual]]+Tabla578236[[#This Row],[Combustible Hora ]]*Tabla578236[[#This Row],[Valor galon]]*Tabla578236[[#This Row],[Horas mes]])</f>
        <v/>
      </c>
      <c r="DM50" s="168" t="str">
        <f>IF(Tabla578236[[#This Row],[Valor mensual + Combustible]]="","",Tabla578236[[#This Row],[Valor mensual + Combustible]]*Tabla578236[[#This Row],[Cantidad]])</f>
        <v/>
      </c>
      <c r="DP50" s="9"/>
      <c r="DQ50" s="10"/>
      <c r="DR50" s="165" t="str">
        <f>IF(Tabla581239[[#This Row],[Equipo ]]="","",INDEX(V_MENSUAL,MATCH(Tabla581239[[#This Row],[Equipo ]],LISTA_MAQUINARIA,0)))</f>
        <v/>
      </c>
      <c r="DS50" s="12" t="str">
        <f>IF(Tabla581239[[#This Row],[Equipo ]]="","",INDEX(CONSUMO_COMBUSTIBLE_H,MATCH(Tabla581239[[#This Row],[Equipo ]],LISTA_MAQUINARIA,0)))</f>
        <v/>
      </c>
      <c r="DT50" s="166" t="str">
        <f>IF(Tabla581239[[#This Row],[Equipo ]]="","",INDEX(V_GALON,MATCH(Tabla581239[[#This Row],[Equipo ]],LISTA_MAQUINARIA,0)))</f>
        <v/>
      </c>
      <c r="DU50" s="10"/>
      <c r="DV50" s="165" t="str">
        <f>IF(Tabla581239[[#This Row],[Equipo ]]="","",Tabla581239[[#This Row],[Valor mensual]]+Tabla581239[[#This Row],[Combustible Hora ]]*Tabla581239[[#This Row],[Valor galon]]*Tabla581239[[#This Row],[Horas mes]])</f>
        <v/>
      </c>
      <c r="DW50" s="168" t="str">
        <f>IF(Tabla581239[[#This Row],[Valor mensual + Combustible]]="","",Tabla581239[[#This Row],[Valor mensual + Combustible]]*Tabla581239[[#This Row],[Cantidad]])</f>
        <v/>
      </c>
      <c r="DZ50" s="9"/>
      <c r="EA50" s="10"/>
      <c r="EB50" s="165" t="str">
        <f>IF(Tabla584242[[#This Row],[Equipo ]]="","",INDEX(V_MENSUAL,MATCH(Tabla584242[[#This Row],[Equipo ]],LISTA_MAQUINARIA,0)))</f>
        <v/>
      </c>
      <c r="EC50" s="12" t="str">
        <f>IF(Tabla584242[[#This Row],[Equipo ]]="","",INDEX(CONSUMO_COMBUSTIBLE_H,MATCH(Tabla584242[[#This Row],[Equipo ]],LISTA_MAQUINARIA,0)))</f>
        <v/>
      </c>
      <c r="ED50" s="166" t="str">
        <f>IF(Tabla584242[[#This Row],[Equipo ]]="","",INDEX(V_GALON,MATCH(Tabla584242[[#This Row],[Equipo ]],LISTA_MAQUINARIA,0)))</f>
        <v/>
      </c>
      <c r="EE50" s="10"/>
      <c r="EF50" s="165" t="str">
        <f>IF(Tabla584242[[#This Row],[Equipo ]]="","",Tabla584242[[#This Row],[Valor mensual]]+Tabla584242[[#This Row],[Combustible Hora ]]*Tabla584242[[#This Row],[Valor galon]]*Tabla584242[[#This Row],[Horas mes]])</f>
        <v/>
      </c>
      <c r="EG50" s="168" t="str">
        <f>IF(Tabla584242[[#This Row],[Valor mensual + Combustible]]="","",Tabla584242[[#This Row],[Valor mensual + Combustible]]*Tabla584242[[#This Row],[Cantidad]])</f>
        <v/>
      </c>
      <c r="EJ50" s="9"/>
      <c r="EK50" s="10"/>
      <c r="EL50" s="165" t="str">
        <f>IF(Tabla587245[[#This Row],[Equipo ]]="","",INDEX(V_MENSUAL,MATCH(Tabla587245[[#This Row],[Equipo ]],LISTA_MAQUINARIA,0)))</f>
        <v/>
      </c>
      <c r="EM50" s="12" t="str">
        <f>IF(Tabla587245[[#This Row],[Equipo ]]="","",INDEX(CONSUMO_COMBUSTIBLE_H,MATCH(Tabla587245[[#This Row],[Equipo ]],LISTA_MAQUINARIA,0)))</f>
        <v/>
      </c>
      <c r="EN50" s="166" t="str">
        <f>IF(Tabla587245[[#This Row],[Equipo ]]="","",INDEX(V_GALON,MATCH(Tabla587245[[#This Row],[Equipo ]],LISTA_MAQUINARIA,0)))</f>
        <v/>
      </c>
      <c r="EO50" s="10"/>
      <c r="EP50" s="165" t="str">
        <f>IF(Tabla587245[[#This Row],[Equipo ]]="","",Tabla587245[[#This Row],[Valor mensual]]+Tabla587245[[#This Row],[Combustible Hora ]]*Tabla587245[[#This Row],[Valor galon]]*Tabla587245[[#This Row],[Horas mes]])</f>
        <v/>
      </c>
      <c r="EQ50" s="168" t="str">
        <f>IF(Tabla587245[[#This Row],[Valor mensual + Combustible]]="","",Tabla587245[[#This Row],[Valor mensual + Combustible]]*Tabla587245[[#This Row],[Cantidad]])</f>
        <v/>
      </c>
      <c r="ET50" s="9"/>
      <c r="EU50" s="10"/>
      <c r="EV50" s="165" t="str">
        <f>IF(Tabla590248[[#This Row],[Equipo ]]="","",INDEX(V_MENSUAL,MATCH(Tabla590248[[#This Row],[Equipo ]],LISTA_MAQUINARIA,0)))</f>
        <v/>
      </c>
      <c r="EW50" s="12" t="str">
        <f>IF(Tabla590248[[#This Row],[Equipo ]]="","",INDEX(CONSUMO_COMBUSTIBLE_H,MATCH(Tabla590248[[#This Row],[Equipo ]],LISTA_MAQUINARIA,0)))</f>
        <v/>
      </c>
      <c r="EX50" s="166" t="str">
        <f>IF(Tabla590248[[#This Row],[Equipo ]]="","",INDEX(V_GALON,MATCH(Tabla590248[[#This Row],[Equipo ]],LISTA_MAQUINARIA,0)))</f>
        <v/>
      </c>
      <c r="EY50" s="10"/>
      <c r="EZ50" s="165" t="str">
        <f>IF(Tabla590248[[#This Row],[Equipo ]]="","",Tabla590248[[#This Row],[Valor mensual]]+Tabla590248[[#This Row],[Combustible Hora ]]*Tabla590248[[#This Row],[Valor galon]]*Tabla590248[[#This Row],[Horas mes]])</f>
        <v/>
      </c>
      <c r="FA50" s="168" t="str">
        <f>IF(Tabla590248[[#This Row],[Valor mensual + Combustible]]="","",Tabla590248[[#This Row],[Valor mensual + Combustible]]*Tabla590248[[#This Row],[Cantidad]])</f>
        <v/>
      </c>
      <c r="FD50" s="9"/>
      <c r="FE50" s="10"/>
      <c r="FF50" s="165" t="str">
        <f>IF(Tabla593251[[#This Row],[Equipo ]]="","",INDEX(V_MENSUAL,MATCH(Tabla593251[[#This Row],[Equipo ]],LISTA_MAQUINARIA,0)))</f>
        <v/>
      </c>
      <c r="FG50" s="12" t="str">
        <f>IF(Tabla593251[[#This Row],[Equipo ]]="","",INDEX(CONSUMO_COMBUSTIBLE_H,MATCH(Tabla593251[[#This Row],[Equipo ]],LISTA_MAQUINARIA,0)))</f>
        <v/>
      </c>
      <c r="FH50" s="166" t="str">
        <f>IF(Tabla593251[[#This Row],[Equipo ]]="","",INDEX(V_GALON,MATCH(Tabla593251[[#This Row],[Equipo ]],LISTA_MAQUINARIA,0)))</f>
        <v/>
      </c>
      <c r="FI50" s="10"/>
      <c r="FJ50" s="165" t="str">
        <f>IF(Tabla593251[[#This Row],[Equipo ]]="","",Tabla593251[[#This Row],[Valor mensual]]+Tabla593251[[#This Row],[Combustible Hora ]]*Tabla593251[[#This Row],[Valor galon]]*Tabla593251[[#This Row],[Horas mes]])</f>
        <v/>
      </c>
      <c r="FK50" s="168" t="str">
        <f>IF(Tabla593251[[#This Row],[Valor mensual + Combustible]]="","",Tabla593251[[#This Row],[Valor mensual + Combustible]]*Tabla593251[[#This Row],[Cantidad]])</f>
        <v/>
      </c>
      <c r="FN50" s="9"/>
      <c r="FO50" s="10"/>
      <c r="FP50" s="165" t="str">
        <f>IF(Tabla596254[[#This Row],[Equipo ]]="","",INDEX(V_MENSUAL,MATCH(Tabla596254[[#This Row],[Equipo ]],LISTA_MAQUINARIA,0)))</f>
        <v/>
      </c>
      <c r="FQ50" s="12" t="str">
        <f>IF(Tabla596254[[#This Row],[Equipo ]]="","",INDEX(CONSUMO_COMBUSTIBLE_H,MATCH(Tabla596254[[#This Row],[Equipo ]],LISTA_MAQUINARIA,0)))</f>
        <v/>
      </c>
      <c r="FR50" s="166" t="str">
        <f>IF(Tabla596254[[#This Row],[Equipo ]]="","",INDEX(V_GALON,MATCH(Tabla596254[[#This Row],[Equipo ]],LISTA_MAQUINARIA,0)))</f>
        <v/>
      </c>
      <c r="FS50" s="10"/>
      <c r="FT50" s="165" t="str">
        <f>IF(Tabla596254[[#This Row],[Equipo ]]="","",Tabla596254[[#This Row],[Valor mensual]]+Tabla596254[[#This Row],[Combustible Hora ]]*Tabla596254[[#This Row],[Valor galon]]*Tabla596254[[#This Row],[Horas mes]])</f>
        <v/>
      </c>
      <c r="FU50" s="168" t="str">
        <f>IF(Tabla596254[[#This Row],[Valor mensual + Combustible]]="","",Tabla596254[[#This Row],[Valor mensual + Combustible]]*Tabla596254[[#This Row],[Cantidad]])</f>
        <v/>
      </c>
    </row>
    <row r="51" spans="1:177" x14ac:dyDescent="0.3">
      <c r="A51" s="9" t="s">
        <v>504</v>
      </c>
      <c r="B51" s="10">
        <v>0.5</v>
      </c>
      <c r="C51" s="165">
        <f>IF(Tabla5203[[#This Row],[Equipo ]]="","",INDEX(V_MENSUAL,MATCH(Tabla5203[[#This Row],[Equipo ]],LISTA_MAQUINARIA,0)))</f>
        <v>1500000</v>
      </c>
      <c r="D51" s="12">
        <f>IF(Tabla5203[[#This Row],[Equipo ]]="","",INDEX(CONSUMO_COMBUSTIBLE_H,MATCH(Tabla5203[[#This Row],[Equipo ]],LISTA_MAQUINARIA,0)))</f>
        <v>0</v>
      </c>
      <c r="E51" s="166">
        <f>IF(Tabla5203[[#This Row],[Equipo ]]="","",INDEX(V_GALON,MATCH(Tabla5203[[#This Row],[Equipo ]],LISTA_MAQUINARIA,0)))</f>
        <v>10800</v>
      </c>
      <c r="F51" s="10"/>
      <c r="G51" s="165">
        <f>IF(Tabla5203[[#This Row],[Equipo ]]="","",Tabla5203[[#This Row],[Valor mensual]]+Tabla5203[[#This Row],[Combustible Hora ]]*Tabla5203[[#This Row],[Valor galon]]*Tabla5203[[#This Row],[Horas mes]])</f>
        <v>1500000</v>
      </c>
      <c r="H51" s="168">
        <f>IF(Tabla5203[[#This Row],[Valor mensual + Combustible]]="","",Tabla5203[[#This Row],[Valor mensual + Combustible]]*Tabla5203[[#This Row],[Cantidad]])</f>
        <v>750000</v>
      </c>
      <c r="K51" s="9" t="s">
        <v>504</v>
      </c>
      <c r="L51" s="10">
        <v>0.5</v>
      </c>
      <c r="M51" s="165" cm="1">
        <f t="array" ref="M51">IF(Tabla548206[[#This Row],[Equipo ]]="","",INDEX(V_MENSUAL,MATCH(Tabla548206[[#This Row],[Equipo ]],LISTA_MAQUINARIA,0)))</f>
        <v>1500000</v>
      </c>
      <c r="N51" s="12">
        <f>IF(Tabla548206[[#This Row],[Equipo ]]="","",INDEX(CONSUMO_COMBUSTIBLE_H,MATCH(Tabla548206[[#This Row],[Equipo ]],LISTA_MAQUINARIA,0)))</f>
        <v>0</v>
      </c>
      <c r="O51" s="166">
        <f>IF(Tabla548206[[#This Row],[Equipo ]]="","",INDEX(V_GALON,MATCH(Tabla548206[[#This Row],[Equipo ]],LISTA_MAQUINARIA,0)))</f>
        <v>10800</v>
      </c>
      <c r="P51" s="10"/>
      <c r="Q51" s="165">
        <f>IF(Tabla548206[[#This Row],[Equipo ]]="","",Tabla548206[[#This Row],[Valor mensual]]+Tabla548206[[#This Row],[Combustible Hora ]]*Tabla548206[[#This Row],[Valor galon]]*Tabla548206[[#This Row],[Horas mes]])</f>
        <v>1500000</v>
      </c>
      <c r="R51" s="168">
        <f>IF(Tabla548206[[#This Row],[Valor mensual + Combustible]]="","",Tabla548206[[#This Row],[Valor mensual + Combustible]]*Tabla548206[[#This Row],[Cantidad]])</f>
        <v>750000</v>
      </c>
      <c r="U51" s="9" t="s">
        <v>504</v>
      </c>
      <c r="V51" s="10">
        <v>0.5</v>
      </c>
      <c r="W51" s="165">
        <f>IF(Tabla551209[[#This Row],[Equipo ]]="","",INDEX(V_MENSUAL,MATCH(Tabla551209[[#This Row],[Equipo ]],LISTA_MAQUINARIA,0)))</f>
        <v>1500000</v>
      </c>
      <c r="X51" s="12">
        <f>IF(Tabla551209[[#This Row],[Equipo ]]="","",INDEX(CONSUMO_COMBUSTIBLE_H,MATCH(Tabla551209[[#This Row],[Equipo ]],LISTA_MAQUINARIA,0)))</f>
        <v>0</v>
      </c>
      <c r="Y51" s="166">
        <f>IF(Tabla551209[[#This Row],[Equipo ]]="","",INDEX(V_GALON,MATCH(Tabla551209[[#This Row],[Equipo ]],LISTA_MAQUINARIA,0)))</f>
        <v>10800</v>
      </c>
      <c r="Z51" s="10"/>
      <c r="AA51" s="165">
        <f>IF(Tabla551209[[#This Row],[Equipo ]]="","",Tabla551209[[#This Row],[Valor mensual]]+Tabla551209[[#This Row],[Combustible Hora ]]*Tabla551209[[#This Row],[Valor galon]]*Tabla551209[[#This Row],[Horas mes]])</f>
        <v>1500000</v>
      </c>
      <c r="AB51" s="168">
        <f>IF(Tabla551209[[#This Row],[Valor mensual + Combustible]]="","",Tabla551209[[#This Row],[Valor mensual + Combustible]]*Tabla551209[[#This Row],[Cantidad]])</f>
        <v>750000</v>
      </c>
      <c r="AD51" s="9" t="s">
        <v>504</v>
      </c>
      <c r="AE51" s="10">
        <v>0.5</v>
      </c>
      <c r="AF51" s="165">
        <f>IF(Tabla554212[[#This Row],[Equipo ]]="","",INDEX(V_MENSUAL,MATCH(Tabla554212[[#This Row],[Equipo ]],LISTA_MAQUINARIA,0)))</f>
        <v>1500000</v>
      </c>
      <c r="AG51" s="12">
        <f>IF(Tabla554212[[#This Row],[Equipo ]]="","",INDEX(CONSUMO_COMBUSTIBLE_H,MATCH(Tabla554212[[#This Row],[Equipo ]],LISTA_MAQUINARIA,0)))</f>
        <v>0</v>
      </c>
      <c r="AH51" s="166">
        <f>IF(Tabla554212[[#This Row],[Equipo ]]="","",INDEX(V_GALON,MATCH(Tabla554212[[#This Row],[Equipo ]],LISTA_MAQUINARIA,0)))</f>
        <v>10800</v>
      </c>
      <c r="AI51" s="10"/>
      <c r="AJ51" s="165">
        <f>IF(Tabla554212[[#This Row],[Equipo ]]="","",Tabla554212[[#This Row],[Valor mensual]]+Tabla554212[[#This Row],[Combustible Hora ]]*Tabla554212[[#This Row],[Valor galon]]*Tabla554212[[#This Row],[Horas mes]])</f>
        <v>1500000</v>
      </c>
      <c r="AK51" s="168">
        <f>IF(Tabla554212[[#This Row],[Valor mensual + Combustible]]="","",Tabla554212[[#This Row],[Valor mensual + Combustible]]*Tabla554212[[#This Row],[Cantidad]])</f>
        <v>750000</v>
      </c>
      <c r="AN51" s="9"/>
      <c r="AO51" s="10"/>
      <c r="AP51" s="165" t="str">
        <f>IF(Tabla557215[[#This Row],[Equipo ]]="","",INDEX(V_MENSUAL,MATCH(Tabla557215[[#This Row],[Equipo ]],LISTA_MAQUINARIA,0)))</f>
        <v/>
      </c>
      <c r="AQ51" s="12" t="str">
        <f>IF(Tabla557215[[#This Row],[Equipo ]]="","",INDEX(CONSUMO_COMBUSTIBLE_H,MATCH(Tabla557215[[#This Row],[Equipo ]],LISTA_MAQUINARIA,0)))</f>
        <v/>
      </c>
      <c r="AR51" s="166" t="str">
        <f>IF(Tabla557215[[#This Row],[Equipo ]]="","",INDEX(V_GALON,MATCH(Tabla557215[[#This Row],[Equipo ]],LISTA_MAQUINARIA,0)))</f>
        <v/>
      </c>
      <c r="AS51" s="10"/>
      <c r="AT51" s="165" t="str">
        <f>IF(Tabla557215[[#This Row],[Equipo ]]="","",Tabla557215[[#This Row],[Valor mensual]]+Tabla557215[[#This Row],[Combustible Hora ]]*Tabla557215[[#This Row],[Valor galon]]*Tabla557215[[#This Row],[Horas mes]])</f>
        <v/>
      </c>
      <c r="AU51" s="168" t="str">
        <f>IF(Tabla557215[[#This Row],[Valor mensual + Combustible]]="","",Tabla557215[[#This Row],[Valor mensual + Combustible]]*Tabla557215[[#This Row],[Cantidad]])</f>
        <v/>
      </c>
      <c r="AX51" s="9"/>
      <c r="AY51" s="10"/>
      <c r="AZ51" s="165" t="str">
        <f>IF(Tabla560218[[#This Row],[Equipo ]]="","",INDEX(V_MENSUAL,MATCH(Tabla560218[[#This Row],[Equipo ]],LISTA_MAQUINARIA,0)))</f>
        <v/>
      </c>
      <c r="BA51" s="12" t="str">
        <f>IF(Tabla560218[[#This Row],[Equipo ]]="","",INDEX(CONSUMO_COMBUSTIBLE_H,MATCH(Tabla560218[[#This Row],[Equipo ]],LISTA_MAQUINARIA,0)))</f>
        <v/>
      </c>
      <c r="BB51" s="166" t="str">
        <f>IF(Tabla560218[[#This Row],[Equipo ]]="","",INDEX(V_GALON,MATCH(Tabla560218[[#This Row],[Equipo ]],LISTA_MAQUINARIA,0)))</f>
        <v/>
      </c>
      <c r="BC51" s="10"/>
      <c r="BD51" s="165" t="str">
        <f>IF(Tabla560218[[#This Row],[Equipo ]]="","",Tabla560218[[#This Row],[Valor mensual]]+Tabla560218[[#This Row],[Combustible Hora ]]*Tabla560218[[#This Row],[Valor galon]]*Tabla560218[[#This Row],[Horas mes]])</f>
        <v/>
      </c>
      <c r="BE51" s="168" t="str">
        <f>IF(Tabla560218[[#This Row],[Valor mensual + Combustible]]="","",Tabla560218[[#This Row],[Valor mensual + Combustible]]*Tabla560218[[#This Row],[Cantidad]])</f>
        <v/>
      </c>
      <c r="BH51" s="9"/>
      <c r="BI51" s="10"/>
      <c r="BJ51" s="165" t="str">
        <f>IF(Tabla563221[[#This Row],[Equipo ]]="","",INDEX(V_MENSUAL,MATCH(Tabla563221[[#This Row],[Equipo ]],LISTA_MAQUINARIA,0)))</f>
        <v/>
      </c>
      <c r="BK51" s="12" t="str">
        <f>IF(Tabla563221[[#This Row],[Equipo ]]="","",INDEX(CONSUMO_COMBUSTIBLE_H,MATCH(Tabla563221[[#This Row],[Equipo ]],LISTA_MAQUINARIA,0)))</f>
        <v/>
      </c>
      <c r="BL51" s="166" t="str">
        <f>IF(Tabla563221[[#This Row],[Equipo ]]="","",INDEX(V_GALON,MATCH(Tabla563221[[#This Row],[Equipo ]],LISTA_MAQUINARIA,0)))</f>
        <v/>
      </c>
      <c r="BM51" s="10"/>
      <c r="BN51" s="165" t="str">
        <f>IF(Tabla563221[[#This Row],[Equipo ]]="","",Tabla563221[[#This Row],[Valor mensual]]+Tabla563221[[#This Row],[Combustible Hora ]]*Tabla563221[[#This Row],[Valor galon]]*Tabla563221[[#This Row],[Horas mes]])</f>
        <v/>
      </c>
      <c r="BO51" s="168" t="str">
        <f>IF(Tabla563221[[#This Row],[Valor mensual + Combustible]]="","",Tabla563221[[#This Row],[Valor mensual + Combustible]]*Tabla563221[[#This Row],[Cantidad]])</f>
        <v/>
      </c>
      <c r="BR51" s="9"/>
      <c r="BS51" s="10"/>
      <c r="BT51" s="165" t="str">
        <f>IF(Tabla566224[[#This Row],[Equipo ]]="","",INDEX(V_MENSUAL,MATCH(Tabla566224[[#This Row],[Equipo ]],LISTA_MAQUINARIA,0)))</f>
        <v/>
      </c>
      <c r="BU51" s="12" t="str">
        <f>IF(Tabla566224[[#This Row],[Equipo ]]="","",INDEX(CONSUMO_COMBUSTIBLE_H,MATCH(Tabla566224[[#This Row],[Equipo ]],LISTA_MAQUINARIA,0)))</f>
        <v/>
      </c>
      <c r="BV51" s="166" t="str">
        <f>IF(Tabla566224[[#This Row],[Equipo ]]="","",INDEX(V_GALON,MATCH(Tabla566224[[#This Row],[Equipo ]],LISTA_MAQUINARIA,0)))</f>
        <v/>
      </c>
      <c r="BW51" s="10"/>
      <c r="BX51" s="165" t="str">
        <f>IF(Tabla566224[[#This Row],[Equipo ]]="","",Tabla566224[[#This Row],[Valor mensual]]+Tabla566224[[#This Row],[Combustible Hora ]]*Tabla566224[[#This Row],[Valor galon]]*Tabla566224[[#This Row],[Horas mes]])</f>
        <v/>
      </c>
      <c r="BY51" s="168" t="str">
        <f>IF(Tabla566224[[#This Row],[Valor mensual + Combustible]]="","",Tabla566224[[#This Row],[Valor mensual + Combustible]]*Tabla566224[[#This Row],[Cantidad]])</f>
        <v/>
      </c>
      <c r="CB51" s="9"/>
      <c r="CC51" s="10"/>
      <c r="CD51" s="165" t="str">
        <f>IF(Tabla569227[[#This Row],[Equipo ]]="","",INDEX(V_MENSUAL,MATCH(Tabla569227[[#This Row],[Equipo ]],LISTA_MAQUINARIA,0)))</f>
        <v/>
      </c>
      <c r="CE51" s="12" t="str">
        <f>IF(Tabla569227[[#This Row],[Equipo ]]="","",INDEX(CONSUMO_COMBUSTIBLE_H,MATCH(Tabla569227[[#This Row],[Equipo ]],LISTA_MAQUINARIA,0)))</f>
        <v/>
      </c>
      <c r="CF51" s="166" t="str">
        <f>IF(Tabla569227[[#This Row],[Equipo ]]="","",INDEX(V_GALON,MATCH(Tabla569227[[#This Row],[Equipo ]],LISTA_MAQUINARIA,0)))</f>
        <v/>
      </c>
      <c r="CG51" s="10"/>
      <c r="CH51" s="165" t="str">
        <f>IF(Tabla569227[[#This Row],[Equipo ]]="","",Tabla569227[[#This Row],[Valor mensual]]+Tabla569227[[#This Row],[Combustible Hora ]]*Tabla569227[[#This Row],[Valor galon]]*Tabla569227[[#This Row],[Horas mes]])</f>
        <v/>
      </c>
      <c r="CI51" s="168" t="str">
        <f>IF(Tabla569227[[#This Row],[Valor mensual + Combustible]]="","",Tabla569227[[#This Row],[Valor mensual + Combustible]]*Tabla569227[[#This Row],[Cantidad]])</f>
        <v/>
      </c>
      <c r="CL51" s="9"/>
      <c r="CM51" s="10"/>
      <c r="CN51" s="165" t="str">
        <f>IF(Tabla572230[[#This Row],[Equipo ]]="","",INDEX(V_MENSUAL,MATCH(Tabla572230[[#This Row],[Equipo ]],LISTA_MAQUINARIA,0)))</f>
        <v/>
      </c>
      <c r="CO51" s="12" t="str">
        <f>IF(Tabla572230[[#This Row],[Equipo ]]="","",INDEX(CONSUMO_COMBUSTIBLE_H,MATCH(Tabla572230[[#This Row],[Equipo ]],LISTA_MAQUINARIA,0)))</f>
        <v/>
      </c>
      <c r="CP51" s="166" t="str">
        <f>IF(Tabla572230[[#This Row],[Equipo ]]="","",INDEX(V_GALON,MATCH(Tabla572230[[#This Row],[Equipo ]],LISTA_MAQUINARIA,0)))</f>
        <v/>
      </c>
      <c r="CQ51" s="10"/>
      <c r="CR51" s="165" t="str">
        <f>IF(Tabla572230[[#This Row],[Equipo ]]="","",Tabla572230[[#This Row],[Valor mensual]]+Tabla572230[[#This Row],[Combustible Hora ]]*Tabla572230[[#This Row],[Valor galon]]*Tabla572230[[#This Row],[Horas mes]])</f>
        <v/>
      </c>
      <c r="CS51" s="168" t="str">
        <f>IF(Tabla572230[[#This Row],[Valor mensual + Combustible]]="","",Tabla572230[[#This Row],[Valor mensual + Combustible]]*Tabla572230[[#This Row],[Cantidad]])</f>
        <v/>
      </c>
      <c r="CV51" s="9"/>
      <c r="CW51" s="10"/>
      <c r="CX51" s="165" t="str">
        <f>IF(Tabla575233[[#This Row],[Equipo ]]="","",INDEX(V_MENSUAL,MATCH(Tabla575233[[#This Row],[Equipo ]],LISTA_MAQUINARIA,0)))</f>
        <v/>
      </c>
      <c r="CY51" s="12" t="str">
        <f>IF(Tabla575233[[#This Row],[Equipo ]]="","",INDEX(CONSUMO_COMBUSTIBLE_H,MATCH(Tabla575233[[#This Row],[Equipo ]],LISTA_MAQUINARIA,0)))</f>
        <v/>
      </c>
      <c r="CZ51" s="166" t="str">
        <f>IF(Tabla575233[[#This Row],[Equipo ]]="","",INDEX(V_GALON,MATCH(Tabla575233[[#This Row],[Equipo ]],LISTA_MAQUINARIA,0)))</f>
        <v/>
      </c>
      <c r="DA51" s="10"/>
      <c r="DB51" s="165" t="str">
        <f>IF(Tabla575233[[#This Row],[Equipo ]]="","",Tabla575233[[#This Row],[Valor mensual]]+Tabla575233[[#This Row],[Combustible Hora ]]*Tabla575233[[#This Row],[Valor galon]]*Tabla575233[[#This Row],[Horas mes]])</f>
        <v/>
      </c>
      <c r="DC51" s="168" t="str">
        <f>IF(Tabla575233[[#This Row],[Valor mensual + Combustible]]="","",Tabla575233[[#This Row],[Valor mensual + Combustible]]*Tabla575233[[#This Row],[Cantidad]])</f>
        <v/>
      </c>
      <c r="DF51" s="9"/>
      <c r="DG51" s="10"/>
      <c r="DH51" s="165" t="str">
        <f>IF(Tabla578236[[#This Row],[Equipo ]]="","",INDEX(V_MENSUAL,MATCH(Tabla578236[[#This Row],[Equipo ]],LISTA_MAQUINARIA,0)))</f>
        <v/>
      </c>
      <c r="DI51" s="12" t="str">
        <f>IF(Tabla578236[[#This Row],[Equipo ]]="","",INDEX(CONSUMO_COMBUSTIBLE_H,MATCH(Tabla578236[[#This Row],[Equipo ]],LISTA_MAQUINARIA,0)))</f>
        <v/>
      </c>
      <c r="DJ51" s="166" t="str">
        <f>IF(Tabla578236[[#This Row],[Equipo ]]="","",INDEX(V_GALON,MATCH(Tabla578236[[#This Row],[Equipo ]],LISTA_MAQUINARIA,0)))</f>
        <v/>
      </c>
      <c r="DK51" s="10"/>
      <c r="DL51" s="165" t="str">
        <f>IF(Tabla578236[[#This Row],[Equipo ]]="","",Tabla578236[[#This Row],[Valor mensual]]+Tabla578236[[#This Row],[Combustible Hora ]]*Tabla578236[[#This Row],[Valor galon]]*Tabla578236[[#This Row],[Horas mes]])</f>
        <v/>
      </c>
      <c r="DM51" s="168" t="str">
        <f>IF(Tabla578236[[#This Row],[Valor mensual + Combustible]]="","",Tabla578236[[#This Row],[Valor mensual + Combustible]]*Tabla578236[[#This Row],[Cantidad]])</f>
        <v/>
      </c>
      <c r="DP51" s="9"/>
      <c r="DQ51" s="10"/>
      <c r="DR51" s="165" t="str">
        <f>IF(Tabla581239[[#This Row],[Equipo ]]="","",INDEX(V_MENSUAL,MATCH(Tabla581239[[#This Row],[Equipo ]],LISTA_MAQUINARIA,0)))</f>
        <v/>
      </c>
      <c r="DS51" s="12" t="str">
        <f>IF(Tabla581239[[#This Row],[Equipo ]]="","",INDEX(CONSUMO_COMBUSTIBLE_H,MATCH(Tabla581239[[#This Row],[Equipo ]],LISTA_MAQUINARIA,0)))</f>
        <v/>
      </c>
      <c r="DT51" s="166" t="str">
        <f>IF(Tabla581239[[#This Row],[Equipo ]]="","",INDEX(V_GALON,MATCH(Tabla581239[[#This Row],[Equipo ]],LISTA_MAQUINARIA,0)))</f>
        <v/>
      </c>
      <c r="DU51" s="10"/>
      <c r="DV51" s="165" t="str">
        <f>IF(Tabla581239[[#This Row],[Equipo ]]="","",Tabla581239[[#This Row],[Valor mensual]]+Tabla581239[[#This Row],[Combustible Hora ]]*Tabla581239[[#This Row],[Valor galon]]*Tabla581239[[#This Row],[Horas mes]])</f>
        <v/>
      </c>
      <c r="DW51" s="168" t="str">
        <f>IF(Tabla581239[[#This Row],[Valor mensual + Combustible]]="","",Tabla581239[[#This Row],[Valor mensual + Combustible]]*Tabla581239[[#This Row],[Cantidad]])</f>
        <v/>
      </c>
      <c r="DZ51" s="9"/>
      <c r="EA51" s="10"/>
      <c r="EB51" s="165" t="str">
        <f>IF(Tabla584242[[#This Row],[Equipo ]]="","",INDEX(V_MENSUAL,MATCH(Tabla584242[[#This Row],[Equipo ]],LISTA_MAQUINARIA,0)))</f>
        <v/>
      </c>
      <c r="EC51" s="12" t="str">
        <f>IF(Tabla584242[[#This Row],[Equipo ]]="","",INDEX(CONSUMO_COMBUSTIBLE_H,MATCH(Tabla584242[[#This Row],[Equipo ]],LISTA_MAQUINARIA,0)))</f>
        <v/>
      </c>
      <c r="ED51" s="166" t="str">
        <f>IF(Tabla584242[[#This Row],[Equipo ]]="","",INDEX(V_GALON,MATCH(Tabla584242[[#This Row],[Equipo ]],LISTA_MAQUINARIA,0)))</f>
        <v/>
      </c>
      <c r="EE51" s="10"/>
      <c r="EF51" s="165" t="str">
        <f>IF(Tabla584242[[#This Row],[Equipo ]]="","",Tabla584242[[#This Row],[Valor mensual]]+Tabla584242[[#This Row],[Combustible Hora ]]*Tabla584242[[#This Row],[Valor galon]]*Tabla584242[[#This Row],[Horas mes]])</f>
        <v/>
      </c>
      <c r="EG51" s="168" t="str">
        <f>IF(Tabla584242[[#This Row],[Valor mensual + Combustible]]="","",Tabla584242[[#This Row],[Valor mensual + Combustible]]*Tabla584242[[#This Row],[Cantidad]])</f>
        <v/>
      </c>
      <c r="EJ51" s="9"/>
      <c r="EK51" s="10"/>
      <c r="EL51" s="165" t="str">
        <f>IF(Tabla587245[[#This Row],[Equipo ]]="","",INDEX(V_MENSUAL,MATCH(Tabla587245[[#This Row],[Equipo ]],LISTA_MAQUINARIA,0)))</f>
        <v/>
      </c>
      <c r="EM51" s="12" t="str">
        <f>IF(Tabla587245[[#This Row],[Equipo ]]="","",INDEX(CONSUMO_COMBUSTIBLE_H,MATCH(Tabla587245[[#This Row],[Equipo ]],LISTA_MAQUINARIA,0)))</f>
        <v/>
      </c>
      <c r="EN51" s="166" t="str">
        <f>IF(Tabla587245[[#This Row],[Equipo ]]="","",INDEX(V_GALON,MATCH(Tabla587245[[#This Row],[Equipo ]],LISTA_MAQUINARIA,0)))</f>
        <v/>
      </c>
      <c r="EO51" s="10"/>
      <c r="EP51" s="165" t="str">
        <f>IF(Tabla587245[[#This Row],[Equipo ]]="","",Tabla587245[[#This Row],[Valor mensual]]+Tabla587245[[#This Row],[Combustible Hora ]]*Tabla587245[[#This Row],[Valor galon]]*Tabla587245[[#This Row],[Horas mes]])</f>
        <v/>
      </c>
      <c r="EQ51" s="168" t="str">
        <f>IF(Tabla587245[[#This Row],[Valor mensual + Combustible]]="","",Tabla587245[[#This Row],[Valor mensual + Combustible]]*Tabla587245[[#This Row],[Cantidad]])</f>
        <v/>
      </c>
      <c r="ET51" s="9"/>
      <c r="EU51" s="10"/>
      <c r="EV51" s="165" t="str">
        <f>IF(Tabla590248[[#This Row],[Equipo ]]="","",INDEX(V_MENSUAL,MATCH(Tabla590248[[#This Row],[Equipo ]],LISTA_MAQUINARIA,0)))</f>
        <v/>
      </c>
      <c r="EW51" s="12" t="str">
        <f>IF(Tabla590248[[#This Row],[Equipo ]]="","",INDEX(CONSUMO_COMBUSTIBLE_H,MATCH(Tabla590248[[#This Row],[Equipo ]],LISTA_MAQUINARIA,0)))</f>
        <v/>
      </c>
      <c r="EX51" s="166" t="str">
        <f>IF(Tabla590248[[#This Row],[Equipo ]]="","",INDEX(V_GALON,MATCH(Tabla590248[[#This Row],[Equipo ]],LISTA_MAQUINARIA,0)))</f>
        <v/>
      </c>
      <c r="EY51" s="10"/>
      <c r="EZ51" s="165" t="str">
        <f>IF(Tabla590248[[#This Row],[Equipo ]]="","",Tabla590248[[#This Row],[Valor mensual]]+Tabla590248[[#This Row],[Combustible Hora ]]*Tabla590248[[#This Row],[Valor galon]]*Tabla590248[[#This Row],[Horas mes]])</f>
        <v/>
      </c>
      <c r="FA51" s="168" t="str">
        <f>IF(Tabla590248[[#This Row],[Valor mensual + Combustible]]="","",Tabla590248[[#This Row],[Valor mensual + Combustible]]*Tabla590248[[#This Row],[Cantidad]])</f>
        <v/>
      </c>
      <c r="FD51" s="9"/>
      <c r="FE51" s="10"/>
      <c r="FF51" s="165" t="str">
        <f>IF(Tabla593251[[#This Row],[Equipo ]]="","",INDEX(V_MENSUAL,MATCH(Tabla593251[[#This Row],[Equipo ]],LISTA_MAQUINARIA,0)))</f>
        <v/>
      </c>
      <c r="FG51" s="12" t="str">
        <f>IF(Tabla593251[[#This Row],[Equipo ]]="","",INDEX(CONSUMO_COMBUSTIBLE_H,MATCH(Tabla593251[[#This Row],[Equipo ]],LISTA_MAQUINARIA,0)))</f>
        <v/>
      </c>
      <c r="FH51" s="166" t="str">
        <f>IF(Tabla593251[[#This Row],[Equipo ]]="","",INDEX(V_GALON,MATCH(Tabla593251[[#This Row],[Equipo ]],LISTA_MAQUINARIA,0)))</f>
        <v/>
      </c>
      <c r="FI51" s="10"/>
      <c r="FJ51" s="165" t="str">
        <f>IF(Tabla593251[[#This Row],[Equipo ]]="","",Tabla593251[[#This Row],[Valor mensual]]+Tabla593251[[#This Row],[Combustible Hora ]]*Tabla593251[[#This Row],[Valor galon]]*Tabla593251[[#This Row],[Horas mes]])</f>
        <v/>
      </c>
      <c r="FK51" s="168" t="str">
        <f>IF(Tabla593251[[#This Row],[Valor mensual + Combustible]]="","",Tabla593251[[#This Row],[Valor mensual + Combustible]]*Tabla593251[[#This Row],[Cantidad]])</f>
        <v/>
      </c>
      <c r="FN51" s="9"/>
      <c r="FO51" s="10"/>
      <c r="FP51" s="165" t="str">
        <f>IF(Tabla596254[[#This Row],[Equipo ]]="","",INDEX(V_MENSUAL,MATCH(Tabla596254[[#This Row],[Equipo ]],LISTA_MAQUINARIA,0)))</f>
        <v/>
      </c>
      <c r="FQ51" s="12" t="str">
        <f>IF(Tabla596254[[#This Row],[Equipo ]]="","",INDEX(CONSUMO_COMBUSTIBLE_H,MATCH(Tabla596254[[#This Row],[Equipo ]],LISTA_MAQUINARIA,0)))</f>
        <v/>
      </c>
      <c r="FR51" s="166" t="str">
        <f>IF(Tabla596254[[#This Row],[Equipo ]]="","",INDEX(V_GALON,MATCH(Tabla596254[[#This Row],[Equipo ]],LISTA_MAQUINARIA,0)))</f>
        <v/>
      </c>
      <c r="FS51" s="10"/>
      <c r="FT51" s="165" t="str">
        <f>IF(Tabla596254[[#This Row],[Equipo ]]="","",Tabla596254[[#This Row],[Valor mensual]]+Tabla596254[[#This Row],[Combustible Hora ]]*Tabla596254[[#This Row],[Valor galon]]*Tabla596254[[#This Row],[Horas mes]])</f>
        <v/>
      </c>
      <c r="FU51" s="168" t="str">
        <f>IF(Tabla596254[[#This Row],[Valor mensual + Combustible]]="","",Tabla596254[[#This Row],[Valor mensual + Combustible]]*Tabla596254[[#This Row],[Cantidad]])</f>
        <v/>
      </c>
    </row>
    <row r="52" spans="1:177" x14ac:dyDescent="0.3">
      <c r="A52" s="9" t="s">
        <v>368</v>
      </c>
      <c r="B52" s="10">
        <v>2</v>
      </c>
      <c r="C52" s="165">
        <f>IF(Tabla5203[[#This Row],[Equipo ]]="","",INDEX(V_MENSUAL,MATCH(Tabla5203[[#This Row],[Equipo ]],LISTA_MAQUINARIA,0)))</f>
        <v>6500000</v>
      </c>
      <c r="D52" s="12">
        <f>IF(Tabla5203[[#This Row],[Equipo ]]="","",INDEX(CONSUMO_COMBUSTIBLE_H,MATCH(Tabla5203[[#This Row],[Equipo ]],LISTA_MAQUINARIA,0)))</f>
        <v>2</v>
      </c>
      <c r="E52" s="166">
        <f>IF(Tabla5203[[#This Row],[Equipo ]]="","",INDEX(V_GALON,MATCH(Tabla5203[[#This Row],[Equipo ]],LISTA_MAQUINARIA,0)))</f>
        <v>10800</v>
      </c>
      <c r="F52" s="10">
        <v>88</v>
      </c>
      <c r="G52" s="165">
        <f>IF(Tabla5203[[#This Row],[Equipo ]]="","",Tabla5203[[#This Row],[Valor mensual]]+Tabla5203[[#This Row],[Combustible Hora ]]*Tabla5203[[#This Row],[Valor galon]]*Tabla5203[[#This Row],[Horas mes]])</f>
        <v>8400800</v>
      </c>
      <c r="H52" s="168">
        <f>IF(Tabla5203[[#This Row],[Valor mensual + Combustible]]="","",Tabla5203[[#This Row],[Valor mensual + Combustible]]*Tabla5203[[#This Row],[Cantidad]])</f>
        <v>16801600</v>
      </c>
      <c r="K52" s="9" t="s">
        <v>368</v>
      </c>
      <c r="L52" s="10">
        <v>2</v>
      </c>
      <c r="M52" s="165" cm="1">
        <f t="array" ref="M52">IF(Tabla548206[[#This Row],[Equipo ]]="","",INDEX(V_MENSUAL,MATCH(Tabla548206[[#This Row],[Equipo ]],LISTA_MAQUINARIA,0)))</f>
        <v>6500000</v>
      </c>
      <c r="N52" s="12">
        <f>IF(Tabla548206[[#This Row],[Equipo ]]="","",INDEX(CONSUMO_COMBUSTIBLE_H,MATCH(Tabla548206[[#This Row],[Equipo ]],LISTA_MAQUINARIA,0)))</f>
        <v>2</v>
      </c>
      <c r="O52" s="166">
        <f>IF(Tabla548206[[#This Row],[Equipo ]]="","",INDEX(V_GALON,MATCH(Tabla548206[[#This Row],[Equipo ]],LISTA_MAQUINARIA,0)))</f>
        <v>10800</v>
      </c>
      <c r="P52" s="10">
        <v>88</v>
      </c>
      <c r="Q52" s="165">
        <f>IF(Tabla548206[[#This Row],[Equipo ]]="","",Tabla548206[[#This Row],[Valor mensual]]+Tabla548206[[#This Row],[Combustible Hora ]]*Tabla548206[[#This Row],[Valor galon]]*Tabla548206[[#This Row],[Horas mes]])</f>
        <v>8400800</v>
      </c>
      <c r="R52" s="168">
        <f>IF(Tabla548206[[#This Row],[Valor mensual + Combustible]]="","",Tabla548206[[#This Row],[Valor mensual + Combustible]]*Tabla548206[[#This Row],[Cantidad]])</f>
        <v>16801600</v>
      </c>
      <c r="U52" s="9" t="s">
        <v>368</v>
      </c>
      <c r="V52" s="10">
        <v>2</v>
      </c>
      <c r="W52" s="165">
        <f>IF(Tabla551209[[#This Row],[Equipo ]]="","",INDEX(V_MENSUAL,MATCH(Tabla551209[[#This Row],[Equipo ]],LISTA_MAQUINARIA,0)))</f>
        <v>6500000</v>
      </c>
      <c r="X52" s="12">
        <f>IF(Tabla551209[[#This Row],[Equipo ]]="","",INDEX(CONSUMO_COMBUSTIBLE_H,MATCH(Tabla551209[[#This Row],[Equipo ]],LISTA_MAQUINARIA,0)))</f>
        <v>2</v>
      </c>
      <c r="Y52" s="166">
        <f>IF(Tabla551209[[#This Row],[Equipo ]]="","",INDEX(V_GALON,MATCH(Tabla551209[[#This Row],[Equipo ]],LISTA_MAQUINARIA,0)))</f>
        <v>10800</v>
      </c>
      <c r="Z52" s="10"/>
      <c r="AA52" s="165">
        <f>IF(Tabla551209[[#This Row],[Equipo ]]="","",Tabla551209[[#This Row],[Valor mensual]]+Tabla551209[[#This Row],[Combustible Hora ]]*Tabla551209[[#This Row],[Valor galon]]*Tabla551209[[#This Row],[Horas mes]])</f>
        <v>6500000</v>
      </c>
      <c r="AB52" s="168">
        <f>IF(Tabla551209[[#This Row],[Valor mensual + Combustible]]="","",Tabla551209[[#This Row],[Valor mensual + Combustible]]*Tabla551209[[#This Row],[Cantidad]])</f>
        <v>13000000</v>
      </c>
      <c r="AD52" s="9" t="s">
        <v>368</v>
      </c>
      <c r="AE52" s="10">
        <v>2</v>
      </c>
      <c r="AF52" s="165">
        <f>IF(Tabla554212[[#This Row],[Equipo ]]="","",INDEX(V_MENSUAL,MATCH(Tabla554212[[#This Row],[Equipo ]],LISTA_MAQUINARIA,0)))</f>
        <v>6500000</v>
      </c>
      <c r="AG52" s="12">
        <f>IF(Tabla554212[[#This Row],[Equipo ]]="","",INDEX(CONSUMO_COMBUSTIBLE_H,MATCH(Tabla554212[[#This Row],[Equipo ]],LISTA_MAQUINARIA,0)))</f>
        <v>2</v>
      </c>
      <c r="AH52" s="166">
        <f>IF(Tabla554212[[#This Row],[Equipo ]]="","",INDEX(V_GALON,MATCH(Tabla554212[[#This Row],[Equipo ]],LISTA_MAQUINARIA,0)))</f>
        <v>10800</v>
      </c>
      <c r="AI52" s="10"/>
      <c r="AJ52" s="165">
        <f>IF(Tabla554212[[#This Row],[Equipo ]]="","",Tabla554212[[#This Row],[Valor mensual]]+Tabla554212[[#This Row],[Combustible Hora ]]*Tabla554212[[#This Row],[Valor galon]]*Tabla554212[[#This Row],[Horas mes]])</f>
        <v>6500000</v>
      </c>
      <c r="AK52" s="168">
        <f>IF(Tabla554212[[#This Row],[Valor mensual + Combustible]]="","",Tabla554212[[#This Row],[Valor mensual + Combustible]]*Tabla554212[[#This Row],[Cantidad]])</f>
        <v>13000000</v>
      </c>
      <c r="AN52" s="9"/>
      <c r="AO52" s="10"/>
      <c r="AP52" s="165" t="str">
        <f>IF(Tabla557215[[#This Row],[Equipo ]]="","",INDEX(V_MENSUAL,MATCH(Tabla557215[[#This Row],[Equipo ]],LISTA_MAQUINARIA,0)))</f>
        <v/>
      </c>
      <c r="AQ52" s="12" t="str">
        <f>IF(Tabla557215[[#This Row],[Equipo ]]="","",INDEX(CONSUMO_COMBUSTIBLE_H,MATCH(Tabla557215[[#This Row],[Equipo ]],LISTA_MAQUINARIA,0)))</f>
        <v/>
      </c>
      <c r="AR52" s="166" t="str">
        <f>IF(Tabla557215[[#This Row],[Equipo ]]="","",INDEX(V_GALON,MATCH(Tabla557215[[#This Row],[Equipo ]],LISTA_MAQUINARIA,0)))</f>
        <v/>
      </c>
      <c r="AS52" s="10"/>
      <c r="AT52" s="165" t="str">
        <f>IF(Tabla557215[[#This Row],[Equipo ]]="","",Tabla557215[[#This Row],[Valor mensual]]+Tabla557215[[#This Row],[Combustible Hora ]]*Tabla557215[[#This Row],[Valor galon]]*Tabla557215[[#This Row],[Horas mes]])</f>
        <v/>
      </c>
      <c r="AU52" s="168" t="str">
        <f>IF(Tabla557215[[#This Row],[Valor mensual + Combustible]]="","",Tabla557215[[#This Row],[Valor mensual + Combustible]]*Tabla557215[[#This Row],[Cantidad]])</f>
        <v/>
      </c>
      <c r="AX52" s="9"/>
      <c r="AY52" s="10"/>
      <c r="AZ52" s="165" t="str">
        <f>IF(Tabla560218[[#This Row],[Equipo ]]="","",INDEX(V_MENSUAL,MATCH(Tabla560218[[#This Row],[Equipo ]],LISTA_MAQUINARIA,0)))</f>
        <v/>
      </c>
      <c r="BA52" s="12" t="str">
        <f>IF(Tabla560218[[#This Row],[Equipo ]]="","",INDEX(CONSUMO_COMBUSTIBLE_H,MATCH(Tabla560218[[#This Row],[Equipo ]],LISTA_MAQUINARIA,0)))</f>
        <v/>
      </c>
      <c r="BB52" s="166" t="str">
        <f>IF(Tabla560218[[#This Row],[Equipo ]]="","",INDEX(V_GALON,MATCH(Tabla560218[[#This Row],[Equipo ]],LISTA_MAQUINARIA,0)))</f>
        <v/>
      </c>
      <c r="BC52" s="10"/>
      <c r="BD52" s="165" t="str">
        <f>IF(Tabla560218[[#This Row],[Equipo ]]="","",Tabla560218[[#This Row],[Valor mensual]]+Tabla560218[[#This Row],[Combustible Hora ]]*Tabla560218[[#This Row],[Valor galon]]*Tabla560218[[#This Row],[Horas mes]])</f>
        <v/>
      </c>
      <c r="BE52" s="168" t="str">
        <f>IF(Tabla560218[[#This Row],[Valor mensual + Combustible]]="","",Tabla560218[[#This Row],[Valor mensual + Combustible]]*Tabla560218[[#This Row],[Cantidad]])</f>
        <v/>
      </c>
      <c r="BH52" s="9"/>
      <c r="BI52" s="10"/>
      <c r="BJ52" s="165" t="str">
        <f>IF(Tabla563221[[#This Row],[Equipo ]]="","",INDEX(V_MENSUAL,MATCH(Tabla563221[[#This Row],[Equipo ]],LISTA_MAQUINARIA,0)))</f>
        <v/>
      </c>
      <c r="BK52" s="12" t="str">
        <f>IF(Tabla563221[[#This Row],[Equipo ]]="","",INDEX(CONSUMO_COMBUSTIBLE_H,MATCH(Tabla563221[[#This Row],[Equipo ]],LISTA_MAQUINARIA,0)))</f>
        <v/>
      </c>
      <c r="BL52" s="166" t="str">
        <f>IF(Tabla563221[[#This Row],[Equipo ]]="","",INDEX(V_GALON,MATCH(Tabla563221[[#This Row],[Equipo ]],LISTA_MAQUINARIA,0)))</f>
        <v/>
      </c>
      <c r="BM52" s="10"/>
      <c r="BN52" s="165" t="str">
        <f>IF(Tabla563221[[#This Row],[Equipo ]]="","",Tabla563221[[#This Row],[Valor mensual]]+Tabla563221[[#This Row],[Combustible Hora ]]*Tabla563221[[#This Row],[Valor galon]]*Tabla563221[[#This Row],[Horas mes]])</f>
        <v/>
      </c>
      <c r="BO52" s="168" t="str">
        <f>IF(Tabla563221[[#This Row],[Valor mensual + Combustible]]="","",Tabla563221[[#This Row],[Valor mensual + Combustible]]*Tabla563221[[#This Row],[Cantidad]])</f>
        <v/>
      </c>
      <c r="BR52" s="9"/>
      <c r="BS52" s="10"/>
      <c r="BT52" s="165" t="str">
        <f>IF(Tabla566224[[#This Row],[Equipo ]]="","",INDEX(V_MENSUAL,MATCH(Tabla566224[[#This Row],[Equipo ]],LISTA_MAQUINARIA,0)))</f>
        <v/>
      </c>
      <c r="BU52" s="12" t="str">
        <f>IF(Tabla566224[[#This Row],[Equipo ]]="","",INDEX(CONSUMO_COMBUSTIBLE_H,MATCH(Tabla566224[[#This Row],[Equipo ]],LISTA_MAQUINARIA,0)))</f>
        <v/>
      </c>
      <c r="BV52" s="166" t="str">
        <f>IF(Tabla566224[[#This Row],[Equipo ]]="","",INDEX(V_GALON,MATCH(Tabla566224[[#This Row],[Equipo ]],LISTA_MAQUINARIA,0)))</f>
        <v/>
      </c>
      <c r="BW52" s="10"/>
      <c r="BX52" s="165" t="str">
        <f>IF(Tabla566224[[#This Row],[Equipo ]]="","",Tabla566224[[#This Row],[Valor mensual]]+Tabla566224[[#This Row],[Combustible Hora ]]*Tabla566224[[#This Row],[Valor galon]]*Tabla566224[[#This Row],[Horas mes]])</f>
        <v/>
      </c>
      <c r="BY52" s="168" t="str">
        <f>IF(Tabla566224[[#This Row],[Valor mensual + Combustible]]="","",Tabla566224[[#This Row],[Valor mensual + Combustible]]*Tabla566224[[#This Row],[Cantidad]])</f>
        <v/>
      </c>
      <c r="CB52" s="9"/>
      <c r="CC52" s="10"/>
      <c r="CD52" s="165" t="str">
        <f>IF(Tabla569227[[#This Row],[Equipo ]]="","",INDEX(V_MENSUAL,MATCH(Tabla569227[[#This Row],[Equipo ]],LISTA_MAQUINARIA,0)))</f>
        <v/>
      </c>
      <c r="CE52" s="12" t="str">
        <f>IF(Tabla569227[[#This Row],[Equipo ]]="","",INDEX(CONSUMO_COMBUSTIBLE_H,MATCH(Tabla569227[[#This Row],[Equipo ]],LISTA_MAQUINARIA,0)))</f>
        <v/>
      </c>
      <c r="CF52" s="166" t="str">
        <f>IF(Tabla569227[[#This Row],[Equipo ]]="","",INDEX(V_GALON,MATCH(Tabla569227[[#This Row],[Equipo ]],LISTA_MAQUINARIA,0)))</f>
        <v/>
      </c>
      <c r="CG52" s="10"/>
      <c r="CH52" s="165" t="str">
        <f>IF(Tabla569227[[#This Row],[Equipo ]]="","",Tabla569227[[#This Row],[Valor mensual]]+Tabla569227[[#This Row],[Combustible Hora ]]*Tabla569227[[#This Row],[Valor galon]]*Tabla569227[[#This Row],[Horas mes]])</f>
        <v/>
      </c>
      <c r="CI52" s="168" t="str">
        <f>IF(Tabla569227[[#This Row],[Valor mensual + Combustible]]="","",Tabla569227[[#This Row],[Valor mensual + Combustible]]*Tabla569227[[#This Row],[Cantidad]])</f>
        <v/>
      </c>
      <c r="CL52" s="9"/>
      <c r="CM52" s="10"/>
      <c r="CN52" s="165" t="str">
        <f>IF(Tabla572230[[#This Row],[Equipo ]]="","",INDEX(V_MENSUAL,MATCH(Tabla572230[[#This Row],[Equipo ]],LISTA_MAQUINARIA,0)))</f>
        <v/>
      </c>
      <c r="CO52" s="12" t="str">
        <f>IF(Tabla572230[[#This Row],[Equipo ]]="","",INDEX(CONSUMO_COMBUSTIBLE_H,MATCH(Tabla572230[[#This Row],[Equipo ]],LISTA_MAQUINARIA,0)))</f>
        <v/>
      </c>
      <c r="CP52" s="166" t="str">
        <f>IF(Tabla572230[[#This Row],[Equipo ]]="","",INDEX(V_GALON,MATCH(Tabla572230[[#This Row],[Equipo ]],LISTA_MAQUINARIA,0)))</f>
        <v/>
      </c>
      <c r="CQ52" s="10"/>
      <c r="CR52" s="165" t="str">
        <f>IF(Tabla572230[[#This Row],[Equipo ]]="","",Tabla572230[[#This Row],[Valor mensual]]+Tabla572230[[#This Row],[Combustible Hora ]]*Tabla572230[[#This Row],[Valor galon]]*Tabla572230[[#This Row],[Horas mes]])</f>
        <v/>
      </c>
      <c r="CS52" s="168" t="str">
        <f>IF(Tabla572230[[#This Row],[Valor mensual + Combustible]]="","",Tabla572230[[#This Row],[Valor mensual + Combustible]]*Tabla572230[[#This Row],[Cantidad]])</f>
        <v/>
      </c>
      <c r="CV52" s="9"/>
      <c r="CW52" s="10"/>
      <c r="CX52" s="165" t="str">
        <f>IF(Tabla575233[[#This Row],[Equipo ]]="","",INDEX(V_MENSUAL,MATCH(Tabla575233[[#This Row],[Equipo ]],LISTA_MAQUINARIA,0)))</f>
        <v/>
      </c>
      <c r="CY52" s="12" t="str">
        <f>IF(Tabla575233[[#This Row],[Equipo ]]="","",INDEX(CONSUMO_COMBUSTIBLE_H,MATCH(Tabla575233[[#This Row],[Equipo ]],LISTA_MAQUINARIA,0)))</f>
        <v/>
      </c>
      <c r="CZ52" s="166" t="str">
        <f>IF(Tabla575233[[#This Row],[Equipo ]]="","",INDEX(V_GALON,MATCH(Tabla575233[[#This Row],[Equipo ]],LISTA_MAQUINARIA,0)))</f>
        <v/>
      </c>
      <c r="DA52" s="10"/>
      <c r="DB52" s="165" t="str">
        <f>IF(Tabla575233[[#This Row],[Equipo ]]="","",Tabla575233[[#This Row],[Valor mensual]]+Tabla575233[[#This Row],[Combustible Hora ]]*Tabla575233[[#This Row],[Valor galon]]*Tabla575233[[#This Row],[Horas mes]])</f>
        <v/>
      </c>
      <c r="DC52" s="168" t="str">
        <f>IF(Tabla575233[[#This Row],[Valor mensual + Combustible]]="","",Tabla575233[[#This Row],[Valor mensual + Combustible]]*Tabla575233[[#This Row],[Cantidad]])</f>
        <v/>
      </c>
      <c r="DF52" s="9"/>
      <c r="DG52" s="10"/>
      <c r="DH52" s="165" t="str">
        <f>IF(Tabla578236[[#This Row],[Equipo ]]="","",INDEX(V_MENSUAL,MATCH(Tabla578236[[#This Row],[Equipo ]],LISTA_MAQUINARIA,0)))</f>
        <v/>
      </c>
      <c r="DI52" s="12" t="str">
        <f>IF(Tabla578236[[#This Row],[Equipo ]]="","",INDEX(CONSUMO_COMBUSTIBLE_H,MATCH(Tabla578236[[#This Row],[Equipo ]],LISTA_MAQUINARIA,0)))</f>
        <v/>
      </c>
      <c r="DJ52" s="166" t="str">
        <f>IF(Tabla578236[[#This Row],[Equipo ]]="","",INDEX(V_GALON,MATCH(Tabla578236[[#This Row],[Equipo ]],LISTA_MAQUINARIA,0)))</f>
        <v/>
      </c>
      <c r="DK52" s="10"/>
      <c r="DL52" s="165" t="str">
        <f>IF(Tabla578236[[#This Row],[Equipo ]]="","",Tabla578236[[#This Row],[Valor mensual]]+Tabla578236[[#This Row],[Combustible Hora ]]*Tabla578236[[#This Row],[Valor galon]]*Tabla578236[[#This Row],[Horas mes]])</f>
        <v/>
      </c>
      <c r="DM52" s="168" t="str">
        <f>IF(Tabla578236[[#This Row],[Valor mensual + Combustible]]="","",Tabla578236[[#This Row],[Valor mensual + Combustible]]*Tabla578236[[#This Row],[Cantidad]])</f>
        <v/>
      </c>
      <c r="DP52" s="9"/>
      <c r="DQ52" s="10"/>
      <c r="DR52" s="165" t="str">
        <f>IF(Tabla581239[[#This Row],[Equipo ]]="","",INDEX(V_MENSUAL,MATCH(Tabla581239[[#This Row],[Equipo ]],LISTA_MAQUINARIA,0)))</f>
        <v/>
      </c>
      <c r="DS52" s="12" t="str">
        <f>IF(Tabla581239[[#This Row],[Equipo ]]="","",INDEX(CONSUMO_COMBUSTIBLE_H,MATCH(Tabla581239[[#This Row],[Equipo ]],LISTA_MAQUINARIA,0)))</f>
        <v/>
      </c>
      <c r="DT52" s="166" t="str">
        <f>IF(Tabla581239[[#This Row],[Equipo ]]="","",INDEX(V_GALON,MATCH(Tabla581239[[#This Row],[Equipo ]],LISTA_MAQUINARIA,0)))</f>
        <v/>
      </c>
      <c r="DU52" s="10"/>
      <c r="DV52" s="165" t="str">
        <f>IF(Tabla581239[[#This Row],[Equipo ]]="","",Tabla581239[[#This Row],[Valor mensual]]+Tabla581239[[#This Row],[Combustible Hora ]]*Tabla581239[[#This Row],[Valor galon]]*Tabla581239[[#This Row],[Horas mes]])</f>
        <v/>
      </c>
      <c r="DW52" s="168" t="str">
        <f>IF(Tabla581239[[#This Row],[Valor mensual + Combustible]]="","",Tabla581239[[#This Row],[Valor mensual + Combustible]]*Tabla581239[[#This Row],[Cantidad]])</f>
        <v/>
      </c>
      <c r="DZ52" s="9"/>
      <c r="EA52" s="10"/>
      <c r="EB52" s="165" t="str">
        <f>IF(Tabla584242[[#This Row],[Equipo ]]="","",INDEX(V_MENSUAL,MATCH(Tabla584242[[#This Row],[Equipo ]],LISTA_MAQUINARIA,0)))</f>
        <v/>
      </c>
      <c r="EC52" s="12" t="str">
        <f>IF(Tabla584242[[#This Row],[Equipo ]]="","",INDEX(CONSUMO_COMBUSTIBLE_H,MATCH(Tabla584242[[#This Row],[Equipo ]],LISTA_MAQUINARIA,0)))</f>
        <v/>
      </c>
      <c r="ED52" s="166" t="str">
        <f>IF(Tabla584242[[#This Row],[Equipo ]]="","",INDEX(V_GALON,MATCH(Tabla584242[[#This Row],[Equipo ]],LISTA_MAQUINARIA,0)))</f>
        <v/>
      </c>
      <c r="EE52" s="10"/>
      <c r="EF52" s="165" t="str">
        <f>IF(Tabla584242[[#This Row],[Equipo ]]="","",Tabla584242[[#This Row],[Valor mensual]]+Tabla584242[[#This Row],[Combustible Hora ]]*Tabla584242[[#This Row],[Valor galon]]*Tabla584242[[#This Row],[Horas mes]])</f>
        <v/>
      </c>
      <c r="EG52" s="168" t="str">
        <f>IF(Tabla584242[[#This Row],[Valor mensual + Combustible]]="","",Tabla584242[[#This Row],[Valor mensual + Combustible]]*Tabla584242[[#This Row],[Cantidad]])</f>
        <v/>
      </c>
      <c r="EJ52" s="9"/>
      <c r="EK52" s="10"/>
      <c r="EL52" s="165" t="str">
        <f>IF(Tabla587245[[#This Row],[Equipo ]]="","",INDEX(V_MENSUAL,MATCH(Tabla587245[[#This Row],[Equipo ]],LISTA_MAQUINARIA,0)))</f>
        <v/>
      </c>
      <c r="EM52" s="12" t="str">
        <f>IF(Tabla587245[[#This Row],[Equipo ]]="","",INDEX(CONSUMO_COMBUSTIBLE_H,MATCH(Tabla587245[[#This Row],[Equipo ]],LISTA_MAQUINARIA,0)))</f>
        <v/>
      </c>
      <c r="EN52" s="166" t="str">
        <f>IF(Tabla587245[[#This Row],[Equipo ]]="","",INDEX(V_GALON,MATCH(Tabla587245[[#This Row],[Equipo ]],LISTA_MAQUINARIA,0)))</f>
        <v/>
      </c>
      <c r="EO52" s="10"/>
      <c r="EP52" s="165" t="str">
        <f>IF(Tabla587245[[#This Row],[Equipo ]]="","",Tabla587245[[#This Row],[Valor mensual]]+Tabla587245[[#This Row],[Combustible Hora ]]*Tabla587245[[#This Row],[Valor galon]]*Tabla587245[[#This Row],[Horas mes]])</f>
        <v/>
      </c>
      <c r="EQ52" s="168" t="str">
        <f>IF(Tabla587245[[#This Row],[Valor mensual + Combustible]]="","",Tabla587245[[#This Row],[Valor mensual + Combustible]]*Tabla587245[[#This Row],[Cantidad]])</f>
        <v/>
      </c>
      <c r="ET52" s="9"/>
      <c r="EU52" s="10"/>
      <c r="EV52" s="165" t="str">
        <f>IF(Tabla590248[[#This Row],[Equipo ]]="","",INDEX(V_MENSUAL,MATCH(Tabla590248[[#This Row],[Equipo ]],LISTA_MAQUINARIA,0)))</f>
        <v/>
      </c>
      <c r="EW52" s="12" t="str">
        <f>IF(Tabla590248[[#This Row],[Equipo ]]="","",INDEX(CONSUMO_COMBUSTIBLE_H,MATCH(Tabla590248[[#This Row],[Equipo ]],LISTA_MAQUINARIA,0)))</f>
        <v/>
      </c>
      <c r="EX52" s="166" t="str">
        <f>IF(Tabla590248[[#This Row],[Equipo ]]="","",INDEX(V_GALON,MATCH(Tabla590248[[#This Row],[Equipo ]],LISTA_MAQUINARIA,0)))</f>
        <v/>
      </c>
      <c r="EY52" s="10"/>
      <c r="EZ52" s="165" t="str">
        <f>IF(Tabla590248[[#This Row],[Equipo ]]="","",Tabla590248[[#This Row],[Valor mensual]]+Tabla590248[[#This Row],[Combustible Hora ]]*Tabla590248[[#This Row],[Valor galon]]*Tabla590248[[#This Row],[Horas mes]])</f>
        <v/>
      </c>
      <c r="FA52" s="168" t="str">
        <f>IF(Tabla590248[[#This Row],[Valor mensual + Combustible]]="","",Tabla590248[[#This Row],[Valor mensual + Combustible]]*Tabla590248[[#This Row],[Cantidad]])</f>
        <v/>
      </c>
      <c r="FD52" s="9"/>
      <c r="FE52" s="10"/>
      <c r="FF52" s="165" t="str">
        <f>IF(Tabla593251[[#This Row],[Equipo ]]="","",INDEX(V_MENSUAL,MATCH(Tabla593251[[#This Row],[Equipo ]],LISTA_MAQUINARIA,0)))</f>
        <v/>
      </c>
      <c r="FG52" s="12" t="str">
        <f>IF(Tabla593251[[#This Row],[Equipo ]]="","",INDEX(CONSUMO_COMBUSTIBLE_H,MATCH(Tabla593251[[#This Row],[Equipo ]],LISTA_MAQUINARIA,0)))</f>
        <v/>
      </c>
      <c r="FH52" s="166" t="str">
        <f>IF(Tabla593251[[#This Row],[Equipo ]]="","",INDEX(V_GALON,MATCH(Tabla593251[[#This Row],[Equipo ]],LISTA_MAQUINARIA,0)))</f>
        <v/>
      </c>
      <c r="FI52" s="10"/>
      <c r="FJ52" s="165" t="str">
        <f>IF(Tabla593251[[#This Row],[Equipo ]]="","",Tabla593251[[#This Row],[Valor mensual]]+Tabla593251[[#This Row],[Combustible Hora ]]*Tabla593251[[#This Row],[Valor galon]]*Tabla593251[[#This Row],[Horas mes]])</f>
        <v/>
      </c>
      <c r="FK52" s="168" t="str">
        <f>IF(Tabla593251[[#This Row],[Valor mensual + Combustible]]="","",Tabla593251[[#This Row],[Valor mensual + Combustible]]*Tabla593251[[#This Row],[Cantidad]])</f>
        <v/>
      </c>
      <c r="FN52" s="9"/>
      <c r="FO52" s="10"/>
      <c r="FP52" s="165" t="str">
        <f>IF(Tabla596254[[#This Row],[Equipo ]]="","",INDEX(V_MENSUAL,MATCH(Tabla596254[[#This Row],[Equipo ]],LISTA_MAQUINARIA,0)))</f>
        <v/>
      </c>
      <c r="FQ52" s="12" t="str">
        <f>IF(Tabla596254[[#This Row],[Equipo ]]="","",INDEX(CONSUMO_COMBUSTIBLE_H,MATCH(Tabla596254[[#This Row],[Equipo ]],LISTA_MAQUINARIA,0)))</f>
        <v/>
      </c>
      <c r="FR52" s="166" t="str">
        <f>IF(Tabla596254[[#This Row],[Equipo ]]="","",INDEX(V_GALON,MATCH(Tabla596254[[#This Row],[Equipo ]],LISTA_MAQUINARIA,0)))</f>
        <v/>
      </c>
      <c r="FS52" s="10"/>
      <c r="FT52" s="165" t="str">
        <f>IF(Tabla596254[[#This Row],[Equipo ]]="","",Tabla596254[[#This Row],[Valor mensual]]+Tabla596254[[#This Row],[Combustible Hora ]]*Tabla596254[[#This Row],[Valor galon]]*Tabla596254[[#This Row],[Horas mes]])</f>
        <v/>
      </c>
      <c r="FU52" s="168" t="str">
        <f>IF(Tabla596254[[#This Row],[Valor mensual + Combustible]]="","",Tabla596254[[#This Row],[Valor mensual + Combustible]]*Tabla596254[[#This Row],[Cantidad]])</f>
        <v/>
      </c>
    </row>
    <row r="53" spans="1:177" x14ac:dyDescent="0.3">
      <c r="A53" s="9" t="s">
        <v>508</v>
      </c>
      <c r="B53" s="10">
        <v>5</v>
      </c>
      <c r="C53" s="165">
        <f>IF(Tabla5203[[#This Row],[Equipo ]]="","",INDEX(V_MENSUAL,MATCH(Tabla5203[[#This Row],[Equipo ]],LISTA_MAQUINARIA,0)))</f>
        <v>1800000</v>
      </c>
      <c r="D53" s="12">
        <f>IF(Tabla5203[[#This Row],[Equipo ]]="","",INDEX(CONSUMO_COMBUSTIBLE_H,MATCH(Tabla5203[[#This Row],[Equipo ]],LISTA_MAQUINARIA,0)))</f>
        <v>0</v>
      </c>
      <c r="E53" s="166">
        <f>IF(Tabla5203[[#This Row],[Equipo ]]="","",INDEX(V_GALON,MATCH(Tabla5203[[#This Row],[Equipo ]],LISTA_MAQUINARIA,0)))</f>
        <v>10800</v>
      </c>
      <c r="F53" s="10"/>
      <c r="G53" s="165">
        <f>IF(Tabla5203[[#This Row],[Equipo ]]="","",Tabla5203[[#This Row],[Valor mensual]]+Tabla5203[[#This Row],[Combustible Hora ]]*Tabla5203[[#This Row],[Valor galon]]*Tabla5203[[#This Row],[Horas mes]])</f>
        <v>1800000</v>
      </c>
      <c r="H53" s="168">
        <f>IF(Tabla5203[[#This Row],[Valor mensual + Combustible]]="","",Tabla5203[[#This Row],[Valor mensual + Combustible]]*Tabla5203[[#This Row],[Cantidad]])</f>
        <v>9000000</v>
      </c>
      <c r="K53" s="9" t="s">
        <v>508</v>
      </c>
      <c r="L53" s="10">
        <v>5</v>
      </c>
      <c r="M53" s="165" cm="1">
        <f t="array" ref="M53">IF(Tabla548206[[#This Row],[Equipo ]]="","",INDEX(V_MENSUAL,MATCH(Tabla548206[[#This Row],[Equipo ]],LISTA_MAQUINARIA,0)))</f>
        <v>1800000</v>
      </c>
      <c r="N53" s="12">
        <f>IF(Tabla548206[[#This Row],[Equipo ]]="","",INDEX(CONSUMO_COMBUSTIBLE_H,MATCH(Tabla548206[[#This Row],[Equipo ]],LISTA_MAQUINARIA,0)))</f>
        <v>0</v>
      </c>
      <c r="O53" s="166">
        <f>IF(Tabla548206[[#This Row],[Equipo ]]="","",INDEX(V_GALON,MATCH(Tabla548206[[#This Row],[Equipo ]],LISTA_MAQUINARIA,0)))</f>
        <v>10800</v>
      </c>
      <c r="P53" s="10"/>
      <c r="Q53" s="165">
        <f>IF(Tabla548206[[#This Row],[Equipo ]]="","",Tabla548206[[#This Row],[Valor mensual]]+Tabla548206[[#This Row],[Combustible Hora ]]*Tabla548206[[#This Row],[Valor galon]]*Tabla548206[[#This Row],[Horas mes]])</f>
        <v>1800000</v>
      </c>
      <c r="R53" s="168">
        <f>IF(Tabla548206[[#This Row],[Valor mensual + Combustible]]="","",Tabla548206[[#This Row],[Valor mensual + Combustible]]*Tabla548206[[#This Row],[Cantidad]])</f>
        <v>9000000</v>
      </c>
      <c r="U53" s="9" t="s">
        <v>508</v>
      </c>
      <c r="V53" s="10">
        <v>5</v>
      </c>
      <c r="W53" s="165">
        <f>IF(Tabla551209[[#This Row],[Equipo ]]="","",INDEX(V_MENSUAL,MATCH(Tabla551209[[#This Row],[Equipo ]],LISTA_MAQUINARIA,0)))</f>
        <v>1800000</v>
      </c>
      <c r="X53" s="12">
        <f>IF(Tabla551209[[#This Row],[Equipo ]]="","",INDEX(CONSUMO_COMBUSTIBLE_H,MATCH(Tabla551209[[#This Row],[Equipo ]],LISTA_MAQUINARIA,0)))</f>
        <v>0</v>
      </c>
      <c r="Y53" s="166">
        <f>IF(Tabla551209[[#This Row],[Equipo ]]="","",INDEX(V_GALON,MATCH(Tabla551209[[#This Row],[Equipo ]],LISTA_MAQUINARIA,0)))</f>
        <v>10800</v>
      </c>
      <c r="Z53" s="10"/>
      <c r="AA53" s="165">
        <f>IF(Tabla551209[[#This Row],[Equipo ]]="","",Tabla551209[[#This Row],[Valor mensual]]+Tabla551209[[#This Row],[Combustible Hora ]]*Tabla551209[[#This Row],[Valor galon]]*Tabla551209[[#This Row],[Horas mes]])</f>
        <v>1800000</v>
      </c>
      <c r="AB53" s="168">
        <f>IF(Tabla551209[[#This Row],[Valor mensual + Combustible]]="","",Tabla551209[[#This Row],[Valor mensual + Combustible]]*Tabla551209[[#This Row],[Cantidad]])</f>
        <v>9000000</v>
      </c>
      <c r="AD53" s="9" t="s">
        <v>508</v>
      </c>
      <c r="AE53" s="10">
        <v>5</v>
      </c>
      <c r="AF53" s="165">
        <f>IF(Tabla554212[[#This Row],[Equipo ]]="","",INDEX(V_MENSUAL,MATCH(Tabla554212[[#This Row],[Equipo ]],LISTA_MAQUINARIA,0)))</f>
        <v>1800000</v>
      </c>
      <c r="AG53" s="12">
        <f>IF(Tabla554212[[#This Row],[Equipo ]]="","",INDEX(CONSUMO_COMBUSTIBLE_H,MATCH(Tabla554212[[#This Row],[Equipo ]],LISTA_MAQUINARIA,0)))</f>
        <v>0</v>
      </c>
      <c r="AH53" s="166">
        <f>IF(Tabla554212[[#This Row],[Equipo ]]="","",INDEX(V_GALON,MATCH(Tabla554212[[#This Row],[Equipo ]],LISTA_MAQUINARIA,0)))</f>
        <v>10800</v>
      </c>
      <c r="AI53" s="10"/>
      <c r="AJ53" s="165">
        <f>IF(Tabla554212[[#This Row],[Equipo ]]="","",Tabla554212[[#This Row],[Valor mensual]]+Tabla554212[[#This Row],[Combustible Hora ]]*Tabla554212[[#This Row],[Valor galon]]*Tabla554212[[#This Row],[Horas mes]])</f>
        <v>1800000</v>
      </c>
      <c r="AK53" s="168">
        <f>IF(Tabla554212[[#This Row],[Valor mensual + Combustible]]="","",Tabla554212[[#This Row],[Valor mensual + Combustible]]*Tabla554212[[#This Row],[Cantidad]])</f>
        <v>9000000</v>
      </c>
      <c r="AN53" s="9"/>
      <c r="AO53" s="10"/>
      <c r="AP53" s="165" t="str">
        <f>IF(Tabla557215[[#This Row],[Equipo ]]="","",INDEX(V_MENSUAL,MATCH(Tabla557215[[#This Row],[Equipo ]],LISTA_MAQUINARIA,0)))</f>
        <v/>
      </c>
      <c r="AQ53" s="12" t="str">
        <f>IF(Tabla557215[[#This Row],[Equipo ]]="","",INDEX(CONSUMO_COMBUSTIBLE_H,MATCH(Tabla557215[[#This Row],[Equipo ]],LISTA_MAQUINARIA,0)))</f>
        <v/>
      </c>
      <c r="AR53" s="166" t="str">
        <f>IF(Tabla557215[[#This Row],[Equipo ]]="","",INDEX(V_GALON,MATCH(Tabla557215[[#This Row],[Equipo ]],LISTA_MAQUINARIA,0)))</f>
        <v/>
      </c>
      <c r="AS53" s="10"/>
      <c r="AT53" s="165" t="str">
        <f>IF(Tabla557215[[#This Row],[Equipo ]]="","",Tabla557215[[#This Row],[Valor mensual]]+Tabla557215[[#This Row],[Combustible Hora ]]*Tabla557215[[#This Row],[Valor galon]]*Tabla557215[[#This Row],[Horas mes]])</f>
        <v/>
      </c>
      <c r="AU53" s="168" t="str">
        <f>IF(Tabla557215[[#This Row],[Valor mensual + Combustible]]="","",Tabla557215[[#This Row],[Valor mensual + Combustible]]*Tabla557215[[#This Row],[Cantidad]])</f>
        <v/>
      </c>
      <c r="AX53" s="9"/>
      <c r="AY53" s="10"/>
      <c r="AZ53" s="165" t="str">
        <f>IF(Tabla560218[[#This Row],[Equipo ]]="","",INDEX(V_MENSUAL,MATCH(Tabla560218[[#This Row],[Equipo ]],LISTA_MAQUINARIA,0)))</f>
        <v/>
      </c>
      <c r="BA53" s="12" t="str">
        <f>IF(Tabla560218[[#This Row],[Equipo ]]="","",INDEX(CONSUMO_COMBUSTIBLE_H,MATCH(Tabla560218[[#This Row],[Equipo ]],LISTA_MAQUINARIA,0)))</f>
        <v/>
      </c>
      <c r="BB53" s="166" t="str">
        <f>IF(Tabla560218[[#This Row],[Equipo ]]="","",INDEX(V_GALON,MATCH(Tabla560218[[#This Row],[Equipo ]],LISTA_MAQUINARIA,0)))</f>
        <v/>
      </c>
      <c r="BC53" s="10"/>
      <c r="BD53" s="165" t="str">
        <f>IF(Tabla560218[[#This Row],[Equipo ]]="","",Tabla560218[[#This Row],[Valor mensual]]+Tabla560218[[#This Row],[Combustible Hora ]]*Tabla560218[[#This Row],[Valor galon]]*Tabla560218[[#This Row],[Horas mes]])</f>
        <v/>
      </c>
      <c r="BE53" s="168" t="str">
        <f>IF(Tabla560218[[#This Row],[Valor mensual + Combustible]]="","",Tabla560218[[#This Row],[Valor mensual + Combustible]]*Tabla560218[[#This Row],[Cantidad]])</f>
        <v/>
      </c>
      <c r="BH53" s="9"/>
      <c r="BI53" s="10"/>
      <c r="BJ53" s="165" t="str">
        <f>IF(Tabla563221[[#This Row],[Equipo ]]="","",INDEX(V_MENSUAL,MATCH(Tabla563221[[#This Row],[Equipo ]],LISTA_MAQUINARIA,0)))</f>
        <v/>
      </c>
      <c r="BK53" s="12" t="str">
        <f>IF(Tabla563221[[#This Row],[Equipo ]]="","",INDEX(CONSUMO_COMBUSTIBLE_H,MATCH(Tabla563221[[#This Row],[Equipo ]],LISTA_MAQUINARIA,0)))</f>
        <v/>
      </c>
      <c r="BL53" s="166" t="str">
        <f>IF(Tabla563221[[#This Row],[Equipo ]]="","",INDEX(V_GALON,MATCH(Tabla563221[[#This Row],[Equipo ]],LISTA_MAQUINARIA,0)))</f>
        <v/>
      </c>
      <c r="BM53" s="10"/>
      <c r="BN53" s="165" t="str">
        <f>IF(Tabla563221[[#This Row],[Equipo ]]="","",Tabla563221[[#This Row],[Valor mensual]]+Tabla563221[[#This Row],[Combustible Hora ]]*Tabla563221[[#This Row],[Valor galon]]*Tabla563221[[#This Row],[Horas mes]])</f>
        <v/>
      </c>
      <c r="BO53" s="168" t="str">
        <f>IF(Tabla563221[[#This Row],[Valor mensual + Combustible]]="","",Tabla563221[[#This Row],[Valor mensual + Combustible]]*Tabla563221[[#This Row],[Cantidad]])</f>
        <v/>
      </c>
      <c r="BR53" s="9"/>
      <c r="BS53" s="10"/>
      <c r="BT53" s="165" t="str">
        <f>IF(Tabla566224[[#This Row],[Equipo ]]="","",INDEX(V_MENSUAL,MATCH(Tabla566224[[#This Row],[Equipo ]],LISTA_MAQUINARIA,0)))</f>
        <v/>
      </c>
      <c r="BU53" s="12" t="str">
        <f>IF(Tabla566224[[#This Row],[Equipo ]]="","",INDEX(CONSUMO_COMBUSTIBLE_H,MATCH(Tabla566224[[#This Row],[Equipo ]],LISTA_MAQUINARIA,0)))</f>
        <v/>
      </c>
      <c r="BV53" s="166" t="str">
        <f>IF(Tabla566224[[#This Row],[Equipo ]]="","",INDEX(V_GALON,MATCH(Tabla566224[[#This Row],[Equipo ]],LISTA_MAQUINARIA,0)))</f>
        <v/>
      </c>
      <c r="BW53" s="10"/>
      <c r="BX53" s="165" t="str">
        <f>IF(Tabla566224[[#This Row],[Equipo ]]="","",Tabla566224[[#This Row],[Valor mensual]]+Tabla566224[[#This Row],[Combustible Hora ]]*Tabla566224[[#This Row],[Valor galon]]*Tabla566224[[#This Row],[Horas mes]])</f>
        <v/>
      </c>
      <c r="BY53" s="168" t="str">
        <f>IF(Tabla566224[[#This Row],[Valor mensual + Combustible]]="","",Tabla566224[[#This Row],[Valor mensual + Combustible]]*Tabla566224[[#This Row],[Cantidad]])</f>
        <v/>
      </c>
      <c r="CB53" s="9"/>
      <c r="CC53" s="10"/>
      <c r="CD53" s="165" t="str">
        <f>IF(Tabla569227[[#This Row],[Equipo ]]="","",INDEX(V_MENSUAL,MATCH(Tabla569227[[#This Row],[Equipo ]],LISTA_MAQUINARIA,0)))</f>
        <v/>
      </c>
      <c r="CE53" s="12" t="str">
        <f>IF(Tabla569227[[#This Row],[Equipo ]]="","",INDEX(CONSUMO_COMBUSTIBLE_H,MATCH(Tabla569227[[#This Row],[Equipo ]],LISTA_MAQUINARIA,0)))</f>
        <v/>
      </c>
      <c r="CF53" s="166" t="str">
        <f>IF(Tabla569227[[#This Row],[Equipo ]]="","",INDEX(V_GALON,MATCH(Tabla569227[[#This Row],[Equipo ]],LISTA_MAQUINARIA,0)))</f>
        <v/>
      </c>
      <c r="CG53" s="10"/>
      <c r="CH53" s="165" t="str">
        <f>IF(Tabla569227[[#This Row],[Equipo ]]="","",Tabla569227[[#This Row],[Valor mensual]]+Tabla569227[[#This Row],[Combustible Hora ]]*Tabla569227[[#This Row],[Valor galon]]*Tabla569227[[#This Row],[Horas mes]])</f>
        <v/>
      </c>
      <c r="CI53" s="168" t="str">
        <f>IF(Tabla569227[[#This Row],[Valor mensual + Combustible]]="","",Tabla569227[[#This Row],[Valor mensual + Combustible]]*Tabla569227[[#This Row],[Cantidad]])</f>
        <v/>
      </c>
      <c r="CL53" s="9"/>
      <c r="CM53" s="10"/>
      <c r="CN53" s="165" t="str">
        <f>IF(Tabla572230[[#This Row],[Equipo ]]="","",INDEX(V_MENSUAL,MATCH(Tabla572230[[#This Row],[Equipo ]],LISTA_MAQUINARIA,0)))</f>
        <v/>
      </c>
      <c r="CO53" s="12" t="str">
        <f>IF(Tabla572230[[#This Row],[Equipo ]]="","",INDEX(CONSUMO_COMBUSTIBLE_H,MATCH(Tabla572230[[#This Row],[Equipo ]],LISTA_MAQUINARIA,0)))</f>
        <v/>
      </c>
      <c r="CP53" s="166" t="str">
        <f>IF(Tabla572230[[#This Row],[Equipo ]]="","",INDEX(V_GALON,MATCH(Tabla572230[[#This Row],[Equipo ]],LISTA_MAQUINARIA,0)))</f>
        <v/>
      </c>
      <c r="CQ53" s="10"/>
      <c r="CR53" s="165" t="str">
        <f>IF(Tabla572230[[#This Row],[Equipo ]]="","",Tabla572230[[#This Row],[Valor mensual]]+Tabla572230[[#This Row],[Combustible Hora ]]*Tabla572230[[#This Row],[Valor galon]]*Tabla572230[[#This Row],[Horas mes]])</f>
        <v/>
      </c>
      <c r="CS53" s="168" t="str">
        <f>IF(Tabla572230[[#This Row],[Valor mensual + Combustible]]="","",Tabla572230[[#This Row],[Valor mensual + Combustible]]*Tabla572230[[#This Row],[Cantidad]])</f>
        <v/>
      </c>
      <c r="CV53" s="9"/>
      <c r="CW53" s="10"/>
      <c r="CX53" s="165" t="str">
        <f>IF(Tabla575233[[#This Row],[Equipo ]]="","",INDEX(V_MENSUAL,MATCH(Tabla575233[[#This Row],[Equipo ]],LISTA_MAQUINARIA,0)))</f>
        <v/>
      </c>
      <c r="CY53" s="12" t="str">
        <f>IF(Tabla575233[[#This Row],[Equipo ]]="","",INDEX(CONSUMO_COMBUSTIBLE_H,MATCH(Tabla575233[[#This Row],[Equipo ]],LISTA_MAQUINARIA,0)))</f>
        <v/>
      </c>
      <c r="CZ53" s="166" t="str">
        <f>IF(Tabla575233[[#This Row],[Equipo ]]="","",INDEX(V_GALON,MATCH(Tabla575233[[#This Row],[Equipo ]],LISTA_MAQUINARIA,0)))</f>
        <v/>
      </c>
      <c r="DA53" s="10"/>
      <c r="DB53" s="165" t="str">
        <f>IF(Tabla575233[[#This Row],[Equipo ]]="","",Tabla575233[[#This Row],[Valor mensual]]+Tabla575233[[#This Row],[Combustible Hora ]]*Tabla575233[[#This Row],[Valor galon]]*Tabla575233[[#This Row],[Horas mes]])</f>
        <v/>
      </c>
      <c r="DC53" s="168" t="str">
        <f>IF(Tabla575233[[#This Row],[Valor mensual + Combustible]]="","",Tabla575233[[#This Row],[Valor mensual + Combustible]]*Tabla575233[[#This Row],[Cantidad]])</f>
        <v/>
      </c>
      <c r="DF53" s="9"/>
      <c r="DG53" s="10"/>
      <c r="DH53" s="165" t="str">
        <f>IF(Tabla578236[[#This Row],[Equipo ]]="","",INDEX(V_MENSUAL,MATCH(Tabla578236[[#This Row],[Equipo ]],LISTA_MAQUINARIA,0)))</f>
        <v/>
      </c>
      <c r="DI53" s="12" t="str">
        <f>IF(Tabla578236[[#This Row],[Equipo ]]="","",INDEX(CONSUMO_COMBUSTIBLE_H,MATCH(Tabla578236[[#This Row],[Equipo ]],LISTA_MAQUINARIA,0)))</f>
        <v/>
      </c>
      <c r="DJ53" s="166" t="str">
        <f>IF(Tabla578236[[#This Row],[Equipo ]]="","",INDEX(V_GALON,MATCH(Tabla578236[[#This Row],[Equipo ]],LISTA_MAQUINARIA,0)))</f>
        <v/>
      </c>
      <c r="DK53" s="10"/>
      <c r="DL53" s="165" t="str">
        <f>IF(Tabla578236[[#This Row],[Equipo ]]="","",Tabla578236[[#This Row],[Valor mensual]]+Tabla578236[[#This Row],[Combustible Hora ]]*Tabla578236[[#This Row],[Valor galon]]*Tabla578236[[#This Row],[Horas mes]])</f>
        <v/>
      </c>
      <c r="DM53" s="168" t="str">
        <f>IF(Tabla578236[[#This Row],[Valor mensual + Combustible]]="","",Tabla578236[[#This Row],[Valor mensual + Combustible]]*Tabla578236[[#This Row],[Cantidad]])</f>
        <v/>
      </c>
      <c r="DP53" s="9"/>
      <c r="DQ53" s="10"/>
      <c r="DR53" s="165" t="str">
        <f>IF(Tabla581239[[#This Row],[Equipo ]]="","",INDEX(V_MENSUAL,MATCH(Tabla581239[[#This Row],[Equipo ]],LISTA_MAQUINARIA,0)))</f>
        <v/>
      </c>
      <c r="DS53" s="12" t="str">
        <f>IF(Tabla581239[[#This Row],[Equipo ]]="","",INDEX(CONSUMO_COMBUSTIBLE_H,MATCH(Tabla581239[[#This Row],[Equipo ]],LISTA_MAQUINARIA,0)))</f>
        <v/>
      </c>
      <c r="DT53" s="166" t="str">
        <f>IF(Tabla581239[[#This Row],[Equipo ]]="","",INDEX(V_GALON,MATCH(Tabla581239[[#This Row],[Equipo ]],LISTA_MAQUINARIA,0)))</f>
        <v/>
      </c>
      <c r="DU53" s="10"/>
      <c r="DV53" s="165" t="str">
        <f>IF(Tabla581239[[#This Row],[Equipo ]]="","",Tabla581239[[#This Row],[Valor mensual]]+Tabla581239[[#This Row],[Combustible Hora ]]*Tabla581239[[#This Row],[Valor galon]]*Tabla581239[[#This Row],[Horas mes]])</f>
        <v/>
      </c>
      <c r="DW53" s="168" t="str">
        <f>IF(Tabla581239[[#This Row],[Valor mensual + Combustible]]="","",Tabla581239[[#This Row],[Valor mensual + Combustible]]*Tabla581239[[#This Row],[Cantidad]])</f>
        <v/>
      </c>
      <c r="DZ53" s="9"/>
      <c r="EA53" s="10"/>
      <c r="EB53" s="165" t="str">
        <f>IF(Tabla584242[[#This Row],[Equipo ]]="","",INDEX(V_MENSUAL,MATCH(Tabla584242[[#This Row],[Equipo ]],LISTA_MAQUINARIA,0)))</f>
        <v/>
      </c>
      <c r="EC53" s="12" t="str">
        <f>IF(Tabla584242[[#This Row],[Equipo ]]="","",INDEX(CONSUMO_COMBUSTIBLE_H,MATCH(Tabla584242[[#This Row],[Equipo ]],LISTA_MAQUINARIA,0)))</f>
        <v/>
      </c>
      <c r="ED53" s="166" t="str">
        <f>IF(Tabla584242[[#This Row],[Equipo ]]="","",INDEX(V_GALON,MATCH(Tabla584242[[#This Row],[Equipo ]],LISTA_MAQUINARIA,0)))</f>
        <v/>
      </c>
      <c r="EE53" s="10"/>
      <c r="EF53" s="165" t="str">
        <f>IF(Tabla584242[[#This Row],[Equipo ]]="","",Tabla584242[[#This Row],[Valor mensual]]+Tabla584242[[#This Row],[Combustible Hora ]]*Tabla584242[[#This Row],[Valor galon]]*Tabla584242[[#This Row],[Horas mes]])</f>
        <v/>
      </c>
      <c r="EG53" s="168" t="str">
        <f>IF(Tabla584242[[#This Row],[Valor mensual + Combustible]]="","",Tabla584242[[#This Row],[Valor mensual + Combustible]]*Tabla584242[[#This Row],[Cantidad]])</f>
        <v/>
      </c>
      <c r="EJ53" s="9"/>
      <c r="EK53" s="10"/>
      <c r="EL53" s="165" t="str">
        <f>IF(Tabla587245[[#This Row],[Equipo ]]="","",INDEX(V_MENSUAL,MATCH(Tabla587245[[#This Row],[Equipo ]],LISTA_MAQUINARIA,0)))</f>
        <v/>
      </c>
      <c r="EM53" s="12" t="str">
        <f>IF(Tabla587245[[#This Row],[Equipo ]]="","",INDEX(CONSUMO_COMBUSTIBLE_H,MATCH(Tabla587245[[#This Row],[Equipo ]],LISTA_MAQUINARIA,0)))</f>
        <v/>
      </c>
      <c r="EN53" s="166" t="str">
        <f>IF(Tabla587245[[#This Row],[Equipo ]]="","",INDEX(V_GALON,MATCH(Tabla587245[[#This Row],[Equipo ]],LISTA_MAQUINARIA,0)))</f>
        <v/>
      </c>
      <c r="EO53" s="10"/>
      <c r="EP53" s="165" t="str">
        <f>IF(Tabla587245[[#This Row],[Equipo ]]="","",Tabla587245[[#This Row],[Valor mensual]]+Tabla587245[[#This Row],[Combustible Hora ]]*Tabla587245[[#This Row],[Valor galon]]*Tabla587245[[#This Row],[Horas mes]])</f>
        <v/>
      </c>
      <c r="EQ53" s="168" t="str">
        <f>IF(Tabla587245[[#This Row],[Valor mensual + Combustible]]="","",Tabla587245[[#This Row],[Valor mensual + Combustible]]*Tabla587245[[#This Row],[Cantidad]])</f>
        <v/>
      </c>
      <c r="ET53" s="9"/>
      <c r="EU53" s="10"/>
      <c r="EV53" s="165" t="str">
        <f>IF(Tabla590248[[#This Row],[Equipo ]]="","",INDEX(V_MENSUAL,MATCH(Tabla590248[[#This Row],[Equipo ]],LISTA_MAQUINARIA,0)))</f>
        <v/>
      </c>
      <c r="EW53" s="12" t="str">
        <f>IF(Tabla590248[[#This Row],[Equipo ]]="","",INDEX(CONSUMO_COMBUSTIBLE_H,MATCH(Tabla590248[[#This Row],[Equipo ]],LISTA_MAQUINARIA,0)))</f>
        <v/>
      </c>
      <c r="EX53" s="166" t="str">
        <f>IF(Tabla590248[[#This Row],[Equipo ]]="","",INDEX(V_GALON,MATCH(Tabla590248[[#This Row],[Equipo ]],LISTA_MAQUINARIA,0)))</f>
        <v/>
      </c>
      <c r="EY53" s="10"/>
      <c r="EZ53" s="165" t="str">
        <f>IF(Tabla590248[[#This Row],[Equipo ]]="","",Tabla590248[[#This Row],[Valor mensual]]+Tabla590248[[#This Row],[Combustible Hora ]]*Tabla590248[[#This Row],[Valor galon]]*Tabla590248[[#This Row],[Horas mes]])</f>
        <v/>
      </c>
      <c r="FA53" s="168" t="str">
        <f>IF(Tabla590248[[#This Row],[Valor mensual + Combustible]]="","",Tabla590248[[#This Row],[Valor mensual + Combustible]]*Tabla590248[[#This Row],[Cantidad]])</f>
        <v/>
      </c>
      <c r="FD53" s="9"/>
      <c r="FE53" s="10"/>
      <c r="FF53" s="165" t="str">
        <f>IF(Tabla593251[[#This Row],[Equipo ]]="","",INDEX(V_MENSUAL,MATCH(Tabla593251[[#This Row],[Equipo ]],LISTA_MAQUINARIA,0)))</f>
        <v/>
      </c>
      <c r="FG53" s="12" t="str">
        <f>IF(Tabla593251[[#This Row],[Equipo ]]="","",INDEX(CONSUMO_COMBUSTIBLE_H,MATCH(Tabla593251[[#This Row],[Equipo ]],LISTA_MAQUINARIA,0)))</f>
        <v/>
      </c>
      <c r="FH53" s="166" t="str">
        <f>IF(Tabla593251[[#This Row],[Equipo ]]="","",INDEX(V_GALON,MATCH(Tabla593251[[#This Row],[Equipo ]],LISTA_MAQUINARIA,0)))</f>
        <v/>
      </c>
      <c r="FI53" s="10"/>
      <c r="FJ53" s="165" t="str">
        <f>IF(Tabla593251[[#This Row],[Equipo ]]="","",Tabla593251[[#This Row],[Valor mensual]]+Tabla593251[[#This Row],[Combustible Hora ]]*Tabla593251[[#This Row],[Valor galon]]*Tabla593251[[#This Row],[Horas mes]])</f>
        <v/>
      </c>
      <c r="FK53" s="168" t="str">
        <f>IF(Tabla593251[[#This Row],[Valor mensual + Combustible]]="","",Tabla593251[[#This Row],[Valor mensual + Combustible]]*Tabla593251[[#This Row],[Cantidad]])</f>
        <v/>
      </c>
      <c r="FN53" s="9"/>
      <c r="FO53" s="10"/>
      <c r="FP53" s="165" t="str">
        <f>IF(Tabla596254[[#This Row],[Equipo ]]="","",INDEX(V_MENSUAL,MATCH(Tabla596254[[#This Row],[Equipo ]],LISTA_MAQUINARIA,0)))</f>
        <v/>
      </c>
      <c r="FQ53" s="12" t="str">
        <f>IF(Tabla596254[[#This Row],[Equipo ]]="","",INDEX(CONSUMO_COMBUSTIBLE_H,MATCH(Tabla596254[[#This Row],[Equipo ]],LISTA_MAQUINARIA,0)))</f>
        <v/>
      </c>
      <c r="FR53" s="166" t="str">
        <f>IF(Tabla596254[[#This Row],[Equipo ]]="","",INDEX(V_GALON,MATCH(Tabla596254[[#This Row],[Equipo ]],LISTA_MAQUINARIA,0)))</f>
        <v/>
      </c>
      <c r="FS53" s="10"/>
      <c r="FT53" s="165" t="str">
        <f>IF(Tabla596254[[#This Row],[Equipo ]]="","",Tabla596254[[#This Row],[Valor mensual]]+Tabla596254[[#This Row],[Combustible Hora ]]*Tabla596254[[#This Row],[Valor galon]]*Tabla596254[[#This Row],[Horas mes]])</f>
        <v/>
      </c>
      <c r="FU53" s="168" t="str">
        <f>IF(Tabla596254[[#This Row],[Valor mensual + Combustible]]="","",Tabla596254[[#This Row],[Valor mensual + Combustible]]*Tabla596254[[#This Row],[Cantidad]])</f>
        <v/>
      </c>
    </row>
    <row r="54" spans="1:177" x14ac:dyDescent="0.3">
      <c r="A54" s="9" t="s">
        <v>509</v>
      </c>
      <c r="B54" s="10">
        <v>1</v>
      </c>
      <c r="C54" s="165">
        <f>IF(Tabla5203[[#This Row],[Equipo ]]="","",INDEX(V_MENSUAL,MATCH(Tabla5203[[#This Row],[Equipo ]],LISTA_MAQUINARIA,0)))</f>
        <v>1000000</v>
      </c>
      <c r="D54" s="12">
        <f>IF(Tabla5203[[#This Row],[Equipo ]]="","",INDEX(CONSUMO_COMBUSTIBLE_H,MATCH(Tabla5203[[#This Row],[Equipo ]],LISTA_MAQUINARIA,0)))</f>
        <v>0</v>
      </c>
      <c r="E54" s="166">
        <f>IF(Tabla5203[[#This Row],[Equipo ]]="","",INDEX(V_GALON,MATCH(Tabla5203[[#This Row],[Equipo ]],LISTA_MAQUINARIA,0)))</f>
        <v>10800</v>
      </c>
      <c r="F54" s="10"/>
      <c r="G54" s="165">
        <f>IF(Tabla5203[[#This Row],[Equipo ]]="","",Tabla5203[[#This Row],[Valor mensual]]+Tabla5203[[#This Row],[Combustible Hora ]]*Tabla5203[[#This Row],[Valor galon]]*Tabla5203[[#This Row],[Horas mes]])</f>
        <v>1000000</v>
      </c>
      <c r="H54" s="168">
        <f>IF(Tabla5203[[#This Row],[Valor mensual + Combustible]]="","",Tabla5203[[#This Row],[Valor mensual + Combustible]]*Tabla5203[[#This Row],[Cantidad]])</f>
        <v>1000000</v>
      </c>
      <c r="K54" s="9"/>
      <c r="L54" s="10"/>
      <c r="M54" s="165"/>
      <c r="N54" s="12" t="str">
        <f>IF(Tabla548206[[#This Row],[Equipo ]]="","",INDEX(CONSUMO_COMBUSTIBLE_H,MATCH(Tabla548206[[#This Row],[Equipo ]],LISTA_MAQUINARIA,0)))</f>
        <v/>
      </c>
      <c r="O54" s="166" t="str">
        <f>IF(Tabla548206[[#This Row],[Equipo ]]="","",INDEX(V_GALON,MATCH(Tabla548206[[#This Row],[Equipo ]],LISTA_MAQUINARIA,0)))</f>
        <v/>
      </c>
      <c r="P54" s="10"/>
      <c r="Q54" s="165" t="str">
        <f>IF(Tabla548206[[#This Row],[Equipo ]]="","",Tabla548206[[#This Row],[Valor mensual]]+Tabla548206[[#This Row],[Combustible Hora ]]*Tabla548206[[#This Row],[Valor galon]]*Tabla548206[[#This Row],[Horas mes]])</f>
        <v/>
      </c>
      <c r="R54" s="168" t="str">
        <f>IF(Tabla548206[[#This Row],[Valor mensual + Combustible]]="","",Tabla548206[[#This Row],[Valor mensual + Combustible]]*Tabla548206[[#This Row],[Cantidad]])</f>
        <v/>
      </c>
      <c r="U54" s="9"/>
      <c r="V54" s="10"/>
      <c r="W54" s="165" t="str">
        <f>IF(Tabla551209[[#This Row],[Equipo ]]="","",INDEX(V_MENSUAL,MATCH(Tabla551209[[#This Row],[Equipo ]],LISTA_MAQUINARIA,0)))</f>
        <v/>
      </c>
      <c r="X54" s="12" t="str">
        <f>IF(Tabla551209[[#This Row],[Equipo ]]="","",INDEX(CONSUMO_COMBUSTIBLE_H,MATCH(Tabla551209[[#This Row],[Equipo ]],LISTA_MAQUINARIA,0)))</f>
        <v/>
      </c>
      <c r="Y54" s="166" t="str">
        <f>IF(Tabla551209[[#This Row],[Equipo ]]="","",INDEX(V_GALON,MATCH(Tabla551209[[#This Row],[Equipo ]],LISTA_MAQUINARIA,0)))</f>
        <v/>
      </c>
      <c r="Z54" s="10"/>
      <c r="AA54" s="165" t="str">
        <f>IF(Tabla551209[[#This Row],[Equipo ]]="","",Tabla551209[[#This Row],[Valor mensual]]+Tabla551209[[#This Row],[Combustible Hora ]]*Tabla551209[[#This Row],[Valor galon]]*Tabla551209[[#This Row],[Horas mes]])</f>
        <v/>
      </c>
      <c r="AB54" s="168" t="str">
        <f>IF(Tabla551209[[#This Row],[Valor mensual + Combustible]]="","",Tabla551209[[#This Row],[Valor mensual + Combustible]]*Tabla551209[[#This Row],[Cantidad]])</f>
        <v/>
      </c>
      <c r="AD54" s="9"/>
      <c r="AE54" s="10"/>
      <c r="AF54" s="165" t="str">
        <f>IF(Tabla554212[[#This Row],[Equipo ]]="","",INDEX(V_MENSUAL,MATCH(Tabla554212[[#This Row],[Equipo ]],LISTA_MAQUINARIA,0)))</f>
        <v/>
      </c>
      <c r="AG54" s="12" t="str">
        <f>IF(Tabla554212[[#This Row],[Equipo ]]="","",INDEX(CONSUMO_COMBUSTIBLE_H,MATCH(Tabla554212[[#This Row],[Equipo ]],LISTA_MAQUINARIA,0)))</f>
        <v/>
      </c>
      <c r="AH54" s="166" t="str">
        <f>IF(Tabla554212[[#This Row],[Equipo ]]="","",INDEX(V_GALON,MATCH(Tabla554212[[#This Row],[Equipo ]],LISTA_MAQUINARIA,0)))</f>
        <v/>
      </c>
      <c r="AI54" s="10"/>
      <c r="AJ54" s="165" t="str">
        <f>IF(Tabla554212[[#This Row],[Equipo ]]="","",Tabla554212[[#This Row],[Valor mensual]]+Tabla554212[[#This Row],[Combustible Hora ]]*Tabla554212[[#This Row],[Valor galon]]*Tabla554212[[#This Row],[Horas mes]])</f>
        <v/>
      </c>
      <c r="AK54" s="168" t="str">
        <f>IF(Tabla554212[[#This Row],[Valor mensual + Combustible]]="","",Tabla554212[[#This Row],[Valor mensual + Combustible]]*Tabla554212[[#This Row],[Cantidad]])</f>
        <v/>
      </c>
      <c r="AN54" s="9"/>
      <c r="AO54" s="10"/>
      <c r="AP54" s="165"/>
      <c r="AQ54" s="12"/>
      <c r="AR54" s="166"/>
      <c r="AS54" s="10"/>
      <c r="AT54" s="165"/>
      <c r="AU54" s="168"/>
      <c r="AX54" s="9"/>
      <c r="AY54" s="10"/>
      <c r="AZ54" s="165"/>
      <c r="BA54" s="12"/>
      <c r="BB54" s="166"/>
      <c r="BC54" s="10"/>
      <c r="BD54" s="165"/>
      <c r="BE54" s="168"/>
      <c r="BH54" s="9"/>
      <c r="BI54" s="10"/>
      <c r="BJ54" s="165"/>
      <c r="BK54" s="12"/>
      <c r="BL54" s="166"/>
      <c r="BM54" s="10"/>
      <c r="BN54" s="165"/>
      <c r="BO54" s="168"/>
      <c r="BR54" s="9"/>
      <c r="BS54" s="10"/>
      <c r="BT54" s="165"/>
      <c r="BU54" s="12"/>
      <c r="BV54" s="166"/>
      <c r="BW54" s="10"/>
      <c r="BX54" s="165"/>
      <c r="BY54" s="168"/>
      <c r="CB54" s="9"/>
      <c r="CC54" s="10"/>
      <c r="CD54" s="165"/>
      <c r="CE54" s="12"/>
      <c r="CF54" s="166"/>
      <c r="CG54" s="10"/>
      <c r="CH54" s="165"/>
      <c r="CI54" s="168"/>
      <c r="CL54" s="9"/>
      <c r="CM54" s="10"/>
      <c r="CN54" s="165"/>
      <c r="CO54" s="12"/>
      <c r="CP54" s="166"/>
      <c r="CQ54" s="10"/>
      <c r="CR54" s="165"/>
      <c r="CS54" s="168"/>
      <c r="CV54" s="9"/>
      <c r="CW54" s="10"/>
      <c r="CX54" s="165"/>
      <c r="CY54" s="12"/>
      <c r="CZ54" s="166"/>
      <c r="DA54" s="10"/>
      <c r="DB54" s="165"/>
      <c r="DC54" s="168"/>
      <c r="DF54" s="9"/>
      <c r="DG54" s="10"/>
      <c r="DH54" s="165"/>
      <c r="DI54" s="12"/>
      <c r="DJ54" s="166"/>
      <c r="DK54" s="10"/>
      <c r="DL54" s="165"/>
      <c r="DM54" s="168"/>
      <c r="DP54" s="9"/>
      <c r="DQ54" s="10"/>
      <c r="DR54" s="165"/>
      <c r="DS54" s="12"/>
      <c r="DT54" s="166"/>
      <c r="DU54" s="10"/>
      <c r="DV54" s="165"/>
      <c r="DW54" s="168"/>
      <c r="DZ54" s="9"/>
      <c r="EA54" s="10"/>
      <c r="EB54" s="165"/>
      <c r="EC54" s="12"/>
      <c r="ED54" s="166"/>
      <c r="EE54" s="10"/>
      <c r="EF54" s="165"/>
      <c r="EG54" s="168"/>
      <c r="EJ54" s="9"/>
      <c r="EK54" s="10"/>
      <c r="EL54" s="165"/>
      <c r="EM54" s="12"/>
      <c r="EN54" s="166"/>
      <c r="EO54" s="10"/>
      <c r="EP54" s="165"/>
      <c r="EQ54" s="168"/>
      <c r="ET54" s="9"/>
      <c r="EU54" s="10"/>
      <c r="EV54" s="165"/>
      <c r="EW54" s="12"/>
      <c r="EX54" s="166"/>
      <c r="EY54" s="10"/>
      <c r="EZ54" s="165"/>
      <c r="FA54" s="168"/>
      <c r="FD54" s="9"/>
      <c r="FE54" s="10"/>
      <c r="FF54" s="165"/>
      <c r="FG54" s="12"/>
      <c r="FH54" s="166"/>
      <c r="FI54" s="10"/>
      <c r="FJ54" s="165"/>
      <c r="FK54" s="168"/>
      <c r="FN54" s="9"/>
      <c r="FO54" s="10"/>
      <c r="FP54" s="165"/>
      <c r="FQ54" s="12"/>
      <c r="FR54" s="166"/>
      <c r="FS54" s="10"/>
      <c r="FT54" s="165"/>
      <c r="FU54" s="168"/>
    </row>
    <row r="55" spans="1:177" x14ac:dyDescent="0.3">
      <c r="A55" s="9" t="s">
        <v>510</v>
      </c>
      <c r="B55" s="10">
        <v>0.5</v>
      </c>
      <c r="C55" s="165">
        <f>IF(Tabla5203[[#This Row],[Equipo ]]="","",INDEX(V_MENSUAL,MATCH(Tabla5203[[#This Row],[Equipo ]],LISTA_MAQUINARIA,0)))</f>
        <v>1800000</v>
      </c>
      <c r="D55" s="12">
        <f>IF(Tabla5203[[#This Row],[Equipo ]]="","",INDEX(CONSUMO_COMBUSTIBLE_H,MATCH(Tabla5203[[#This Row],[Equipo ]],LISTA_MAQUINARIA,0)))</f>
        <v>0</v>
      </c>
      <c r="E55" s="166">
        <f>IF(Tabla5203[[#This Row],[Equipo ]]="","",INDEX(V_GALON,MATCH(Tabla5203[[#This Row],[Equipo ]],LISTA_MAQUINARIA,0)))</f>
        <v>10800</v>
      </c>
      <c r="F55" s="10"/>
      <c r="G55" s="165">
        <f>IF(Tabla5203[[#This Row],[Equipo ]]="","",Tabla5203[[#This Row],[Valor mensual]]+Tabla5203[[#This Row],[Combustible Hora ]]*Tabla5203[[#This Row],[Valor galon]]*Tabla5203[[#This Row],[Horas mes]])</f>
        <v>1800000</v>
      </c>
      <c r="H55" s="168">
        <f>IF(Tabla5203[[#This Row],[Valor mensual + Combustible]]="","",Tabla5203[[#This Row],[Valor mensual + Combustible]]*Tabla5203[[#This Row],[Cantidad]])</f>
        <v>900000</v>
      </c>
      <c r="K55" s="9"/>
      <c r="L55" s="10"/>
      <c r="M55" s="165" t="str" cm="1">
        <f t="array" ref="M55">IF(Tabla548206[[#This Row],[Equipo ]]="","",INDEX(V_MENSUAL,MATCH(Tabla548206[[#This Row],[Equipo ]],LISTA_MAQUINARIA,0)))</f>
        <v/>
      </c>
      <c r="N55" s="12" t="str">
        <f>IF(Tabla548206[[#This Row],[Equipo ]]="","",INDEX(CONSUMO_COMBUSTIBLE_H,MATCH(Tabla548206[[#This Row],[Equipo ]],LISTA_MAQUINARIA,0)))</f>
        <v/>
      </c>
      <c r="O55" s="166" t="str">
        <f>IF(Tabla548206[[#This Row],[Equipo ]]="","",INDEX(V_GALON,MATCH(Tabla548206[[#This Row],[Equipo ]],LISTA_MAQUINARIA,0)))</f>
        <v/>
      </c>
      <c r="P55" s="10">
        <v>88</v>
      </c>
      <c r="Q55" s="165" t="str">
        <f>IF(Tabla548206[[#This Row],[Equipo ]]="","",Tabla548206[[#This Row],[Valor mensual]]+Tabla548206[[#This Row],[Combustible Hora ]]*Tabla548206[[#This Row],[Valor galon]]*Tabla548206[[#This Row],[Horas mes]])</f>
        <v/>
      </c>
      <c r="R55" s="168" t="str">
        <f>IF(Tabla548206[[#This Row],[Valor mensual + Combustible]]="","",Tabla548206[[#This Row],[Valor mensual + Combustible]]*Tabla548206[[#This Row],[Cantidad]])</f>
        <v/>
      </c>
      <c r="U55" s="9"/>
      <c r="V55" s="10"/>
      <c r="W55" s="165" t="str">
        <f>IF(Tabla551209[[#This Row],[Equipo ]]="","",INDEX(V_MENSUAL,MATCH(Tabla551209[[#This Row],[Equipo ]],LISTA_MAQUINARIA,0)))</f>
        <v/>
      </c>
      <c r="X55" s="12" t="str">
        <f>IF(Tabla551209[[#This Row],[Equipo ]]="","",INDEX(CONSUMO_COMBUSTIBLE_H,MATCH(Tabla551209[[#This Row],[Equipo ]],LISTA_MAQUINARIA,0)))</f>
        <v/>
      </c>
      <c r="Y55" s="166" t="str">
        <f>IF(Tabla551209[[#This Row],[Equipo ]]="","",INDEX(V_GALON,MATCH(Tabla551209[[#This Row],[Equipo ]],LISTA_MAQUINARIA,0)))</f>
        <v/>
      </c>
      <c r="Z55" s="10"/>
      <c r="AA55" s="165" t="str">
        <f>IF(Tabla551209[[#This Row],[Equipo ]]="","",Tabla551209[[#This Row],[Valor mensual]]+Tabla551209[[#This Row],[Combustible Hora ]]*Tabla551209[[#This Row],[Valor galon]]*Tabla551209[[#This Row],[Horas mes]])</f>
        <v/>
      </c>
      <c r="AB55" s="168" t="str">
        <f>IF(Tabla551209[[#This Row],[Valor mensual + Combustible]]="","",Tabla551209[[#This Row],[Valor mensual + Combustible]]*Tabla551209[[#This Row],[Cantidad]])</f>
        <v/>
      </c>
      <c r="AD55" s="9"/>
      <c r="AE55" s="10"/>
      <c r="AF55" s="165" t="str">
        <f>IF(Tabla554212[[#This Row],[Equipo ]]="","",INDEX(V_MENSUAL,MATCH(Tabla554212[[#This Row],[Equipo ]],LISTA_MAQUINARIA,0)))</f>
        <v/>
      </c>
      <c r="AG55" s="12" t="str">
        <f>IF(Tabla554212[[#This Row],[Equipo ]]="","",INDEX(CONSUMO_COMBUSTIBLE_H,MATCH(Tabla554212[[#This Row],[Equipo ]],LISTA_MAQUINARIA,0)))</f>
        <v/>
      </c>
      <c r="AH55" s="166" t="str">
        <f>IF(Tabla554212[[#This Row],[Equipo ]]="","",INDEX(V_GALON,MATCH(Tabla554212[[#This Row],[Equipo ]],LISTA_MAQUINARIA,0)))</f>
        <v/>
      </c>
      <c r="AI55" s="10"/>
      <c r="AJ55" s="165" t="str">
        <f>IF(Tabla554212[[#This Row],[Equipo ]]="","",Tabla554212[[#This Row],[Valor mensual]]+Tabla554212[[#This Row],[Combustible Hora ]]*Tabla554212[[#This Row],[Valor galon]]*Tabla554212[[#This Row],[Horas mes]])</f>
        <v/>
      </c>
      <c r="AK55" s="168" t="str">
        <f>IF(Tabla554212[[#This Row],[Valor mensual + Combustible]]="","",Tabla554212[[#This Row],[Valor mensual + Combustible]]*Tabla554212[[#This Row],[Cantidad]])</f>
        <v/>
      </c>
      <c r="AN55" s="9"/>
      <c r="AO55" s="10"/>
      <c r="AP55" s="165"/>
      <c r="AQ55" s="12"/>
      <c r="AR55" s="166"/>
      <c r="AS55" s="10"/>
      <c r="AT55" s="165"/>
      <c r="AU55" s="168"/>
      <c r="AX55" s="9"/>
      <c r="AY55" s="10"/>
      <c r="AZ55" s="165"/>
      <c r="BA55" s="12"/>
      <c r="BB55" s="166"/>
      <c r="BC55" s="10"/>
      <c r="BD55" s="165"/>
      <c r="BE55" s="168"/>
      <c r="BH55" s="9"/>
      <c r="BI55" s="10"/>
      <c r="BJ55" s="165"/>
      <c r="BK55" s="12"/>
      <c r="BL55" s="166"/>
      <c r="BM55" s="10"/>
      <c r="BN55" s="165"/>
      <c r="BO55" s="168"/>
      <c r="BR55" s="9"/>
      <c r="BS55" s="10"/>
      <c r="BT55" s="165"/>
      <c r="BU55" s="12"/>
      <c r="BV55" s="166"/>
      <c r="BW55" s="10"/>
      <c r="BX55" s="165"/>
      <c r="BY55" s="168"/>
      <c r="CB55" s="9"/>
      <c r="CC55" s="10"/>
      <c r="CD55" s="165"/>
      <c r="CE55" s="12"/>
      <c r="CF55" s="166"/>
      <c r="CG55" s="10"/>
      <c r="CH55" s="165"/>
      <c r="CI55" s="168"/>
      <c r="CL55" s="9"/>
      <c r="CM55" s="10"/>
      <c r="CN55" s="165"/>
      <c r="CO55" s="12"/>
      <c r="CP55" s="166"/>
      <c r="CQ55" s="10"/>
      <c r="CR55" s="165"/>
      <c r="CS55" s="168"/>
      <c r="CV55" s="9"/>
      <c r="CW55" s="10"/>
      <c r="CX55" s="165"/>
      <c r="CY55" s="12"/>
      <c r="CZ55" s="166"/>
      <c r="DA55" s="10"/>
      <c r="DB55" s="165"/>
      <c r="DC55" s="168"/>
      <c r="DF55" s="9"/>
      <c r="DG55" s="10"/>
      <c r="DH55" s="165"/>
      <c r="DI55" s="12"/>
      <c r="DJ55" s="166"/>
      <c r="DK55" s="10"/>
      <c r="DL55" s="165"/>
      <c r="DM55" s="168"/>
      <c r="DP55" s="9"/>
      <c r="DQ55" s="10"/>
      <c r="DR55" s="165"/>
      <c r="DS55" s="12"/>
      <c r="DT55" s="166"/>
      <c r="DU55" s="10"/>
      <c r="DV55" s="165"/>
      <c r="DW55" s="168"/>
      <c r="DZ55" s="9"/>
      <c r="EA55" s="10"/>
      <c r="EB55" s="165"/>
      <c r="EC55" s="12"/>
      <c r="ED55" s="166"/>
      <c r="EE55" s="10"/>
      <c r="EF55" s="165"/>
      <c r="EG55" s="168"/>
      <c r="EJ55" s="9"/>
      <c r="EK55" s="10"/>
      <c r="EL55" s="165"/>
      <c r="EM55" s="12"/>
      <c r="EN55" s="166"/>
      <c r="EO55" s="10"/>
      <c r="EP55" s="165"/>
      <c r="EQ55" s="168"/>
      <c r="ET55" s="9"/>
      <c r="EU55" s="10"/>
      <c r="EV55" s="165"/>
      <c r="EW55" s="12"/>
      <c r="EX55" s="166"/>
      <c r="EY55" s="10"/>
      <c r="EZ55" s="165"/>
      <c r="FA55" s="168"/>
      <c r="FD55" s="9"/>
      <c r="FE55" s="10"/>
      <c r="FF55" s="165"/>
      <c r="FG55" s="12"/>
      <c r="FH55" s="166"/>
      <c r="FI55" s="10"/>
      <c r="FJ55" s="165"/>
      <c r="FK55" s="168"/>
      <c r="FN55" s="9"/>
      <c r="FO55" s="10"/>
      <c r="FP55" s="165"/>
      <c r="FQ55" s="12"/>
      <c r="FR55" s="166"/>
      <c r="FS55" s="10"/>
      <c r="FT55" s="165"/>
      <c r="FU55" s="168"/>
    </row>
    <row r="56" spans="1:177" x14ac:dyDescent="0.3">
      <c r="A56" s="9" t="s">
        <v>513</v>
      </c>
      <c r="B56" s="10">
        <v>0.5</v>
      </c>
      <c r="C56" s="165">
        <f>IF(Tabla5203[[#This Row],[Equipo ]]="","",INDEX(V_MENSUAL,MATCH(Tabla5203[[#This Row],[Equipo ]],LISTA_MAQUINARIA,0)))</f>
        <v>7000000</v>
      </c>
      <c r="D56" s="12">
        <f>IF(Tabla5203[[#This Row],[Equipo ]]="","",INDEX(CONSUMO_COMBUSTIBLE_H,MATCH(Tabla5203[[#This Row],[Equipo ]],LISTA_MAQUINARIA,0)))</f>
        <v>2</v>
      </c>
      <c r="E56" s="166">
        <f>IF(Tabla5203[[#This Row],[Equipo ]]="","",INDEX(V_GALON,MATCH(Tabla5203[[#This Row],[Equipo ]],LISTA_MAQUINARIA,0)))</f>
        <v>10800</v>
      </c>
      <c r="F56" s="10">
        <v>88</v>
      </c>
      <c r="G56" s="165">
        <f>IF(Tabla5203[[#This Row],[Equipo ]]="","",Tabla5203[[#This Row],[Valor mensual]]+Tabla5203[[#This Row],[Combustible Hora ]]*Tabla5203[[#This Row],[Valor galon]]*Tabla5203[[#This Row],[Horas mes]])</f>
        <v>8900800</v>
      </c>
      <c r="H56" s="168">
        <f>IF(Tabla5203[[#This Row],[Valor mensual + Combustible]]="","",Tabla5203[[#This Row],[Valor mensual + Combustible]]*Tabla5203[[#This Row],[Cantidad]])</f>
        <v>4450400</v>
      </c>
      <c r="K56" s="9" t="s">
        <v>513</v>
      </c>
      <c r="L56" s="10">
        <v>0.5</v>
      </c>
      <c r="M56" s="165" cm="1">
        <f t="array" ref="M56">IF(Tabla548206[[#This Row],[Equipo ]]="","",INDEX(V_MENSUAL,MATCH(Tabla548206[[#This Row],[Equipo ]],LISTA_MAQUINARIA,0)))</f>
        <v>7000000</v>
      </c>
      <c r="N56" s="12">
        <f>IF(Tabla548206[[#This Row],[Equipo ]]="","",INDEX(CONSUMO_COMBUSTIBLE_H,MATCH(Tabla548206[[#This Row],[Equipo ]],LISTA_MAQUINARIA,0)))</f>
        <v>2</v>
      </c>
      <c r="O56" s="166">
        <f>IF(Tabla548206[[#This Row],[Equipo ]]="","",INDEX(V_GALON,MATCH(Tabla548206[[#This Row],[Equipo ]],LISTA_MAQUINARIA,0)))</f>
        <v>10800</v>
      </c>
      <c r="P56" s="10"/>
      <c r="Q56" s="165">
        <f>IF(Tabla548206[[#This Row],[Equipo ]]="","",Tabla548206[[#This Row],[Valor mensual]]+Tabla548206[[#This Row],[Combustible Hora ]]*Tabla548206[[#This Row],[Valor galon]]*Tabla548206[[#This Row],[Horas mes]])</f>
        <v>7000000</v>
      </c>
      <c r="R56" s="168">
        <f>IF(Tabla548206[[#This Row],[Valor mensual + Combustible]]="","",Tabla548206[[#This Row],[Valor mensual + Combustible]]*Tabla548206[[#This Row],[Cantidad]])</f>
        <v>3500000</v>
      </c>
      <c r="U56" s="9" t="s">
        <v>513</v>
      </c>
      <c r="V56" s="10">
        <v>0.5</v>
      </c>
      <c r="W56" s="165">
        <f>IF(Tabla551209[[#This Row],[Equipo ]]="","",INDEX(V_MENSUAL,MATCH(Tabla551209[[#This Row],[Equipo ]],LISTA_MAQUINARIA,0)))</f>
        <v>7000000</v>
      </c>
      <c r="X56" s="12">
        <f>IF(Tabla551209[[#This Row],[Equipo ]]="","",INDEX(CONSUMO_COMBUSTIBLE_H,MATCH(Tabla551209[[#This Row],[Equipo ]],LISTA_MAQUINARIA,0)))</f>
        <v>2</v>
      </c>
      <c r="Y56" s="166">
        <f>IF(Tabla551209[[#This Row],[Equipo ]]="","",INDEX(V_GALON,MATCH(Tabla551209[[#This Row],[Equipo ]],LISTA_MAQUINARIA,0)))</f>
        <v>10800</v>
      </c>
      <c r="Z56" s="10"/>
      <c r="AA56" s="165">
        <f>IF(Tabla551209[[#This Row],[Equipo ]]="","",Tabla551209[[#This Row],[Valor mensual]]+Tabla551209[[#This Row],[Combustible Hora ]]*Tabla551209[[#This Row],[Valor galon]]*Tabla551209[[#This Row],[Horas mes]])</f>
        <v>7000000</v>
      </c>
      <c r="AB56" s="168">
        <f>IF(Tabla551209[[#This Row],[Valor mensual + Combustible]]="","",Tabla551209[[#This Row],[Valor mensual + Combustible]]*Tabla551209[[#This Row],[Cantidad]])</f>
        <v>3500000</v>
      </c>
      <c r="AD56" s="9" t="s">
        <v>513</v>
      </c>
      <c r="AE56" s="10">
        <v>0.5</v>
      </c>
      <c r="AF56" s="165">
        <f>IF(Tabla554212[[#This Row],[Equipo ]]="","",INDEX(V_MENSUAL,MATCH(Tabla554212[[#This Row],[Equipo ]],LISTA_MAQUINARIA,0)))</f>
        <v>7000000</v>
      </c>
      <c r="AG56" s="12">
        <f>IF(Tabla554212[[#This Row],[Equipo ]]="","",INDEX(CONSUMO_COMBUSTIBLE_H,MATCH(Tabla554212[[#This Row],[Equipo ]],LISTA_MAQUINARIA,0)))</f>
        <v>2</v>
      </c>
      <c r="AH56" s="166">
        <f>IF(Tabla554212[[#This Row],[Equipo ]]="","",INDEX(V_GALON,MATCH(Tabla554212[[#This Row],[Equipo ]],LISTA_MAQUINARIA,0)))</f>
        <v>10800</v>
      </c>
      <c r="AI56" s="10"/>
      <c r="AJ56" s="165">
        <f>IF(Tabla554212[[#This Row],[Equipo ]]="","",Tabla554212[[#This Row],[Valor mensual]]+Tabla554212[[#This Row],[Combustible Hora ]]*Tabla554212[[#This Row],[Valor galon]]*Tabla554212[[#This Row],[Horas mes]])</f>
        <v>7000000</v>
      </c>
      <c r="AK56" s="168">
        <f>IF(Tabla554212[[#This Row],[Valor mensual + Combustible]]="","",Tabla554212[[#This Row],[Valor mensual + Combustible]]*Tabla554212[[#This Row],[Cantidad]])</f>
        <v>3500000</v>
      </c>
      <c r="AN56" s="9"/>
      <c r="AO56" s="10"/>
      <c r="AP56" s="165"/>
      <c r="AQ56" s="12"/>
      <c r="AR56" s="166"/>
      <c r="AS56" s="10"/>
      <c r="AT56" s="165"/>
      <c r="AU56" s="168"/>
      <c r="AX56" s="9"/>
      <c r="AY56" s="10"/>
      <c r="AZ56" s="165"/>
      <c r="BA56" s="12"/>
      <c r="BB56" s="166"/>
      <c r="BC56" s="10"/>
      <c r="BD56" s="165"/>
      <c r="BE56" s="168"/>
      <c r="BH56" s="9"/>
      <c r="BI56" s="10"/>
      <c r="BJ56" s="165"/>
      <c r="BK56" s="12"/>
      <c r="BL56" s="166"/>
      <c r="BM56" s="10"/>
      <c r="BN56" s="165"/>
      <c r="BO56" s="168"/>
      <c r="BR56" s="9"/>
      <c r="BS56" s="10"/>
      <c r="BT56" s="165"/>
      <c r="BU56" s="12"/>
      <c r="BV56" s="166"/>
      <c r="BW56" s="10"/>
      <c r="BX56" s="165"/>
      <c r="BY56" s="168"/>
      <c r="CB56" s="9"/>
      <c r="CC56" s="10"/>
      <c r="CD56" s="165"/>
      <c r="CE56" s="12"/>
      <c r="CF56" s="166"/>
      <c r="CG56" s="10"/>
      <c r="CH56" s="165"/>
      <c r="CI56" s="168"/>
      <c r="CL56" s="9"/>
      <c r="CM56" s="10"/>
      <c r="CN56" s="165"/>
      <c r="CO56" s="12"/>
      <c r="CP56" s="166"/>
      <c r="CQ56" s="10"/>
      <c r="CR56" s="165"/>
      <c r="CS56" s="168"/>
      <c r="CV56" s="9"/>
      <c r="CW56" s="10"/>
      <c r="CX56" s="165"/>
      <c r="CY56" s="12"/>
      <c r="CZ56" s="166"/>
      <c r="DA56" s="10"/>
      <c r="DB56" s="165"/>
      <c r="DC56" s="168"/>
      <c r="DF56" s="9"/>
      <c r="DG56" s="10"/>
      <c r="DH56" s="165"/>
      <c r="DI56" s="12"/>
      <c r="DJ56" s="166"/>
      <c r="DK56" s="10"/>
      <c r="DL56" s="165"/>
      <c r="DM56" s="168"/>
      <c r="DP56" s="9"/>
      <c r="DQ56" s="10"/>
      <c r="DR56" s="165"/>
      <c r="DS56" s="12"/>
      <c r="DT56" s="166"/>
      <c r="DU56" s="10"/>
      <c r="DV56" s="165"/>
      <c r="DW56" s="168"/>
      <c r="DZ56" s="9"/>
      <c r="EA56" s="10"/>
      <c r="EB56" s="165"/>
      <c r="EC56" s="12"/>
      <c r="ED56" s="166"/>
      <c r="EE56" s="10"/>
      <c r="EF56" s="165"/>
      <c r="EG56" s="168"/>
      <c r="EJ56" s="9"/>
      <c r="EK56" s="10"/>
      <c r="EL56" s="165"/>
      <c r="EM56" s="12"/>
      <c r="EN56" s="166"/>
      <c r="EO56" s="10"/>
      <c r="EP56" s="165"/>
      <c r="EQ56" s="168"/>
      <c r="ET56" s="9"/>
      <c r="EU56" s="10"/>
      <c r="EV56" s="165"/>
      <c r="EW56" s="12"/>
      <c r="EX56" s="166"/>
      <c r="EY56" s="10"/>
      <c r="EZ56" s="165"/>
      <c r="FA56" s="168"/>
      <c r="FD56" s="9"/>
      <c r="FE56" s="10"/>
      <c r="FF56" s="165"/>
      <c r="FG56" s="12"/>
      <c r="FH56" s="166"/>
      <c r="FI56" s="10"/>
      <c r="FJ56" s="165"/>
      <c r="FK56" s="168"/>
      <c r="FN56" s="9"/>
      <c r="FO56" s="10"/>
      <c r="FP56" s="165"/>
      <c r="FQ56" s="12"/>
      <c r="FR56" s="166"/>
      <c r="FS56" s="10"/>
      <c r="FT56" s="165"/>
      <c r="FU56" s="168"/>
    </row>
    <row r="57" spans="1:177" x14ac:dyDescent="0.3">
      <c r="A57" s="9" t="s">
        <v>520</v>
      </c>
      <c r="B57" s="10">
        <v>0.5</v>
      </c>
      <c r="C57" s="165">
        <f>IF(Tabla5203[[#This Row],[Equipo ]]="","",INDEX(V_MENSUAL,MATCH(Tabla5203[[#This Row],[Equipo ]],LISTA_MAQUINARIA,0)))</f>
        <v>1000000</v>
      </c>
      <c r="D57" s="12">
        <f>IF(Tabla5203[[#This Row],[Equipo ]]="","",INDEX(CONSUMO_COMBUSTIBLE_H,MATCH(Tabla5203[[#This Row],[Equipo ]],LISTA_MAQUINARIA,0)))</f>
        <v>0</v>
      </c>
      <c r="E57" s="166">
        <f>IF(Tabla5203[[#This Row],[Equipo ]]="","",INDEX(V_GALON,MATCH(Tabla5203[[#This Row],[Equipo ]],LISTA_MAQUINARIA,0)))</f>
        <v>10800</v>
      </c>
      <c r="F57" s="10"/>
      <c r="G57" s="165">
        <f>IF(Tabla5203[[#This Row],[Equipo ]]="","",Tabla5203[[#This Row],[Valor mensual]]+Tabla5203[[#This Row],[Combustible Hora ]]*Tabla5203[[#This Row],[Valor galon]]*Tabla5203[[#This Row],[Horas mes]])</f>
        <v>1000000</v>
      </c>
      <c r="H57" s="168">
        <f>IF(Tabla5203[[#This Row],[Valor mensual + Combustible]]="","",Tabla5203[[#This Row],[Valor mensual + Combustible]]*Tabla5203[[#This Row],[Cantidad]])</f>
        <v>500000</v>
      </c>
      <c r="K57" s="9" t="s">
        <v>520</v>
      </c>
      <c r="L57" s="10">
        <v>0.5</v>
      </c>
      <c r="M57" s="165" cm="1">
        <f t="array" ref="M57">IF(Tabla548206[[#This Row],[Equipo ]]="","",INDEX(V_MENSUAL,MATCH(Tabla548206[[#This Row],[Equipo ]],LISTA_MAQUINARIA,0)))</f>
        <v>1000000</v>
      </c>
      <c r="N57" s="12">
        <f>IF(Tabla548206[[#This Row],[Equipo ]]="","",INDEX(CONSUMO_COMBUSTIBLE_H,MATCH(Tabla548206[[#This Row],[Equipo ]],LISTA_MAQUINARIA,0)))</f>
        <v>0</v>
      </c>
      <c r="O57" s="166">
        <f>IF(Tabla548206[[#This Row],[Equipo ]]="","",INDEX(V_GALON,MATCH(Tabla548206[[#This Row],[Equipo ]],LISTA_MAQUINARIA,0)))</f>
        <v>10800</v>
      </c>
      <c r="P57" s="10"/>
      <c r="Q57" s="165">
        <f>IF(Tabla548206[[#This Row],[Equipo ]]="","",Tabla548206[[#This Row],[Valor mensual]]+Tabla548206[[#This Row],[Combustible Hora ]]*Tabla548206[[#This Row],[Valor galon]]*Tabla548206[[#This Row],[Horas mes]])</f>
        <v>1000000</v>
      </c>
      <c r="R57" s="168">
        <f>IF(Tabla548206[[#This Row],[Valor mensual + Combustible]]="","",Tabla548206[[#This Row],[Valor mensual + Combustible]]*Tabla548206[[#This Row],[Cantidad]])</f>
        <v>500000</v>
      </c>
      <c r="U57" s="9" t="s">
        <v>520</v>
      </c>
      <c r="V57" s="10">
        <v>0.5</v>
      </c>
      <c r="W57" s="165">
        <f>IF(Tabla551209[[#This Row],[Equipo ]]="","",INDEX(V_MENSUAL,MATCH(Tabla551209[[#This Row],[Equipo ]],LISTA_MAQUINARIA,0)))</f>
        <v>1000000</v>
      </c>
      <c r="X57" s="12">
        <f>IF(Tabla551209[[#This Row],[Equipo ]]="","",INDEX(CONSUMO_COMBUSTIBLE_H,MATCH(Tabla551209[[#This Row],[Equipo ]],LISTA_MAQUINARIA,0)))</f>
        <v>0</v>
      </c>
      <c r="Y57" s="166">
        <f>IF(Tabla551209[[#This Row],[Equipo ]]="","",INDEX(V_GALON,MATCH(Tabla551209[[#This Row],[Equipo ]],LISTA_MAQUINARIA,0)))</f>
        <v>10800</v>
      </c>
      <c r="Z57" s="10"/>
      <c r="AA57" s="165">
        <f>IF(Tabla551209[[#This Row],[Equipo ]]="","",Tabla551209[[#This Row],[Valor mensual]]+Tabla551209[[#This Row],[Combustible Hora ]]*Tabla551209[[#This Row],[Valor galon]]*Tabla551209[[#This Row],[Horas mes]])</f>
        <v>1000000</v>
      </c>
      <c r="AB57" s="168">
        <f>IF(Tabla551209[[#This Row],[Valor mensual + Combustible]]="","",Tabla551209[[#This Row],[Valor mensual + Combustible]]*Tabla551209[[#This Row],[Cantidad]])</f>
        <v>500000</v>
      </c>
      <c r="AD57" s="9" t="s">
        <v>520</v>
      </c>
      <c r="AE57" s="10">
        <v>0.5</v>
      </c>
      <c r="AF57" s="165">
        <f>IF(Tabla554212[[#This Row],[Equipo ]]="","",INDEX(V_MENSUAL,MATCH(Tabla554212[[#This Row],[Equipo ]],LISTA_MAQUINARIA,0)))</f>
        <v>1000000</v>
      </c>
      <c r="AG57" s="12">
        <f>IF(Tabla554212[[#This Row],[Equipo ]]="","",INDEX(CONSUMO_COMBUSTIBLE_H,MATCH(Tabla554212[[#This Row],[Equipo ]],LISTA_MAQUINARIA,0)))</f>
        <v>0</v>
      </c>
      <c r="AH57" s="166">
        <f>IF(Tabla554212[[#This Row],[Equipo ]]="","",INDEX(V_GALON,MATCH(Tabla554212[[#This Row],[Equipo ]],LISTA_MAQUINARIA,0)))</f>
        <v>10800</v>
      </c>
      <c r="AI57" s="10"/>
      <c r="AJ57" s="165">
        <f>IF(Tabla554212[[#This Row],[Equipo ]]="","",Tabla554212[[#This Row],[Valor mensual]]+Tabla554212[[#This Row],[Combustible Hora ]]*Tabla554212[[#This Row],[Valor galon]]*Tabla554212[[#This Row],[Horas mes]])</f>
        <v>1000000</v>
      </c>
      <c r="AK57" s="168">
        <f>IF(Tabla554212[[#This Row],[Valor mensual + Combustible]]="","",Tabla554212[[#This Row],[Valor mensual + Combustible]]*Tabla554212[[#This Row],[Cantidad]])</f>
        <v>500000</v>
      </c>
      <c r="AN57" s="9"/>
      <c r="AO57" s="10"/>
      <c r="AP57" s="165"/>
      <c r="AQ57" s="12"/>
      <c r="AR57" s="166"/>
      <c r="AS57" s="10"/>
      <c r="AT57" s="165"/>
      <c r="AU57" s="168"/>
      <c r="AX57" s="9"/>
      <c r="AY57" s="10"/>
      <c r="AZ57" s="165"/>
      <c r="BA57" s="12"/>
      <c r="BB57" s="166"/>
      <c r="BC57" s="10"/>
      <c r="BD57" s="165"/>
      <c r="BE57" s="168"/>
      <c r="BH57" s="9"/>
      <c r="BI57" s="10"/>
      <c r="BJ57" s="165"/>
      <c r="BK57" s="12"/>
      <c r="BL57" s="166"/>
      <c r="BM57" s="10"/>
      <c r="BN57" s="165"/>
      <c r="BO57" s="168"/>
      <c r="BR57" s="9"/>
      <c r="BS57" s="10"/>
      <c r="BT57" s="165"/>
      <c r="BU57" s="12"/>
      <c r="BV57" s="166"/>
      <c r="BW57" s="10"/>
      <c r="BX57" s="165"/>
      <c r="BY57" s="168"/>
      <c r="CB57" s="9"/>
      <c r="CC57" s="10"/>
      <c r="CD57" s="165"/>
      <c r="CE57" s="12"/>
      <c r="CF57" s="166"/>
      <c r="CG57" s="10"/>
      <c r="CH57" s="165"/>
      <c r="CI57" s="168"/>
      <c r="CL57" s="9"/>
      <c r="CM57" s="10"/>
      <c r="CN57" s="165"/>
      <c r="CO57" s="12"/>
      <c r="CP57" s="166"/>
      <c r="CQ57" s="10"/>
      <c r="CR57" s="165"/>
      <c r="CS57" s="168"/>
      <c r="CV57" s="9"/>
      <c r="CW57" s="10"/>
      <c r="CX57" s="165"/>
      <c r="CY57" s="12"/>
      <c r="CZ57" s="166"/>
      <c r="DA57" s="10"/>
      <c r="DB57" s="165"/>
      <c r="DC57" s="168"/>
      <c r="DF57" s="9"/>
      <c r="DG57" s="10"/>
      <c r="DH57" s="165"/>
      <c r="DI57" s="12"/>
      <c r="DJ57" s="166"/>
      <c r="DK57" s="10"/>
      <c r="DL57" s="165"/>
      <c r="DM57" s="168"/>
      <c r="DP57" s="9"/>
      <c r="DQ57" s="10"/>
      <c r="DR57" s="165"/>
      <c r="DS57" s="12"/>
      <c r="DT57" s="166"/>
      <c r="DU57" s="10"/>
      <c r="DV57" s="165"/>
      <c r="DW57" s="168"/>
      <c r="DZ57" s="9"/>
      <c r="EA57" s="10"/>
      <c r="EB57" s="165"/>
      <c r="EC57" s="12"/>
      <c r="ED57" s="166"/>
      <c r="EE57" s="10"/>
      <c r="EF57" s="165"/>
      <c r="EG57" s="168"/>
      <c r="EJ57" s="9"/>
      <c r="EK57" s="10"/>
      <c r="EL57" s="165"/>
      <c r="EM57" s="12"/>
      <c r="EN57" s="166"/>
      <c r="EO57" s="10"/>
      <c r="EP57" s="165"/>
      <c r="EQ57" s="168"/>
      <c r="ET57" s="9"/>
      <c r="EU57" s="10"/>
      <c r="EV57" s="165"/>
      <c r="EW57" s="12"/>
      <c r="EX57" s="166"/>
      <c r="EY57" s="10"/>
      <c r="EZ57" s="165"/>
      <c r="FA57" s="168"/>
      <c r="FD57" s="9"/>
      <c r="FE57" s="10"/>
      <c r="FF57" s="165"/>
      <c r="FG57" s="12"/>
      <c r="FH57" s="166"/>
      <c r="FI57" s="10"/>
      <c r="FJ57" s="165"/>
      <c r="FK57" s="168"/>
      <c r="FN57" s="9"/>
      <c r="FO57" s="10"/>
      <c r="FP57" s="165"/>
      <c r="FQ57" s="12"/>
      <c r="FR57" s="166"/>
      <c r="FS57" s="10"/>
      <c r="FT57" s="165"/>
      <c r="FU57" s="168"/>
    </row>
    <row r="58" spans="1:177" x14ac:dyDescent="0.3">
      <c r="A58" s="9"/>
      <c r="B58" s="10"/>
      <c r="C58" s="165"/>
      <c r="D58" s="12"/>
      <c r="E58" s="166"/>
      <c r="F58" s="10"/>
      <c r="G58" s="165"/>
      <c r="H58" s="168"/>
      <c r="K58" s="9"/>
      <c r="L58" s="10"/>
      <c r="M58" s="165"/>
      <c r="N58" s="12"/>
      <c r="O58" s="166"/>
      <c r="P58" s="10"/>
      <c r="Q58" s="165"/>
      <c r="R58" s="168"/>
      <c r="U58" s="9"/>
      <c r="V58" s="10"/>
      <c r="W58" s="165"/>
      <c r="X58" s="12"/>
      <c r="Y58" s="166"/>
      <c r="Z58" s="10"/>
      <c r="AA58" s="165"/>
      <c r="AB58" s="168"/>
      <c r="AD58" s="9"/>
      <c r="AE58" s="10"/>
      <c r="AF58" s="165"/>
      <c r="AG58" s="12"/>
      <c r="AH58" s="166"/>
      <c r="AI58" s="10"/>
      <c r="AJ58" s="165"/>
      <c r="AK58" s="168"/>
      <c r="AN58" s="9"/>
      <c r="AO58" s="10"/>
      <c r="AP58" s="165"/>
      <c r="AQ58" s="12"/>
      <c r="AR58" s="166"/>
      <c r="AS58" s="10"/>
      <c r="AT58" s="165"/>
      <c r="AU58" s="168"/>
      <c r="AX58" s="9"/>
      <c r="AY58" s="10"/>
      <c r="AZ58" s="165"/>
      <c r="BA58" s="12"/>
      <c r="BB58" s="166"/>
      <c r="BC58" s="10"/>
      <c r="BD58" s="165"/>
      <c r="BE58" s="168"/>
      <c r="BH58" s="9"/>
      <c r="BI58" s="10"/>
      <c r="BJ58" s="165"/>
      <c r="BK58" s="12"/>
      <c r="BL58" s="166"/>
      <c r="BM58" s="10"/>
      <c r="BN58" s="165"/>
      <c r="BO58" s="168"/>
      <c r="BR58" s="9"/>
      <c r="BS58" s="10"/>
      <c r="BT58" s="165"/>
      <c r="BU58" s="12"/>
      <c r="BV58" s="166"/>
      <c r="BW58" s="10"/>
      <c r="BX58" s="165"/>
      <c r="BY58" s="168"/>
      <c r="CB58" s="9"/>
      <c r="CC58" s="10"/>
      <c r="CD58" s="165"/>
      <c r="CE58" s="12"/>
      <c r="CF58" s="166"/>
      <c r="CG58" s="10"/>
      <c r="CH58" s="165"/>
      <c r="CI58" s="168"/>
      <c r="CL58" s="9"/>
      <c r="CM58" s="10"/>
      <c r="CN58" s="165"/>
      <c r="CO58" s="12"/>
      <c r="CP58" s="166"/>
      <c r="CQ58" s="10"/>
      <c r="CR58" s="165"/>
      <c r="CS58" s="168"/>
      <c r="CV58" s="9"/>
      <c r="CW58" s="10"/>
      <c r="CX58" s="165"/>
      <c r="CY58" s="12"/>
      <c r="CZ58" s="166"/>
      <c r="DA58" s="10"/>
      <c r="DB58" s="165"/>
      <c r="DC58" s="168"/>
      <c r="DF58" s="9"/>
      <c r="DG58" s="10"/>
      <c r="DH58" s="165"/>
      <c r="DI58" s="12"/>
      <c r="DJ58" s="166"/>
      <c r="DK58" s="10"/>
      <c r="DL58" s="165"/>
      <c r="DM58" s="168"/>
      <c r="DP58" s="9"/>
      <c r="DQ58" s="10"/>
      <c r="DR58" s="165"/>
      <c r="DS58" s="12"/>
      <c r="DT58" s="166"/>
      <c r="DU58" s="10"/>
      <c r="DV58" s="165"/>
      <c r="DW58" s="168"/>
      <c r="DZ58" s="9"/>
      <c r="EA58" s="10"/>
      <c r="EB58" s="165"/>
      <c r="EC58" s="12"/>
      <c r="ED58" s="166"/>
      <c r="EE58" s="10"/>
      <c r="EF58" s="165"/>
      <c r="EG58" s="168"/>
      <c r="EJ58" s="9"/>
      <c r="EK58" s="10"/>
      <c r="EL58" s="165"/>
      <c r="EM58" s="12"/>
      <c r="EN58" s="166"/>
      <c r="EO58" s="10"/>
      <c r="EP58" s="165"/>
      <c r="EQ58" s="168"/>
      <c r="ET58" s="9"/>
      <c r="EU58" s="10"/>
      <c r="EV58" s="165"/>
      <c r="EW58" s="12"/>
      <c r="EX58" s="166"/>
      <c r="EY58" s="10"/>
      <c r="EZ58" s="165"/>
      <c r="FA58" s="168"/>
      <c r="FD58" s="9"/>
      <c r="FE58" s="10"/>
      <c r="FF58" s="165"/>
      <c r="FG58" s="12"/>
      <c r="FH58" s="166"/>
      <c r="FI58" s="10"/>
      <c r="FJ58" s="165"/>
      <c r="FK58" s="168"/>
      <c r="FN58" s="9"/>
      <c r="FO58" s="10"/>
      <c r="FP58" s="165"/>
      <c r="FQ58" s="12"/>
      <c r="FR58" s="166"/>
      <c r="FS58" s="10"/>
      <c r="FT58" s="165"/>
      <c r="FU58" s="168"/>
    </row>
    <row r="59" spans="1:177" ht="17.25" thickBot="1" x14ac:dyDescent="0.35">
      <c r="A59" s="554" t="s">
        <v>36</v>
      </c>
      <c r="B59" s="555"/>
      <c r="C59" s="555"/>
      <c r="D59" s="555"/>
      <c r="E59" s="555"/>
      <c r="F59" s="555"/>
      <c r="G59" s="556"/>
      <c r="H59" s="16" t="e">
        <f>IF(G10&gt;$B$3,0,SUBTOTAL(109,Tabla5203[Subtotal maquianria y equipo]))</f>
        <v>#N/A</v>
      </c>
      <c r="K59" s="9"/>
      <c r="L59" s="10"/>
      <c r="M59" s="165"/>
      <c r="N59" s="12"/>
      <c r="O59" s="166"/>
      <c r="P59" s="10"/>
      <c r="Q59" s="165"/>
      <c r="R59" s="168"/>
      <c r="U59" s="9"/>
      <c r="V59" s="10"/>
      <c r="W59" s="165"/>
      <c r="X59" s="12"/>
      <c r="Y59" s="166"/>
      <c r="Z59" s="10"/>
      <c r="AA59" s="165"/>
      <c r="AB59" s="168"/>
      <c r="AD59" s="9"/>
      <c r="AE59" s="10"/>
      <c r="AF59" s="165"/>
      <c r="AG59" s="12"/>
      <c r="AH59" s="166"/>
      <c r="AI59" s="10"/>
      <c r="AJ59" s="165"/>
      <c r="AK59" s="168"/>
      <c r="AN59" s="554" t="s">
        <v>36</v>
      </c>
      <c r="AO59" s="555"/>
      <c r="AP59" s="555"/>
      <c r="AQ59" s="555"/>
      <c r="AR59" s="555"/>
      <c r="AS59" s="555"/>
      <c r="AT59" s="556"/>
      <c r="AU59" s="16">
        <f>IF(AT10&gt;$B$3,0,SUBTOTAL(109,Tabla557215[Valor Total]))</f>
        <v>0</v>
      </c>
      <c r="AX59" s="554" t="s">
        <v>36</v>
      </c>
      <c r="AY59" s="555"/>
      <c r="AZ59" s="555"/>
      <c r="BA59" s="555"/>
      <c r="BB59" s="555"/>
      <c r="BC59" s="555"/>
      <c r="BD59" s="556"/>
      <c r="BE59" s="16">
        <f>IF(BD10&gt;$B$3,0,SUBTOTAL(109,Tabla560218[Valor Total]))</f>
        <v>0</v>
      </c>
      <c r="BH59" s="554" t="s">
        <v>36</v>
      </c>
      <c r="BI59" s="555"/>
      <c r="BJ59" s="555"/>
      <c r="BK59" s="555"/>
      <c r="BL59" s="555"/>
      <c r="BM59" s="555"/>
      <c r="BN59" s="556"/>
      <c r="BO59" s="16">
        <f>SUBTOTAL(109,Tabla563221[Valor Total])</f>
        <v>0</v>
      </c>
      <c r="BR59" s="554" t="s">
        <v>36</v>
      </c>
      <c r="BS59" s="555"/>
      <c r="BT59" s="555"/>
      <c r="BU59" s="555"/>
      <c r="BV59" s="555"/>
      <c r="BW59" s="555"/>
      <c r="BX59" s="556"/>
      <c r="BY59" s="16">
        <f>SUBTOTAL(109,Tabla566224[Valor Total])</f>
        <v>0</v>
      </c>
      <c r="CB59" s="554" t="s">
        <v>36</v>
      </c>
      <c r="CC59" s="555"/>
      <c r="CD59" s="555"/>
      <c r="CE59" s="555"/>
      <c r="CF59" s="555"/>
      <c r="CG59" s="555"/>
      <c r="CH59" s="556"/>
      <c r="CI59" s="16">
        <f>SUBTOTAL(109,Tabla569227[Valor Total])</f>
        <v>0</v>
      </c>
      <c r="CL59" s="554" t="s">
        <v>36</v>
      </c>
      <c r="CM59" s="555"/>
      <c r="CN59" s="555"/>
      <c r="CO59" s="555"/>
      <c r="CP59" s="555"/>
      <c r="CQ59" s="555"/>
      <c r="CR59" s="556"/>
      <c r="CS59" s="16">
        <f>SUBTOTAL(109,Tabla572230[Valor Total])</f>
        <v>0</v>
      </c>
      <c r="CV59" s="554" t="s">
        <v>36</v>
      </c>
      <c r="CW59" s="555"/>
      <c r="CX59" s="555"/>
      <c r="CY59" s="555"/>
      <c r="CZ59" s="555"/>
      <c r="DA59" s="555"/>
      <c r="DB59" s="556"/>
      <c r="DC59" s="16">
        <f>SUBTOTAL(109,Tabla575233[Valor Total])</f>
        <v>0</v>
      </c>
      <c r="DF59" s="554" t="s">
        <v>36</v>
      </c>
      <c r="DG59" s="555"/>
      <c r="DH59" s="555"/>
      <c r="DI59" s="555"/>
      <c r="DJ59" s="555"/>
      <c r="DK59" s="555"/>
      <c r="DL59" s="556"/>
      <c r="DM59" s="16">
        <f>SUBTOTAL(109,Tabla578236[Valor Total])</f>
        <v>0</v>
      </c>
      <c r="DP59" s="554" t="s">
        <v>36</v>
      </c>
      <c r="DQ59" s="555"/>
      <c r="DR59" s="555"/>
      <c r="DS59" s="555"/>
      <c r="DT59" s="555"/>
      <c r="DU59" s="555"/>
      <c r="DV59" s="556"/>
      <c r="DW59" s="16">
        <f>SUBTOTAL(109,Tabla581239[Valor Total])</f>
        <v>0</v>
      </c>
      <c r="DZ59" s="554" t="s">
        <v>36</v>
      </c>
      <c r="EA59" s="555"/>
      <c r="EB59" s="555"/>
      <c r="EC59" s="555"/>
      <c r="ED59" s="555"/>
      <c r="EE59" s="555"/>
      <c r="EF59" s="556"/>
      <c r="EG59" s="16">
        <f>SUBTOTAL(109,Tabla584242[Valor Total])</f>
        <v>0</v>
      </c>
      <c r="EJ59" s="554" t="s">
        <v>36</v>
      </c>
      <c r="EK59" s="555"/>
      <c r="EL59" s="555"/>
      <c r="EM59" s="555"/>
      <c r="EN59" s="555"/>
      <c r="EO59" s="555"/>
      <c r="EP59" s="556"/>
      <c r="EQ59" s="16">
        <f>SUBTOTAL(109,Tabla587245[Valor Total])</f>
        <v>0</v>
      </c>
      <c r="ET59" s="554" t="s">
        <v>36</v>
      </c>
      <c r="EU59" s="555"/>
      <c r="EV59" s="555"/>
      <c r="EW59" s="555"/>
      <c r="EX59" s="555"/>
      <c r="EY59" s="555"/>
      <c r="EZ59" s="556"/>
      <c r="FA59" s="16">
        <f>SUBTOTAL(109,Tabla590248[Valor Total])</f>
        <v>0</v>
      </c>
      <c r="FD59" s="554" t="s">
        <v>36</v>
      </c>
      <c r="FE59" s="555"/>
      <c r="FF59" s="555"/>
      <c r="FG59" s="555"/>
      <c r="FH59" s="555"/>
      <c r="FI59" s="555"/>
      <c r="FJ59" s="556"/>
      <c r="FK59" s="16">
        <f>SUBTOTAL(109,Tabla593251[Valor Total])</f>
        <v>0</v>
      </c>
      <c r="FN59" s="554" t="s">
        <v>36</v>
      </c>
      <c r="FO59" s="555"/>
      <c r="FP59" s="555"/>
      <c r="FQ59" s="555"/>
      <c r="FR59" s="555"/>
      <c r="FS59" s="555"/>
      <c r="FT59" s="556"/>
      <c r="FU59" s="16">
        <f>SUBTOTAL(109,Tabla596254[Valor Total])</f>
        <v>0</v>
      </c>
    </row>
    <row r="60" spans="1:177" x14ac:dyDescent="0.3">
      <c r="A60" s="9"/>
      <c r="H60" s="11"/>
      <c r="K60" s="9"/>
      <c r="L60" s="10"/>
      <c r="M60" s="165"/>
      <c r="N60" s="12"/>
      <c r="O60" s="166"/>
      <c r="P60" s="10"/>
      <c r="Q60" s="165"/>
      <c r="R60" s="168"/>
      <c r="U60" s="9"/>
      <c r="V60" s="10"/>
      <c r="W60" s="165"/>
      <c r="X60" s="12"/>
      <c r="Y60" s="166"/>
      <c r="Z60" s="10"/>
      <c r="AA60" s="165"/>
      <c r="AB60" s="168"/>
      <c r="AD60" s="9"/>
      <c r="AE60" s="10"/>
      <c r="AF60" s="165"/>
      <c r="AG60" s="12"/>
      <c r="AH60" s="166"/>
      <c r="AI60" s="10"/>
      <c r="AJ60" s="165"/>
      <c r="AK60" s="168"/>
      <c r="AN60" s="9"/>
      <c r="AU60" s="11"/>
      <c r="AX60" s="9"/>
      <c r="BE60" s="11"/>
      <c r="BH60" s="9"/>
      <c r="BO60" s="11"/>
      <c r="BR60" s="9"/>
      <c r="BY60" s="11"/>
      <c r="CB60" s="9"/>
      <c r="CI60" s="11"/>
      <c r="CL60" s="9"/>
      <c r="CS60" s="11"/>
      <c r="CV60" s="9"/>
      <c r="DC60" s="11"/>
      <c r="DF60" s="9"/>
      <c r="DM60" s="11"/>
      <c r="DP60" s="9"/>
      <c r="DW60" s="11"/>
      <c r="DZ60" s="9"/>
      <c r="EG60" s="11"/>
      <c r="EJ60" s="9"/>
      <c r="EQ60" s="11"/>
      <c r="ET60" s="9"/>
      <c r="FA60" s="11"/>
      <c r="FD60" s="9"/>
      <c r="FK60" s="11"/>
      <c r="FN60" s="9"/>
      <c r="FU60" s="11"/>
    </row>
    <row r="61" spans="1:177" x14ac:dyDescent="0.3">
      <c r="A61" s="9"/>
      <c r="H61" s="11"/>
      <c r="K61" s="9"/>
      <c r="L61" s="10"/>
      <c r="M61" s="165"/>
      <c r="N61" s="12"/>
      <c r="O61" s="166"/>
      <c r="P61" s="10"/>
      <c r="Q61" s="165"/>
      <c r="R61" s="168"/>
      <c r="U61" s="9"/>
      <c r="V61" s="10"/>
      <c r="W61" s="165"/>
      <c r="X61" s="12"/>
      <c r="Y61" s="166"/>
      <c r="Z61" s="10"/>
      <c r="AA61" s="165"/>
      <c r="AB61" s="168"/>
      <c r="AD61" s="9"/>
      <c r="AE61" s="10"/>
      <c r="AF61" s="165"/>
      <c r="AG61" s="12"/>
      <c r="AH61" s="166"/>
      <c r="AI61" s="10"/>
      <c r="AJ61" s="165"/>
      <c r="AK61" s="168"/>
      <c r="AN61" s="9"/>
      <c r="AU61" s="11"/>
      <c r="AX61" s="9"/>
      <c r="BE61" s="11"/>
      <c r="BH61" s="9"/>
      <c r="BO61" s="11"/>
      <c r="BR61" s="9"/>
      <c r="BY61" s="11"/>
      <c r="CB61" s="9"/>
      <c r="CI61" s="11"/>
      <c r="CL61" s="9"/>
      <c r="CS61" s="11"/>
      <c r="CV61" s="9"/>
      <c r="DC61" s="11"/>
      <c r="DF61" s="9"/>
      <c r="DM61" s="11"/>
      <c r="DP61" s="9"/>
      <c r="DW61" s="11"/>
      <c r="DZ61" s="9"/>
      <c r="EG61" s="11"/>
      <c r="EJ61" s="9"/>
      <c r="EQ61" s="11"/>
      <c r="ET61" s="9"/>
      <c r="FA61" s="11"/>
      <c r="FD61" s="9"/>
      <c r="FK61" s="11"/>
      <c r="FN61" s="9"/>
      <c r="FU61" s="11"/>
    </row>
    <row r="62" spans="1:177" ht="17.25" thickBot="1" x14ac:dyDescent="0.35">
      <c r="A62" s="9"/>
      <c r="H62" s="11"/>
      <c r="K62" s="9"/>
      <c r="L62" s="10"/>
      <c r="M62" s="165"/>
      <c r="N62" s="12"/>
      <c r="O62" s="166"/>
      <c r="P62" s="10"/>
      <c r="Q62" s="165"/>
      <c r="R62" s="168"/>
      <c r="U62" s="9"/>
      <c r="V62" s="10"/>
      <c r="W62" s="165"/>
      <c r="X62" s="12"/>
      <c r="Y62" s="166"/>
      <c r="Z62" s="10"/>
      <c r="AA62" s="165"/>
      <c r="AB62" s="168"/>
      <c r="AD62" s="9"/>
      <c r="AE62" s="10"/>
      <c r="AF62" s="165"/>
      <c r="AG62" s="12"/>
      <c r="AH62" s="166"/>
      <c r="AI62" s="10"/>
      <c r="AJ62" s="165"/>
      <c r="AK62" s="168"/>
      <c r="AN62" s="9"/>
      <c r="AU62" s="11"/>
      <c r="AX62" s="9"/>
      <c r="BE62" s="11"/>
      <c r="BH62" s="9"/>
      <c r="BO62" s="11"/>
      <c r="BR62" s="9"/>
      <c r="BY62" s="11"/>
      <c r="CB62" s="9"/>
      <c r="CI62" s="11"/>
      <c r="CL62" s="9"/>
      <c r="CS62" s="11"/>
      <c r="CV62" s="9"/>
      <c r="DC62" s="11"/>
      <c r="DF62" s="9"/>
      <c r="DM62" s="11"/>
      <c r="DP62" s="9"/>
      <c r="DW62" s="11"/>
      <c r="DZ62" s="9"/>
      <c r="EG62" s="11"/>
      <c r="EJ62" s="9"/>
      <c r="EQ62" s="11"/>
      <c r="ET62" s="9"/>
      <c r="FA62" s="11"/>
      <c r="FD62" s="9"/>
      <c r="FK62" s="11"/>
      <c r="FN62" s="9"/>
      <c r="FU62" s="11"/>
    </row>
    <row r="63" spans="1:177" ht="17.25" thickBot="1" x14ac:dyDescent="0.35">
      <c r="A63" s="9"/>
      <c r="C63" s="6" t="s">
        <v>37</v>
      </c>
      <c r="D63" s="7" t="s">
        <v>38</v>
      </c>
      <c r="E63" s="7" t="s">
        <v>39</v>
      </c>
      <c r="F63" s="8" t="s">
        <v>40</v>
      </c>
      <c r="H63" s="11"/>
      <c r="K63" s="554" t="s">
        <v>36</v>
      </c>
      <c r="L63" s="555"/>
      <c r="M63" s="555"/>
      <c r="N63" s="555"/>
      <c r="O63" s="555"/>
      <c r="P63" s="555"/>
      <c r="Q63" s="556"/>
      <c r="R63" s="16" t="e">
        <f>IF(Q10&gt;$B$3,0,SUBTOTAL(109,Tabla548206[Valor Total]))</f>
        <v>#N/A</v>
      </c>
      <c r="U63" s="554" t="s">
        <v>36</v>
      </c>
      <c r="V63" s="555"/>
      <c r="W63" s="555"/>
      <c r="X63" s="555"/>
      <c r="Y63" s="555"/>
      <c r="Z63" s="555"/>
      <c r="AA63" s="556"/>
      <c r="AB63" s="16" t="e">
        <f>IF(AA10&gt;$B$3,0,SUBTOTAL(109,Tabla551209[Valor Total]))</f>
        <v>#N/A</v>
      </c>
      <c r="AD63" s="554" t="s">
        <v>36</v>
      </c>
      <c r="AE63" s="555"/>
      <c r="AF63" s="555"/>
      <c r="AG63" s="555"/>
      <c r="AH63" s="555"/>
      <c r="AI63" s="555"/>
      <c r="AJ63" s="556"/>
      <c r="AK63" s="16">
        <f>IF(AJ10&gt;$B$3,0,SUBTOTAL(109,Tabla554212[Valor Total]))</f>
        <v>0</v>
      </c>
      <c r="AN63" s="9"/>
      <c r="AP63" s="6" t="s">
        <v>37</v>
      </c>
      <c r="AQ63" s="7" t="s">
        <v>38</v>
      </c>
      <c r="AR63" s="7" t="s">
        <v>39</v>
      </c>
      <c r="AS63" s="8" t="s">
        <v>40</v>
      </c>
      <c r="AU63" s="11"/>
      <c r="AX63" s="9"/>
      <c r="AZ63" s="6" t="s">
        <v>37</v>
      </c>
      <c r="BA63" s="7" t="s">
        <v>38</v>
      </c>
      <c r="BB63" s="7" t="s">
        <v>39</v>
      </c>
      <c r="BC63" s="8" t="s">
        <v>40</v>
      </c>
      <c r="BE63" s="11"/>
      <c r="BH63" s="9"/>
      <c r="BJ63" s="6" t="s">
        <v>37</v>
      </c>
      <c r="BK63" s="7" t="s">
        <v>38</v>
      </c>
      <c r="BL63" s="7" t="s">
        <v>39</v>
      </c>
      <c r="BM63" s="8" t="s">
        <v>40</v>
      </c>
      <c r="BO63" s="11"/>
      <c r="BR63" s="9"/>
      <c r="BT63" s="6" t="s">
        <v>37</v>
      </c>
      <c r="BU63" s="7" t="s">
        <v>38</v>
      </c>
      <c r="BV63" s="7" t="s">
        <v>39</v>
      </c>
      <c r="BW63" s="8" t="s">
        <v>40</v>
      </c>
      <c r="BY63" s="11"/>
      <c r="CB63" s="9"/>
      <c r="CD63" s="6" t="s">
        <v>37</v>
      </c>
      <c r="CE63" s="7" t="s">
        <v>38</v>
      </c>
      <c r="CF63" s="7" t="s">
        <v>39</v>
      </c>
      <c r="CG63" s="8" t="s">
        <v>40</v>
      </c>
      <c r="CI63" s="11"/>
      <c r="CL63" s="9"/>
      <c r="CN63" s="6" t="s">
        <v>37</v>
      </c>
      <c r="CO63" s="7" t="s">
        <v>38</v>
      </c>
      <c r="CP63" s="7" t="s">
        <v>39</v>
      </c>
      <c r="CQ63" s="8" t="s">
        <v>40</v>
      </c>
      <c r="CS63" s="11"/>
      <c r="CV63" s="9"/>
      <c r="CX63" s="6" t="s">
        <v>37</v>
      </c>
      <c r="CY63" s="7" t="s">
        <v>38</v>
      </c>
      <c r="CZ63" s="7" t="s">
        <v>39</v>
      </c>
      <c r="DA63" s="8" t="s">
        <v>40</v>
      </c>
      <c r="DC63" s="11"/>
      <c r="DF63" s="9"/>
      <c r="DH63" s="6" t="s">
        <v>37</v>
      </c>
      <c r="DI63" s="7" t="s">
        <v>38</v>
      </c>
      <c r="DJ63" s="7" t="s">
        <v>39</v>
      </c>
      <c r="DK63" s="8" t="s">
        <v>40</v>
      </c>
      <c r="DM63" s="11"/>
      <c r="DP63" s="9"/>
      <c r="DR63" s="6" t="s">
        <v>37</v>
      </c>
      <c r="DS63" s="7" t="s">
        <v>38</v>
      </c>
      <c r="DT63" s="7" t="s">
        <v>39</v>
      </c>
      <c r="DU63" s="8" t="s">
        <v>40</v>
      </c>
      <c r="DW63" s="11"/>
      <c r="DZ63" s="9"/>
      <c r="EB63" s="6" t="s">
        <v>37</v>
      </c>
      <c r="EC63" s="7" t="s">
        <v>38</v>
      </c>
      <c r="ED63" s="7" t="s">
        <v>39</v>
      </c>
      <c r="EE63" s="8" t="s">
        <v>40</v>
      </c>
      <c r="EG63" s="11"/>
      <c r="EJ63" s="9"/>
      <c r="EL63" s="6" t="s">
        <v>37</v>
      </c>
      <c r="EM63" s="7" t="s">
        <v>38</v>
      </c>
      <c r="EN63" s="7" t="s">
        <v>39</v>
      </c>
      <c r="EO63" s="8" t="s">
        <v>40</v>
      </c>
      <c r="EQ63" s="11"/>
      <c r="ET63" s="9"/>
      <c r="EV63" s="6" t="s">
        <v>37</v>
      </c>
      <c r="EW63" s="7" t="s">
        <v>38</v>
      </c>
      <c r="EX63" s="7" t="s">
        <v>39</v>
      </c>
      <c r="EY63" s="8" t="s">
        <v>40</v>
      </c>
      <c r="FA63" s="11"/>
      <c r="FD63" s="9"/>
      <c r="FF63" s="6" t="s">
        <v>37</v>
      </c>
      <c r="FG63" s="7" t="s">
        <v>38</v>
      </c>
      <c r="FH63" s="7" t="s">
        <v>39</v>
      </c>
      <c r="FI63" s="8" t="s">
        <v>40</v>
      </c>
      <c r="FK63" s="11"/>
      <c r="FN63" s="9"/>
      <c r="FP63" s="6" t="s">
        <v>37</v>
      </c>
      <c r="FQ63" s="7" t="s">
        <v>38</v>
      </c>
      <c r="FR63" s="7" t="s">
        <v>39</v>
      </c>
      <c r="FS63" s="8" t="s">
        <v>40</v>
      </c>
      <c r="FU63" s="11"/>
    </row>
    <row r="64" spans="1:177" x14ac:dyDescent="0.3">
      <c r="A64" s="9"/>
      <c r="C64" s="9" t="s">
        <v>41</v>
      </c>
      <c r="D64">
        <v>2</v>
      </c>
      <c r="E64" s="136">
        <v>1200000</v>
      </c>
      <c r="F64" s="152">
        <f>+Tabla6204[[#This Row],[Valor unitario ]]*Tabla6204[[#This Row],[cantidad ]]</f>
        <v>2400000</v>
      </c>
      <c r="H64" s="11"/>
      <c r="K64" s="9"/>
      <c r="R64" s="11"/>
      <c r="U64" s="9"/>
      <c r="AB64" s="11"/>
      <c r="AD64" s="9"/>
      <c r="AK64" s="11"/>
      <c r="AN64" s="9"/>
      <c r="AP64" s="9" t="s">
        <v>41</v>
      </c>
      <c r="AR64" s="136"/>
      <c r="AS64" s="11">
        <f>+Tabla658216[[#This Row],[Valor unitario ]]*Tabla658216[[#This Row],[cantidad ]]</f>
        <v>0</v>
      </c>
      <c r="AU64" s="11"/>
      <c r="AX64" s="9"/>
      <c r="AZ64" s="9" t="s">
        <v>41</v>
      </c>
      <c r="BB64" s="136"/>
      <c r="BC64" s="11">
        <f>+Tabla661219[[#This Row],[Valor unitario ]]*Tabla661219[[#This Row],[cantidad ]]</f>
        <v>0</v>
      </c>
      <c r="BE64" s="11"/>
      <c r="BH64" s="9"/>
      <c r="BJ64" s="9" t="s">
        <v>41</v>
      </c>
      <c r="BL64" s="165"/>
      <c r="BM64" s="169">
        <f>+Tabla664222[[#This Row],[cantidad ]]*Tabla664222[[#This Row],[Valor unitario ]]</f>
        <v>0</v>
      </c>
      <c r="BO64" s="11"/>
      <c r="BR64" s="9"/>
      <c r="BT64" s="9" t="s">
        <v>41</v>
      </c>
      <c r="BV64" s="165"/>
      <c r="BW64" s="169">
        <f>+Tabla667225[[#This Row],[Valor unitario ]]*Tabla667225[[#This Row],[cantidad ]]</f>
        <v>0</v>
      </c>
      <c r="BY64" s="11"/>
      <c r="CB64" s="9"/>
      <c r="CD64" s="9" t="s">
        <v>41</v>
      </c>
      <c r="CF64" s="165"/>
      <c r="CG64" s="169">
        <f>+Tabla670228[[#This Row],[cantidad ]]*Tabla670228[[#This Row],[Valor unitario ]]</f>
        <v>0</v>
      </c>
      <c r="CI64" s="11"/>
      <c r="CL64" s="9"/>
      <c r="CN64" s="9" t="s">
        <v>41</v>
      </c>
      <c r="CP64" s="165"/>
      <c r="CQ64" s="168">
        <f>+Tabla673231[[#This Row],[cantidad ]]*Tabla673231[[#This Row],[Valor unitario ]]</f>
        <v>0</v>
      </c>
      <c r="CS64" s="11"/>
      <c r="CV64" s="9"/>
      <c r="CX64" s="9" t="s">
        <v>41</v>
      </c>
      <c r="CZ64" s="165"/>
      <c r="DA64" s="169">
        <f>+Tabla676234[[#This Row],[Valor unitario ]]*Tabla676234[[#This Row],[cantidad ]]</f>
        <v>0</v>
      </c>
      <c r="DC64" s="11"/>
      <c r="DF64" s="9"/>
      <c r="DH64" s="9" t="s">
        <v>41</v>
      </c>
      <c r="DJ64" s="165"/>
      <c r="DK64" s="168">
        <f>+Tabla679237[[#This Row],[Valor unitario ]]*Tabla679237[[#This Row],[cantidad ]]</f>
        <v>0</v>
      </c>
      <c r="DM64" s="11"/>
      <c r="DP64" s="9"/>
      <c r="DR64" s="9" t="s">
        <v>41</v>
      </c>
      <c r="DT64" s="165"/>
      <c r="DU64" s="168">
        <f>+Tabla682240[[#This Row],[Valor unitario ]]*Tabla682240[[#This Row],[cantidad ]]</f>
        <v>0</v>
      </c>
      <c r="DW64" s="11"/>
      <c r="DZ64" s="9"/>
      <c r="EB64" s="9" t="s">
        <v>41</v>
      </c>
      <c r="ED64" s="165"/>
      <c r="EE64" s="168">
        <f>+Tabla685243[[#This Row],[Valor unitario ]]*Tabla685243[[#This Row],[cantidad ]]</f>
        <v>0</v>
      </c>
      <c r="EG64" s="11"/>
      <c r="EJ64" s="9"/>
      <c r="EL64" s="9" t="s">
        <v>41</v>
      </c>
      <c r="EN64" s="165"/>
      <c r="EO64" s="169">
        <f>+Tabla688246[[#This Row],[Valor unitario ]]*Tabla688246[[#This Row],[cantidad ]]</f>
        <v>0</v>
      </c>
      <c r="EQ64" s="11"/>
      <c r="ET64" s="9"/>
      <c r="EV64" s="9" t="s">
        <v>41</v>
      </c>
      <c r="EX64" s="165"/>
      <c r="EY64" s="168">
        <f>+Tabla691249[[#This Row],[Valor unitario ]]*Tabla691249[[#This Row],[cantidad ]]</f>
        <v>0</v>
      </c>
      <c r="FA64" s="11"/>
      <c r="FD64" s="9"/>
      <c r="FF64" s="9" t="s">
        <v>41</v>
      </c>
      <c r="FH64" s="165"/>
      <c r="FI64" s="168">
        <f>+Tabla694252[[#This Row],[cantidad ]]*Tabla694252[[#This Row],[Valor unitario ]]</f>
        <v>0</v>
      </c>
      <c r="FK64" s="11"/>
      <c r="FN64" s="9"/>
      <c r="FP64" s="9" t="s">
        <v>41</v>
      </c>
      <c r="FR64" s="136"/>
      <c r="FS64" s="168">
        <f>+Tabla697255[[#This Row],[Valor unitario ]]*Tabla697255[[#This Row],[cantidad ]]</f>
        <v>0</v>
      </c>
      <c r="FU64" s="11"/>
    </row>
    <row r="65" spans="1:177" x14ac:dyDescent="0.3">
      <c r="A65" s="9"/>
      <c r="C65" s="9" t="s">
        <v>521</v>
      </c>
      <c r="E65" s="136"/>
      <c r="F65" s="152">
        <f>+Tabla6204[[#This Row],[Valor unitario ]]*Tabla6204[[#This Row],[cantidad ]]</f>
        <v>0</v>
      </c>
      <c r="H65" s="11"/>
      <c r="K65" s="9"/>
      <c r="R65" s="11"/>
      <c r="U65" s="9"/>
      <c r="AB65" s="11"/>
      <c r="AD65" s="9"/>
      <c r="AK65" s="11"/>
      <c r="AN65" s="9"/>
      <c r="AP65" s="9" t="s">
        <v>42</v>
      </c>
      <c r="AR65" s="136"/>
      <c r="AS65" s="11">
        <f>+Tabla658216[[#This Row],[Valor unitario ]]*Tabla658216[[#This Row],[cantidad ]]</f>
        <v>0</v>
      </c>
      <c r="AU65" s="11"/>
      <c r="AX65" s="9"/>
      <c r="AZ65" s="9" t="s">
        <v>42</v>
      </c>
      <c r="BB65" s="136"/>
      <c r="BC65" s="11">
        <f>+Tabla661219[[#This Row],[Valor unitario ]]*Tabla661219[[#This Row],[cantidad ]]</f>
        <v>0</v>
      </c>
      <c r="BE65" s="11"/>
      <c r="BH65" s="9"/>
      <c r="BJ65" s="9" t="s">
        <v>42</v>
      </c>
      <c r="BL65" s="165"/>
      <c r="BM65" s="169">
        <f>+Tabla664222[[#This Row],[cantidad ]]*Tabla664222[[#This Row],[Valor unitario ]]</f>
        <v>0</v>
      </c>
      <c r="BO65" s="11"/>
      <c r="BR65" s="9"/>
      <c r="BT65" s="9" t="s">
        <v>42</v>
      </c>
      <c r="BV65" s="165"/>
      <c r="BW65" s="169">
        <f>+Tabla667225[[#This Row],[Valor unitario ]]*Tabla667225[[#This Row],[cantidad ]]</f>
        <v>0</v>
      </c>
      <c r="BY65" s="11"/>
      <c r="CB65" s="9"/>
      <c r="CD65" s="9" t="s">
        <v>42</v>
      </c>
      <c r="CF65" s="165"/>
      <c r="CG65" s="169">
        <f>+Tabla670228[[#This Row],[cantidad ]]*Tabla670228[[#This Row],[Valor unitario ]]</f>
        <v>0</v>
      </c>
      <c r="CI65" s="11"/>
      <c r="CL65" s="9"/>
      <c r="CN65" s="9" t="s">
        <v>42</v>
      </c>
      <c r="CP65" s="165"/>
      <c r="CQ65" s="168">
        <f>+Tabla673231[[#This Row],[cantidad ]]*Tabla673231[[#This Row],[Valor unitario ]]</f>
        <v>0</v>
      </c>
      <c r="CS65" s="11"/>
      <c r="CV65" s="9"/>
      <c r="CX65" s="9" t="s">
        <v>42</v>
      </c>
      <c r="CZ65" s="165"/>
      <c r="DA65" s="169">
        <f>+Tabla676234[[#This Row],[Valor unitario ]]*Tabla676234[[#This Row],[cantidad ]]</f>
        <v>0</v>
      </c>
      <c r="DC65" s="11"/>
      <c r="DF65" s="9"/>
      <c r="DH65" s="9" t="s">
        <v>42</v>
      </c>
      <c r="DJ65" s="165"/>
      <c r="DK65" s="168">
        <f>+Tabla679237[[#This Row],[Valor unitario ]]*Tabla679237[[#This Row],[cantidad ]]</f>
        <v>0</v>
      </c>
      <c r="DM65" s="11"/>
      <c r="DP65" s="9"/>
      <c r="DR65" s="9" t="s">
        <v>42</v>
      </c>
      <c r="DT65" s="165"/>
      <c r="DU65" s="168">
        <f>+Tabla682240[[#This Row],[Valor unitario ]]*Tabla682240[[#This Row],[cantidad ]]</f>
        <v>0</v>
      </c>
      <c r="DW65" s="11"/>
      <c r="DZ65" s="9"/>
      <c r="EB65" s="9" t="s">
        <v>42</v>
      </c>
      <c r="ED65" s="165"/>
      <c r="EE65" s="168">
        <f>+Tabla685243[[#This Row],[Valor unitario ]]*Tabla685243[[#This Row],[cantidad ]]</f>
        <v>0</v>
      </c>
      <c r="EG65" s="11"/>
      <c r="EJ65" s="9"/>
      <c r="EL65" s="9" t="s">
        <v>42</v>
      </c>
      <c r="EN65" s="165"/>
      <c r="EO65" s="169">
        <f>+Tabla688246[[#This Row],[Valor unitario ]]*Tabla688246[[#This Row],[cantidad ]]</f>
        <v>0</v>
      </c>
      <c r="EQ65" s="11"/>
      <c r="ET65" s="9"/>
      <c r="EV65" s="9" t="s">
        <v>42</v>
      </c>
      <c r="EX65" s="165"/>
      <c r="EY65" s="168">
        <f>+Tabla691249[[#This Row],[Valor unitario ]]*Tabla691249[[#This Row],[cantidad ]]</f>
        <v>0</v>
      </c>
      <c r="FA65" s="11"/>
      <c r="FD65" s="9"/>
      <c r="FF65" s="9" t="s">
        <v>42</v>
      </c>
      <c r="FH65" s="165"/>
      <c r="FI65" s="168">
        <f>+Tabla694252[[#This Row],[cantidad ]]*Tabla694252[[#This Row],[Valor unitario ]]</f>
        <v>0</v>
      </c>
      <c r="FK65" s="11"/>
      <c r="FN65" s="9"/>
      <c r="FP65" s="9" t="s">
        <v>42</v>
      </c>
      <c r="FR65" s="136"/>
      <c r="FS65" s="168">
        <f>+Tabla697255[[#This Row],[Valor unitario ]]*Tabla697255[[#This Row],[cantidad ]]</f>
        <v>0</v>
      </c>
      <c r="FU65" s="11"/>
    </row>
    <row r="66" spans="1:177" ht="17.25" thickBot="1" x14ac:dyDescent="0.35">
      <c r="A66" s="9"/>
      <c r="C66" s="9" t="s">
        <v>43</v>
      </c>
      <c r="D66">
        <v>5</v>
      </c>
      <c r="E66" s="136">
        <v>800000</v>
      </c>
      <c r="F66" s="152">
        <f>+Tabla6204[[#This Row],[Valor unitario ]]*Tabla6204[[#This Row],[cantidad ]]</f>
        <v>4000000</v>
      </c>
      <c r="H66" s="11"/>
      <c r="K66" s="9"/>
      <c r="R66" s="11"/>
      <c r="U66" s="9"/>
      <c r="AB66" s="11"/>
      <c r="AD66" s="9"/>
      <c r="AK66" s="11"/>
      <c r="AN66" s="9"/>
      <c r="AP66" s="9" t="s">
        <v>43</v>
      </c>
      <c r="AR66" s="136"/>
      <c r="AS66" s="11">
        <f>+Tabla658216[[#This Row],[Valor unitario ]]*Tabla658216[[#This Row],[cantidad ]]</f>
        <v>0</v>
      </c>
      <c r="AU66" s="11"/>
      <c r="AX66" s="9"/>
      <c r="AZ66" s="9" t="s">
        <v>43</v>
      </c>
      <c r="BB66" s="136"/>
      <c r="BC66" s="11">
        <f>+Tabla661219[[#This Row],[Valor unitario ]]*Tabla661219[[#This Row],[cantidad ]]</f>
        <v>0</v>
      </c>
      <c r="BE66" s="11"/>
      <c r="BH66" s="9"/>
      <c r="BJ66" s="9" t="s">
        <v>43</v>
      </c>
      <c r="BL66" s="165"/>
      <c r="BM66" s="169">
        <f>+Tabla664222[[#This Row],[cantidad ]]*Tabla664222[[#This Row],[Valor unitario ]]</f>
        <v>0</v>
      </c>
      <c r="BO66" s="11"/>
      <c r="BR66" s="9"/>
      <c r="BT66" s="9" t="s">
        <v>43</v>
      </c>
      <c r="BV66" s="165"/>
      <c r="BW66" s="169">
        <f>+Tabla667225[[#This Row],[Valor unitario ]]*Tabla667225[[#This Row],[cantidad ]]</f>
        <v>0</v>
      </c>
      <c r="BY66" s="11"/>
      <c r="CB66" s="9"/>
      <c r="CD66" s="9" t="s">
        <v>43</v>
      </c>
      <c r="CF66" s="165"/>
      <c r="CG66" s="169">
        <f>+Tabla670228[[#This Row],[cantidad ]]*Tabla670228[[#This Row],[Valor unitario ]]</f>
        <v>0</v>
      </c>
      <c r="CI66" s="11"/>
      <c r="CL66" s="9"/>
      <c r="CN66" s="9" t="s">
        <v>43</v>
      </c>
      <c r="CP66" s="165"/>
      <c r="CQ66" s="168">
        <f>+Tabla673231[[#This Row],[cantidad ]]*Tabla673231[[#This Row],[Valor unitario ]]</f>
        <v>0</v>
      </c>
      <c r="CS66" s="11"/>
      <c r="CV66" s="9"/>
      <c r="CX66" s="9" t="s">
        <v>43</v>
      </c>
      <c r="CZ66" s="165"/>
      <c r="DA66" s="169">
        <f>+Tabla676234[[#This Row],[Valor unitario ]]*Tabla676234[[#This Row],[cantidad ]]</f>
        <v>0</v>
      </c>
      <c r="DC66" s="11"/>
      <c r="DF66" s="9"/>
      <c r="DH66" s="9" t="s">
        <v>43</v>
      </c>
      <c r="DJ66" s="165"/>
      <c r="DK66" s="168">
        <f>+Tabla679237[[#This Row],[Valor unitario ]]*Tabla679237[[#This Row],[cantidad ]]</f>
        <v>0</v>
      </c>
      <c r="DM66" s="11"/>
      <c r="DP66" s="9"/>
      <c r="DR66" s="9" t="s">
        <v>43</v>
      </c>
      <c r="DT66" s="165"/>
      <c r="DU66" s="168">
        <f>+Tabla682240[[#This Row],[Valor unitario ]]*Tabla682240[[#This Row],[cantidad ]]</f>
        <v>0</v>
      </c>
      <c r="DW66" s="11"/>
      <c r="DZ66" s="9"/>
      <c r="EB66" s="9" t="s">
        <v>43</v>
      </c>
      <c r="ED66" s="165"/>
      <c r="EE66" s="168">
        <f>+Tabla685243[[#This Row],[Valor unitario ]]*Tabla685243[[#This Row],[cantidad ]]</f>
        <v>0</v>
      </c>
      <c r="EG66" s="11"/>
      <c r="EJ66" s="9"/>
      <c r="EL66" s="9" t="s">
        <v>43</v>
      </c>
      <c r="EN66" s="165"/>
      <c r="EO66" s="169">
        <f>+Tabla688246[[#This Row],[Valor unitario ]]*Tabla688246[[#This Row],[cantidad ]]</f>
        <v>0</v>
      </c>
      <c r="EQ66" s="11"/>
      <c r="ET66" s="9"/>
      <c r="EV66" s="9" t="s">
        <v>43</v>
      </c>
      <c r="EX66" s="165"/>
      <c r="EY66" s="168">
        <f>+Tabla691249[[#This Row],[Valor unitario ]]*Tabla691249[[#This Row],[cantidad ]]</f>
        <v>0</v>
      </c>
      <c r="FA66" s="11"/>
      <c r="FD66" s="9"/>
      <c r="FF66" s="9" t="s">
        <v>43</v>
      </c>
      <c r="FH66" s="165"/>
      <c r="FI66" s="168">
        <f>+Tabla694252[[#This Row],[cantidad ]]*Tabla694252[[#This Row],[Valor unitario ]]</f>
        <v>0</v>
      </c>
      <c r="FK66" s="11"/>
      <c r="FN66" s="9"/>
      <c r="FP66" s="9" t="s">
        <v>43</v>
      </c>
      <c r="FR66" s="136"/>
      <c r="FS66" s="168">
        <f>+Tabla697255[[#This Row],[Valor unitario ]]*Tabla697255[[#This Row],[cantidad ]]</f>
        <v>0</v>
      </c>
      <c r="FU66" s="11"/>
    </row>
    <row r="67" spans="1:177" ht="17.25" thickBot="1" x14ac:dyDescent="0.35">
      <c r="A67" s="15"/>
      <c r="B67" s="13"/>
      <c r="C67" s="554" t="s">
        <v>45</v>
      </c>
      <c r="D67" s="555"/>
      <c r="E67" s="556"/>
      <c r="F67" s="16">
        <f>IF(G10&gt;B3,0,SUBTOTAL(109,Tabla6204[Valor total]))</f>
        <v>6400000</v>
      </c>
      <c r="G67" s="13"/>
      <c r="H67" s="14"/>
      <c r="K67" s="9"/>
      <c r="M67" s="6" t="s">
        <v>37</v>
      </c>
      <c r="N67" s="7" t="s">
        <v>38</v>
      </c>
      <c r="O67" s="7" t="s">
        <v>39</v>
      </c>
      <c r="P67" s="8" t="s">
        <v>40</v>
      </c>
      <c r="R67" s="11"/>
      <c r="U67" s="9"/>
      <c r="W67" s="6" t="s">
        <v>37</v>
      </c>
      <c r="X67" s="7" t="s">
        <v>38</v>
      </c>
      <c r="Y67" s="7" t="s">
        <v>39</v>
      </c>
      <c r="Z67" s="8" t="s">
        <v>40</v>
      </c>
      <c r="AB67" s="11"/>
      <c r="AD67" s="9"/>
      <c r="AF67" s="6" t="s">
        <v>37</v>
      </c>
      <c r="AG67" s="7" t="s">
        <v>38</v>
      </c>
      <c r="AH67" s="7" t="s">
        <v>39</v>
      </c>
      <c r="AI67" s="8" t="s">
        <v>40</v>
      </c>
      <c r="AK67" s="11"/>
      <c r="AN67" s="15"/>
      <c r="AO67" s="13"/>
      <c r="AP67" s="554" t="s">
        <v>45</v>
      </c>
      <c r="AQ67" s="555"/>
      <c r="AR67" s="556"/>
      <c r="AS67" s="16">
        <f>IF(AT10&gt;$B$3,0,SUBTOTAL(109,Tabla658216[Valor total]))</f>
        <v>0</v>
      </c>
      <c r="AT67" s="13"/>
      <c r="AU67" s="14"/>
      <c r="AX67" s="15"/>
      <c r="AY67" s="13"/>
      <c r="AZ67" s="554" t="s">
        <v>45</v>
      </c>
      <c r="BA67" s="555"/>
      <c r="BB67" s="556"/>
      <c r="BC67" s="16">
        <f>IF(BD10&gt;$B$3,0,SUBTOTAL(109,Tabla661219[Valor total]))</f>
        <v>0</v>
      </c>
      <c r="BD67" s="13"/>
      <c r="BE67" s="14"/>
      <c r="BH67" s="15"/>
      <c r="BI67" s="13"/>
      <c r="BJ67" s="554" t="s">
        <v>45</v>
      </c>
      <c r="BK67" s="555"/>
      <c r="BL67" s="556"/>
      <c r="BM67" s="16">
        <f>SUBTOTAL(109,Tabla664222[Valor total])</f>
        <v>0</v>
      </c>
      <c r="BN67" s="13"/>
      <c r="BO67" s="14"/>
      <c r="BR67" s="15"/>
      <c r="BS67" s="13"/>
      <c r="BT67" s="554" t="s">
        <v>45</v>
      </c>
      <c r="BU67" s="555"/>
      <c r="BV67" s="556"/>
      <c r="BW67" s="16">
        <f>SUBTOTAL(109,Tabla667225[Valor total])</f>
        <v>0</v>
      </c>
      <c r="BX67" s="13"/>
      <c r="BY67" s="14"/>
      <c r="CB67" s="15"/>
      <c r="CC67" s="13"/>
      <c r="CD67" s="554" t="s">
        <v>45</v>
      </c>
      <c r="CE67" s="555"/>
      <c r="CF67" s="556"/>
      <c r="CG67" s="16">
        <f>SUBTOTAL(109,Tabla670228[Valor total])</f>
        <v>0</v>
      </c>
      <c r="CH67" s="13"/>
      <c r="CI67" s="14"/>
      <c r="CL67" s="15"/>
      <c r="CM67" s="13"/>
      <c r="CN67" s="554" t="s">
        <v>45</v>
      </c>
      <c r="CO67" s="555"/>
      <c r="CP67" s="556"/>
      <c r="CQ67" s="16">
        <f>SUBTOTAL(109,Tabla673231[Valor total])</f>
        <v>0</v>
      </c>
      <c r="CR67" s="13"/>
      <c r="CS67" s="14"/>
      <c r="CV67" s="15"/>
      <c r="CW67" s="13"/>
      <c r="CX67" s="554" t="s">
        <v>45</v>
      </c>
      <c r="CY67" s="555"/>
      <c r="CZ67" s="556"/>
      <c r="DA67" s="16">
        <f>SUBTOTAL(109,Tabla676234[Valor total])</f>
        <v>0</v>
      </c>
      <c r="DB67" s="13"/>
      <c r="DC67" s="14"/>
      <c r="DF67" s="15"/>
      <c r="DG67" s="13"/>
      <c r="DH67" s="554" t="s">
        <v>45</v>
      </c>
      <c r="DI67" s="555"/>
      <c r="DJ67" s="556"/>
      <c r="DK67" s="16">
        <f>SUBTOTAL(109,Tabla679237[Valor total])</f>
        <v>0</v>
      </c>
      <c r="DL67" s="13"/>
      <c r="DM67" s="14"/>
      <c r="DP67" s="15"/>
      <c r="DQ67" s="13"/>
      <c r="DR67" s="554" t="s">
        <v>45</v>
      </c>
      <c r="DS67" s="555"/>
      <c r="DT67" s="556"/>
      <c r="DU67" s="16">
        <f>SUBTOTAL(109,Tabla682240[Valor total])</f>
        <v>0</v>
      </c>
      <c r="DV67" s="13"/>
      <c r="DW67" s="14"/>
      <c r="DZ67" s="15"/>
      <c r="EA67" s="13"/>
      <c r="EB67" s="554" t="s">
        <v>45</v>
      </c>
      <c r="EC67" s="555"/>
      <c r="ED67" s="556"/>
      <c r="EE67" s="16">
        <f>SUBTOTAL(109,Tabla685243[Valor total])</f>
        <v>0</v>
      </c>
      <c r="EF67" s="13"/>
      <c r="EG67" s="14"/>
      <c r="EJ67" s="15"/>
      <c r="EK67" s="13"/>
      <c r="EL67" s="554" t="s">
        <v>45</v>
      </c>
      <c r="EM67" s="555"/>
      <c r="EN67" s="556"/>
      <c r="EO67" s="16">
        <f>SUBTOTAL(109,Tabla688246[Valor total])</f>
        <v>0</v>
      </c>
      <c r="EP67" s="13"/>
      <c r="EQ67" s="14"/>
      <c r="ET67" s="15"/>
      <c r="EU67" s="13"/>
      <c r="EV67" s="554" t="s">
        <v>45</v>
      </c>
      <c r="EW67" s="555"/>
      <c r="EX67" s="556"/>
      <c r="EY67" s="16">
        <f>SUBTOTAL(109,Tabla691249[Valor total])</f>
        <v>0</v>
      </c>
      <c r="EZ67" s="13"/>
      <c r="FA67" s="14"/>
      <c r="FD67" s="15"/>
      <c r="FE67" s="13"/>
      <c r="FF67" s="554" t="s">
        <v>45</v>
      </c>
      <c r="FG67" s="555"/>
      <c r="FH67" s="556"/>
      <c r="FI67" s="16">
        <f>SUBTOTAL(109,Tabla694252[Valor total])</f>
        <v>0</v>
      </c>
      <c r="FJ67" s="13"/>
      <c r="FK67" s="14"/>
      <c r="FN67" s="15"/>
      <c r="FO67" s="13"/>
      <c r="FP67" s="554" t="s">
        <v>45</v>
      </c>
      <c r="FQ67" s="555"/>
      <c r="FR67" s="556"/>
      <c r="FS67" s="16">
        <f>SUBTOTAL(109,Tabla697255[Valor total])</f>
        <v>0</v>
      </c>
      <c r="FT67" s="13"/>
      <c r="FU67" s="14"/>
    </row>
    <row r="68" spans="1:177" x14ac:dyDescent="0.3">
      <c r="K68" s="9"/>
      <c r="M68" s="9" t="s">
        <v>41</v>
      </c>
      <c r="N68">
        <v>2</v>
      </c>
      <c r="O68" s="136">
        <v>1200000</v>
      </c>
      <c r="P68" s="11">
        <f>+Tabla649207[[#This Row],[Valor unitario ]]*Tabla649207[[#This Row],[cantidad ]]</f>
        <v>2400000</v>
      </c>
      <c r="R68" s="11"/>
      <c r="U68" s="9"/>
      <c r="W68" s="9" t="s">
        <v>41</v>
      </c>
      <c r="X68">
        <v>2</v>
      </c>
      <c r="Y68" s="136">
        <v>1200000</v>
      </c>
      <c r="Z68" s="11">
        <f>+Tabla652210[[#This Row],[Valor unitario ]]*Tabla652210[[#This Row],[cantidad ]]</f>
        <v>2400000</v>
      </c>
      <c r="AB68" s="11"/>
      <c r="AD68" s="9"/>
      <c r="AF68" s="9" t="s">
        <v>41</v>
      </c>
      <c r="AG68">
        <v>2</v>
      </c>
      <c r="AH68" s="136">
        <v>1200000</v>
      </c>
      <c r="AI68" s="11">
        <f>+Tabla655213[[#This Row],[Valor unitario ]]*Tabla655213[[#This Row],[cantidad ]]</f>
        <v>2400000</v>
      </c>
      <c r="AK68" s="11"/>
    </row>
    <row r="69" spans="1:177" x14ac:dyDescent="0.3">
      <c r="K69" s="9"/>
      <c r="M69" s="9" t="s">
        <v>521</v>
      </c>
      <c r="O69" s="136"/>
      <c r="P69" s="11">
        <f>+Tabla649207[[#This Row],[Valor unitario ]]*Tabla649207[[#This Row],[cantidad ]]</f>
        <v>0</v>
      </c>
      <c r="R69" s="11"/>
      <c r="U69" s="9"/>
      <c r="W69" s="9" t="s">
        <v>521</v>
      </c>
      <c r="Y69" s="136">
        <v>1800000</v>
      </c>
      <c r="Z69" s="11">
        <f>+Tabla652210[[#This Row],[Valor unitario ]]*Tabla652210[[#This Row],[cantidad ]]</f>
        <v>0</v>
      </c>
      <c r="AB69" s="11"/>
      <c r="AD69" s="9"/>
      <c r="AF69" s="9" t="s">
        <v>521</v>
      </c>
      <c r="AH69" s="136">
        <v>1800000</v>
      </c>
      <c r="AI69" s="11">
        <f>+Tabla655213[[#This Row],[Valor unitario ]]*Tabla655213[[#This Row],[cantidad ]]</f>
        <v>0</v>
      </c>
      <c r="AK69" s="11"/>
    </row>
    <row r="70" spans="1:177" x14ac:dyDescent="0.3">
      <c r="B70" s="449" t="s">
        <v>68</v>
      </c>
      <c r="C70" s="449"/>
      <c r="D70" s="449"/>
      <c r="E70" s="449"/>
      <c r="F70" s="449"/>
      <c r="K70" s="9"/>
      <c r="M70" s="9" t="s">
        <v>43</v>
      </c>
      <c r="N70">
        <v>5</v>
      </c>
      <c r="O70" s="136">
        <v>800000</v>
      </c>
      <c r="P70" s="11">
        <f>+Tabla649207[[#This Row],[Valor unitario ]]*Tabla649207[[#This Row],[cantidad ]]</f>
        <v>4000000</v>
      </c>
      <c r="R70" s="11"/>
      <c r="U70" s="9"/>
      <c r="W70" s="9" t="s">
        <v>43</v>
      </c>
      <c r="X70">
        <v>5</v>
      </c>
      <c r="Y70" s="136">
        <v>800000</v>
      </c>
      <c r="Z70" s="11">
        <f>+Tabla652210[[#This Row],[Valor unitario ]]*Tabla652210[[#This Row],[cantidad ]]</f>
        <v>4000000</v>
      </c>
      <c r="AB70" s="11"/>
      <c r="AD70" s="9"/>
      <c r="AF70" s="9" t="s">
        <v>43</v>
      </c>
      <c r="AG70">
        <v>5</v>
      </c>
      <c r="AH70" s="136">
        <v>800000</v>
      </c>
      <c r="AI70" s="11">
        <f>+Tabla655213[[#This Row],[Valor unitario ]]*Tabla655213[[#This Row],[cantidad ]]</f>
        <v>4000000</v>
      </c>
      <c r="AK70" s="11"/>
    </row>
    <row r="71" spans="1:177" ht="17.25" thickBot="1" x14ac:dyDescent="0.35">
      <c r="B71" t="s">
        <v>274</v>
      </c>
      <c r="C71" t="s">
        <v>275</v>
      </c>
      <c r="D71" t="s">
        <v>276</v>
      </c>
      <c r="E71" t="s">
        <v>277</v>
      </c>
      <c r="F71" t="s">
        <v>46</v>
      </c>
      <c r="K71" s="15"/>
      <c r="L71" s="13"/>
      <c r="M71" s="554" t="s">
        <v>45</v>
      </c>
      <c r="N71" s="555"/>
      <c r="O71" s="556"/>
      <c r="P71" s="16">
        <f>SUBTOTAL(109,Tabla649207[Valor total])</f>
        <v>6400000</v>
      </c>
      <c r="Q71" s="13"/>
      <c r="R71" s="14"/>
      <c r="U71" s="15"/>
      <c r="V71" s="13"/>
      <c r="W71" s="554" t="s">
        <v>45</v>
      </c>
      <c r="X71" s="555"/>
      <c r="Y71" s="556"/>
      <c r="Z71" s="16">
        <f>IF(AA10&gt;$B$3,0,SUBTOTAL(109,Tabla652210[Valor total]))</f>
        <v>6400000</v>
      </c>
      <c r="AA71" s="13"/>
      <c r="AB71" s="14"/>
      <c r="AD71" s="15"/>
      <c r="AE71" s="13"/>
      <c r="AF71" s="554" t="s">
        <v>45</v>
      </c>
      <c r="AG71" s="555"/>
      <c r="AH71" s="556"/>
      <c r="AI71" s="16">
        <f>IF(AJ10&gt;$B$3,0,SUBTOTAL(109,Tabla655213[Valor total]))</f>
        <v>0</v>
      </c>
      <c r="AJ71" s="13"/>
      <c r="AK71" s="14"/>
    </row>
    <row r="72" spans="1:177" x14ac:dyDescent="0.3">
      <c r="B72" s="18">
        <v>1</v>
      </c>
      <c r="C72" s="1" t="e">
        <f>Sub_pe1</f>
        <v>#N/A</v>
      </c>
      <c r="D72" s="1" t="e">
        <f>Sub_eq1</f>
        <v>#N/A</v>
      </c>
      <c r="E72" s="1">
        <f>Sub_trans1</f>
        <v>6400000</v>
      </c>
      <c r="F72" s="1" t="e">
        <f>SUM(Tabla97256[[#This Row],[SUBTOTAL PERSONAL]:[SUBTOTAL TRANSPORTE]])</f>
        <v>#N/A</v>
      </c>
    </row>
    <row r="73" spans="1:177" x14ac:dyDescent="0.3">
      <c r="B73" s="18">
        <v>2</v>
      </c>
      <c r="C73" s="1" t="e">
        <f>Sub_pe2</f>
        <v>#N/A</v>
      </c>
      <c r="D73" s="1" t="e">
        <f>Sub_eq2</f>
        <v>#N/A</v>
      </c>
      <c r="E73" s="1">
        <f>Sub_trans2</f>
        <v>6400000</v>
      </c>
      <c r="F73" s="1" t="e">
        <f>SUM(Tabla97256[[#This Row],[SUBTOTAL PERSONAL]:[SUBTOTAL TRANSPORTE]])</f>
        <v>#N/A</v>
      </c>
    </row>
    <row r="74" spans="1:177" x14ac:dyDescent="0.3">
      <c r="B74" s="18">
        <v>3</v>
      </c>
      <c r="C74" s="1" t="e">
        <f>Sub_pe3</f>
        <v>#N/A</v>
      </c>
      <c r="D74" s="1" t="e">
        <f>Sub_eq3</f>
        <v>#N/A</v>
      </c>
      <c r="E74" s="1">
        <f>Sub_trans3</f>
        <v>6400000</v>
      </c>
      <c r="F74" s="1" t="e">
        <f>SUM(Tabla97256[[#This Row],[SUBTOTAL PERSONAL]:[SUBTOTAL TRANSPORTE]])</f>
        <v>#N/A</v>
      </c>
    </row>
    <row r="75" spans="1:177" x14ac:dyDescent="0.3">
      <c r="B75" s="18">
        <v>4</v>
      </c>
      <c r="C75" s="1">
        <f>Sub_pe4</f>
        <v>0</v>
      </c>
      <c r="D75" s="1">
        <f>Sub_eq4</f>
        <v>0</v>
      </c>
      <c r="E75" s="1">
        <f>Sub_trans4</f>
        <v>0</v>
      </c>
      <c r="F75" s="1">
        <f>SUM(Tabla97256[[#This Row],[SUBTOTAL PERSONAL]:[SUBTOTAL TRANSPORTE]])</f>
        <v>0</v>
      </c>
    </row>
    <row r="76" spans="1:177" x14ac:dyDescent="0.3">
      <c r="B76" s="18">
        <v>5</v>
      </c>
      <c r="C76" s="1">
        <f>Sub_pe5</f>
        <v>0</v>
      </c>
      <c r="D76" s="1">
        <f>Sub_eq5</f>
        <v>0</v>
      </c>
      <c r="E76" s="1">
        <f>Sub_trans5</f>
        <v>0</v>
      </c>
      <c r="F76" s="1">
        <f>SUM(Tabla97256[[#This Row],[SUBTOTAL PERSONAL]:[SUBTOTAL TRANSPORTE]])</f>
        <v>0</v>
      </c>
    </row>
    <row r="77" spans="1:177" x14ac:dyDescent="0.3">
      <c r="B77" s="18">
        <v>6</v>
      </c>
      <c r="C77" s="1">
        <f>Sub_pe6</f>
        <v>0</v>
      </c>
      <c r="D77" s="1">
        <f>Sub_eq6</f>
        <v>0</v>
      </c>
      <c r="E77" s="1">
        <f>Sub_trans6</f>
        <v>0</v>
      </c>
      <c r="F77" s="1">
        <f>SUM(Tabla97256[[#This Row],[SUBTOTAL PERSONAL]:[SUBTOTAL TRANSPORTE]])</f>
        <v>0</v>
      </c>
    </row>
    <row r="78" spans="1:177" x14ac:dyDescent="0.3">
      <c r="B78" s="18">
        <v>7</v>
      </c>
      <c r="C78" s="1">
        <f>Sub_pe7</f>
        <v>0</v>
      </c>
      <c r="D78" s="1">
        <f>Sub_eq7</f>
        <v>0</v>
      </c>
      <c r="E78" s="1">
        <f>Sub_trans7</f>
        <v>0</v>
      </c>
      <c r="F78" s="1">
        <f>SUM(Tabla97256[[#This Row],[SUBTOTAL PERSONAL]:[SUBTOTAL TRANSPORTE]])</f>
        <v>0</v>
      </c>
    </row>
    <row r="79" spans="1:177" x14ac:dyDescent="0.3">
      <c r="B79" s="18">
        <v>8</v>
      </c>
      <c r="C79" s="1">
        <f>Sub_pe8</f>
        <v>0</v>
      </c>
      <c r="D79" s="1">
        <f>Sub_eq8</f>
        <v>0</v>
      </c>
      <c r="E79" s="1">
        <f>Sub_trans8</f>
        <v>0</v>
      </c>
      <c r="F79" s="1">
        <f>SUM(Tabla97256[[#This Row],[SUBTOTAL PERSONAL]:[SUBTOTAL TRANSPORTE]])</f>
        <v>0</v>
      </c>
    </row>
    <row r="80" spans="1:177" x14ac:dyDescent="0.3">
      <c r="B80" s="18">
        <v>9</v>
      </c>
      <c r="C80" s="1">
        <f>Sub_pe9</f>
        <v>0</v>
      </c>
      <c r="D80" s="1">
        <f>Sub_eq9</f>
        <v>0</v>
      </c>
      <c r="E80" s="1">
        <f>Sub_trans9</f>
        <v>0</v>
      </c>
      <c r="F80" s="1">
        <f>SUM(Tabla97256[[#This Row],[SUBTOTAL PERSONAL]:[SUBTOTAL TRANSPORTE]])</f>
        <v>0</v>
      </c>
    </row>
    <row r="81" spans="2:8" x14ac:dyDescent="0.3">
      <c r="B81" s="18">
        <v>10</v>
      </c>
      <c r="C81" s="1">
        <f>Sub_pe10</f>
        <v>0</v>
      </c>
      <c r="D81" s="1">
        <f>Sub_eq10</f>
        <v>0</v>
      </c>
      <c r="E81" s="1">
        <f>Sub_trans10</f>
        <v>0</v>
      </c>
      <c r="F81" s="1">
        <f>SUM(Tabla97256[[#This Row],[SUBTOTAL PERSONAL]:[SUBTOTAL TRANSPORTE]])</f>
        <v>0</v>
      </c>
    </row>
    <row r="82" spans="2:8" x14ac:dyDescent="0.3">
      <c r="B82" s="18">
        <v>11</v>
      </c>
      <c r="C82" s="1">
        <f>Sub_pe11</f>
        <v>0</v>
      </c>
      <c r="D82" s="1">
        <f>Sub_eq11</f>
        <v>0</v>
      </c>
      <c r="E82" s="1">
        <f>Sub_trans11</f>
        <v>0</v>
      </c>
      <c r="F82" s="1">
        <f>SUM(Tabla97256[[#This Row],[SUBTOTAL PERSONAL]:[SUBTOTAL TRANSPORTE]])</f>
        <v>0</v>
      </c>
    </row>
    <row r="83" spans="2:8" x14ac:dyDescent="0.3">
      <c r="B83" s="18">
        <v>12</v>
      </c>
      <c r="C83" s="1">
        <f>Sub_pe12</f>
        <v>0</v>
      </c>
      <c r="D83" s="1">
        <f>Sub_eq12</f>
        <v>0</v>
      </c>
      <c r="E83" s="1">
        <f>Sub_trans12</f>
        <v>0</v>
      </c>
      <c r="F83" s="1">
        <f>SUM(Tabla97256[[#This Row],[SUBTOTAL PERSONAL]:[SUBTOTAL TRANSPORTE]])</f>
        <v>0</v>
      </c>
    </row>
    <row r="84" spans="2:8" x14ac:dyDescent="0.3">
      <c r="B84" s="18">
        <v>13</v>
      </c>
      <c r="C84" s="1">
        <f>Sub_pe13</f>
        <v>0</v>
      </c>
      <c r="D84" s="1">
        <f>Sub_eq13</f>
        <v>0</v>
      </c>
      <c r="E84" s="1">
        <f>Sub_trans13</f>
        <v>0</v>
      </c>
      <c r="F84" s="1">
        <f>SUM(Tabla97256[[#This Row],[SUBTOTAL PERSONAL]:[SUBTOTAL TRANSPORTE]])</f>
        <v>0</v>
      </c>
    </row>
    <row r="85" spans="2:8" x14ac:dyDescent="0.3">
      <c r="B85" s="18">
        <v>14</v>
      </c>
      <c r="C85" s="1">
        <f>Sub_pe14</f>
        <v>0</v>
      </c>
      <c r="D85" s="1">
        <f>Sub_eq14</f>
        <v>0</v>
      </c>
      <c r="E85" s="1">
        <f>Sub_trans14</f>
        <v>0</v>
      </c>
      <c r="F85" s="1">
        <f>SUM(Tabla97256[[#This Row],[SUBTOTAL PERSONAL]:[SUBTOTAL TRANSPORTE]])</f>
        <v>0</v>
      </c>
    </row>
    <row r="86" spans="2:8" x14ac:dyDescent="0.3">
      <c r="B86" s="18">
        <v>15</v>
      </c>
      <c r="C86" s="1">
        <f>Sub_pe15</f>
        <v>0</v>
      </c>
      <c r="D86" s="1">
        <f>Sub_eq15</f>
        <v>0</v>
      </c>
      <c r="E86" s="1">
        <f>Sub_trans15</f>
        <v>0</v>
      </c>
      <c r="F86" s="1">
        <f>SUM(Tabla97256[[#This Row],[SUBTOTAL PERSONAL]:[SUBTOTAL TRANSPORTE]])</f>
        <v>0</v>
      </c>
    </row>
    <row r="87" spans="2:8" x14ac:dyDescent="0.3">
      <c r="B87" s="18">
        <v>16</v>
      </c>
      <c r="C87" s="1">
        <f>Sub_pe16</f>
        <v>0</v>
      </c>
      <c r="D87" s="1">
        <f>Sub_eq16</f>
        <v>0</v>
      </c>
      <c r="E87" s="1">
        <f>Sub_trans16</f>
        <v>0</v>
      </c>
      <c r="F87" s="1">
        <f>SUM(Tabla97256[[#This Row],[SUBTOTAL PERSONAL]:[SUBTOTAL TRANSPORTE]])</f>
        <v>0</v>
      </c>
    </row>
    <row r="88" spans="2:8" x14ac:dyDescent="0.3">
      <c r="B88" s="18">
        <v>17</v>
      </c>
      <c r="C88" s="1">
        <f>Sub_pe17</f>
        <v>0</v>
      </c>
      <c r="D88" s="1">
        <f>Sub_eq17</f>
        <v>0</v>
      </c>
      <c r="E88" s="1">
        <f>Sub_trans17</f>
        <v>0</v>
      </c>
      <c r="F88" s="1">
        <f>SUM(Tabla97256[[#This Row],[SUBTOTAL PERSONAL]:[SUBTOTAL TRANSPORTE]])</f>
        <v>0</v>
      </c>
    </row>
    <row r="89" spans="2:8" x14ac:dyDescent="0.3">
      <c r="B89" s="18">
        <v>18</v>
      </c>
      <c r="C89" s="1">
        <f>Sub_pe18</f>
        <v>0</v>
      </c>
      <c r="D89" s="1">
        <f>Sub_eq18</f>
        <v>0</v>
      </c>
      <c r="E89" s="1">
        <f>Sub_trans18</f>
        <v>0</v>
      </c>
      <c r="F89" s="1">
        <f>SUM(Tabla97256[[#This Row],[SUBTOTAL PERSONAL]:[SUBTOTAL TRANSPORTE]])</f>
        <v>0</v>
      </c>
    </row>
    <row r="90" spans="2:8" ht="17.25" thickBot="1" x14ac:dyDescent="0.35">
      <c r="B90" s="281" t="s">
        <v>47</v>
      </c>
      <c r="C90" s="1" t="e">
        <f>SUBTOTAL(109,C72:C89)</f>
        <v>#N/A</v>
      </c>
      <c r="D90" s="1" t="e">
        <f>SUBTOTAL(109,D72:D89)</f>
        <v>#N/A</v>
      </c>
      <c r="E90" s="1">
        <f>SUBTOTAL(109,E72:E89)</f>
        <v>19200000</v>
      </c>
      <c r="F90" s="16" t="e">
        <f>SUM(F72:F89)</f>
        <v>#N/A</v>
      </c>
    </row>
    <row r="91" spans="2:8" x14ac:dyDescent="0.3">
      <c r="B91" s="4"/>
      <c r="C91" s="1"/>
      <c r="D91" s="1"/>
      <c r="E91" s="1"/>
      <c r="F91" s="1"/>
      <c r="H91" s="294" t="e">
        <f>F90/5000000000</f>
        <v>#N/A</v>
      </c>
    </row>
    <row r="93" spans="2:8" x14ac:dyDescent="0.3">
      <c r="B93" s="557" t="s">
        <v>48</v>
      </c>
      <c r="C93" s="557"/>
      <c r="D93" s="557"/>
      <c r="E93" s="557"/>
    </row>
    <row r="94" spans="2:8" x14ac:dyDescent="0.3">
      <c r="B94" t="s">
        <v>49</v>
      </c>
      <c r="C94" t="s">
        <v>50</v>
      </c>
      <c r="D94" t="s">
        <v>51</v>
      </c>
      <c r="E94" t="s">
        <v>52</v>
      </c>
    </row>
    <row r="95" spans="2:8" x14ac:dyDescent="0.3">
      <c r="B95" t="s">
        <v>185</v>
      </c>
      <c r="C95" s="1">
        <v>6000000000</v>
      </c>
      <c r="D95" s="19">
        <v>4.0000000000000001E-3</v>
      </c>
      <c r="E95" s="1">
        <f>IF(Tabla100257[[#This Row],[VALOR BASE LIQUIDACION]]="","",Tabla100257[[#This Row],[TARIFA]]*Tabla100257[[#This Row],[VALOR BASE LIQUIDACION]])</f>
        <v>24000000</v>
      </c>
    </row>
    <row r="96" spans="2:8" x14ac:dyDescent="0.3">
      <c r="B96" t="s">
        <v>186</v>
      </c>
      <c r="C96" s="1">
        <v>6000000000</v>
      </c>
      <c r="D96" s="19">
        <v>8.0000000000000002E-3</v>
      </c>
      <c r="E96" s="1">
        <f>IF(Tabla100257[[#This Row],[VALOR BASE LIQUIDACION]]="","",Tabla100257[[#This Row],[TARIFA]]*Tabla100257[[#This Row],[VALOR BASE LIQUIDACION]])</f>
        <v>48000000</v>
      </c>
    </row>
    <row r="97" spans="2:7" x14ac:dyDescent="0.3">
      <c r="B97" t="s">
        <v>187</v>
      </c>
      <c r="C97" s="1">
        <v>6000000000</v>
      </c>
      <c r="D97" s="19">
        <v>8.0000000000000002E-3</v>
      </c>
      <c r="E97" s="1">
        <f>IF(Tabla100257[[#This Row],[VALOR BASE LIQUIDACION]]="","",Tabla100257[[#This Row],[TARIFA]]*Tabla100257[[#This Row],[VALOR BASE LIQUIDACION]])</f>
        <v>48000000</v>
      </c>
    </row>
    <row r="98" spans="2:7" x14ac:dyDescent="0.3">
      <c r="B98" t="s">
        <v>188</v>
      </c>
      <c r="C98" s="1">
        <v>6000000000</v>
      </c>
      <c r="D98" s="19">
        <v>1.5E-3</v>
      </c>
      <c r="E98" s="1">
        <f>IF(Tabla100257[[#This Row],[VALOR BASE LIQUIDACION]]="","",Tabla100257[[#This Row],[TARIFA]]*Tabla100257[[#This Row],[VALOR BASE LIQUIDACION]])</f>
        <v>9000000</v>
      </c>
    </row>
    <row r="99" spans="2:7" x14ac:dyDescent="0.3">
      <c r="C99" s="1"/>
      <c r="D99" s="19"/>
      <c r="E99" s="1" t="str">
        <f>IF(Tabla100257[[#This Row],[VALOR BASE LIQUIDACION]]="","",Tabla100257[[#This Row],[TARIFA]]*Tabla100257[[#This Row],[VALOR BASE LIQUIDACION]])</f>
        <v/>
      </c>
    </row>
    <row r="100" spans="2:7" ht="17.25" thickBot="1" x14ac:dyDescent="0.35">
      <c r="B100" s="554" t="s">
        <v>167</v>
      </c>
      <c r="C100" s="555"/>
      <c r="D100" s="555"/>
      <c r="E100" s="16">
        <f>SUBTOTAL(109,Tabla100257[VALOR TOTAL])</f>
        <v>129000000</v>
      </c>
    </row>
    <row r="103" spans="2:7" x14ac:dyDescent="0.3">
      <c r="B103" s="558" t="s">
        <v>53</v>
      </c>
      <c r="C103" s="558"/>
      <c r="D103" s="558"/>
      <c r="E103" s="558"/>
      <c r="F103" s="558"/>
      <c r="G103" s="558"/>
    </row>
    <row r="104" spans="2:7" x14ac:dyDescent="0.3">
      <c r="B104" t="s">
        <v>54</v>
      </c>
      <c r="C104" t="s">
        <v>55</v>
      </c>
      <c r="D104" t="s">
        <v>56</v>
      </c>
      <c r="E104" t="s">
        <v>57</v>
      </c>
      <c r="F104" t="s">
        <v>58</v>
      </c>
      <c r="G104" t="s">
        <v>52</v>
      </c>
    </row>
    <row r="105" spans="2:7" x14ac:dyDescent="0.3">
      <c r="B105" t="s">
        <v>191</v>
      </c>
      <c r="C105" s="1">
        <v>6000000000</v>
      </c>
      <c r="D105" s="138">
        <v>0.3</v>
      </c>
      <c r="E105" s="45">
        <v>24</v>
      </c>
      <c r="F105" s="138">
        <v>4.0000000000000001E-3</v>
      </c>
      <c r="G105" s="1">
        <f>IF(Tabla101258[[#This Row],[VALOR BASE LIQUIDACIÓN]]="","",Tabla101258[[#This Row],[VALOR BASE LIQUIDACIÓN]]*Tabla101258[[#This Row],[% ASEGURADO]]*(Tabla101258[[#This Row],[VIGENCIA (MES)]]/12)*Tabla101258[[#This Row],[TASA]]*1.19)</f>
        <v>17136000</v>
      </c>
    </row>
    <row r="106" spans="2:7" x14ac:dyDescent="0.3">
      <c r="B106" t="s">
        <v>192</v>
      </c>
      <c r="C106" s="1">
        <v>6000000000</v>
      </c>
      <c r="D106" s="138">
        <v>1</v>
      </c>
      <c r="E106" s="45">
        <v>24</v>
      </c>
      <c r="F106" s="138">
        <v>4.0000000000000001E-3</v>
      </c>
      <c r="G106" s="1">
        <f>IF(Tabla101258[[#This Row],[VALOR BASE LIQUIDACIÓN]]="","",Tabla101258[[#This Row],[VALOR BASE LIQUIDACIÓN]]*Tabla101258[[#This Row],[% ASEGURADO]]*(Tabla101258[[#This Row],[VIGENCIA (MES)]]/12)*Tabla101258[[#This Row],[TASA]]*1.19)</f>
        <v>57120000</v>
      </c>
    </row>
    <row r="107" spans="2:7" x14ac:dyDescent="0.3">
      <c r="B107" t="s">
        <v>193</v>
      </c>
      <c r="C107" s="1">
        <v>6000000000</v>
      </c>
      <c r="D107" s="138">
        <v>0.1</v>
      </c>
      <c r="E107" s="45">
        <v>24</v>
      </c>
      <c r="F107" s="138">
        <v>3.0000000000000001E-3</v>
      </c>
      <c r="G107" s="1">
        <f>IF(Tabla101258[[#This Row],[VALOR BASE LIQUIDACIÓN]]="","",Tabla101258[[#This Row],[VALOR BASE LIQUIDACIÓN]]*Tabla101258[[#This Row],[% ASEGURADO]]*(Tabla101258[[#This Row],[VIGENCIA (MES)]]/12)*Tabla101258[[#This Row],[TASA]]*1.19)</f>
        <v>4284000</v>
      </c>
    </row>
    <row r="108" spans="2:7" x14ac:dyDescent="0.3">
      <c r="B108" t="s">
        <v>194</v>
      </c>
      <c r="C108" s="1">
        <v>6000000000</v>
      </c>
      <c r="D108" s="138">
        <v>1</v>
      </c>
      <c r="E108" s="45">
        <v>24</v>
      </c>
      <c r="F108" s="138">
        <v>4.0000000000000001E-3</v>
      </c>
      <c r="G108" s="1">
        <f>IF(Tabla101258[[#This Row],[VALOR BASE LIQUIDACIÓN]]="","",Tabla101258[[#This Row],[VALOR BASE LIQUIDACIÓN]]*Tabla101258[[#This Row],[% ASEGURADO]]*(Tabla101258[[#This Row],[VIGENCIA (MES)]]/12)*Tabla101258[[#This Row],[TASA]]*1.19)</f>
        <v>57120000</v>
      </c>
    </row>
    <row r="109" spans="2:7" x14ac:dyDescent="0.3">
      <c r="B109" t="s">
        <v>195</v>
      </c>
      <c r="C109" s="1">
        <v>6000000000</v>
      </c>
      <c r="D109" s="138">
        <v>0.3</v>
      </c>
      <c r="E109" s="45">
        <v>24</v>
      </c>
      <c r="F109" s="138">
        <v>4.0000000000000001E-3</v>
      </c>
      <c r="G109" s="1">
        <f>IF(Tabla101258[[#This Row],[VALOR BASE LIQUIDACIÓN]]="","",Tabla101258[[#This Row],[VALOR BASE LIQUIDACIÓN]]*Tabla101258[[#This Row],[% ASEGURADO]]*(Tabla101258[[#This Row],[VIGENCIA (MES)]]/12)*Tabla101258[[#This Row],[TASA]]*1.19)</f>
        <v>17136000</v>
      </c>
    </row>
    <row r="110" spans="2:7" ht="17.25" thickBot="1" x14ac:dyDescent="0.35">
      <c r="B110" s="554" t="s">
        <v>166</v>
      </c>
      <c r="C110" s="555"/>
      <c r="D110" s="555"/>
      <c r="E110" s="555"/>
      <c r="F110" s="555"/>
      <c r="G110" s="16">
        <f>SUBTOTAL(109,Tabla101258[VALOR TOTAL])</f>
        <v>152796000</v>
      </c>
    </row>
    <row r="115" spans="2:9" ht="17.25" thickBot="1" x14ac:dyDescent="0.35"/>
    <row r="116" spans="2:9" ht="37.15" customHeight="1" thickBot="1" x14ac:dyDescent="0.6">
      <c r="B116" s="559" t="s">
        <v>111</v>
      </c>
      <c r="C116" s="560"/>
      <c r="D116" s="560"/>
      <c r="E116" s="141" t="e">
        <f>G110+E100+F90</f>
        <v>#N/A</v>
      </c>
      <c r="F116" s="338">
        <v>16000000000</v>
      </c>
      <c r="G116" s="334" t="e">
        <f>TOTAL_ADMINISTRACION/F116</f>
        <v>#N/A</v>
      </c>
      <c r="I116" s="294">
        <v>2387514378.3000002</v>
      </c>
    </row>
    <row r="117" spans="2:9" ht="31.5" x14ac:dyDescent="0.55000000000000004">
      <c r="D117" s="335" t="s">
        <v>514</v>
      </c>
      <c r="E117" s="336">
        <v>539216373.80000007</v>
      </c>
    </row>
    <row r="118" spans="2:9" x14ac:dyDescent="0.3">
      <c r="E118" s="337" t="e">
        <f>E117/TOTAL_ADMINISTRACION</f>
        <v>#N/A</v>
      </c>
    </row>
  </sheetData>
  <mergeCells count="118">
    <mergeCell ref="K10:P10"/>
    <mergeCell ref="Q10:R10"/>
    <mergeCell ref="U10:Z10"/>
    <mergeCell ref="AA10:AB10"/>
    <mergeCell ref="AD10:AI10"/>
    <mergeCell ref="AJ10:AK10"/>
    <mergeCell ref="B1:I1"/>
    <mergeCell ref="B2:I2"/>
    <mergeCell ref="B3:I3"/>
    <mergeCell ref="A4:I4"/>
    <mergeCell ref="B6:E8"/>
    <mergeCell ref="A10:F10"/>
    <mergeCell ref="G10:H10"/>
    <mergeCell ref="CB10:CG10"/>
    <mergeCell ref="CH10:CI10"/>
    <mergeCell ref="CL10:CQ10"/>
    <mergeCell ref="CR10:CS10"/>
    <mergeCell ref="AN10:AS10"/>
    <mergeCell ref="AT10:AU10"/>
    <mergeCell ref="AX10:BC10"/>
    <mergeCell ref="BD10:BE10"/>
    <mergeCell ref="BH10:BM10"/>
    <mergeCell ref="BN10:BO10"/>
    <mergeCell ref="FD10:FI10"/>
    <mergeCell ref="FJ10:FK10"/>
    <mergeCell ref="FN10:FS10"/>
    <mergeCell ref="FT10:FU10"/>
    <mergeCell ref="A11:H11"/>
    <mergeCell ref="K11:R11"/>
    <mergeCell ref="U11:AB11"/>
    <mergeCell ref="AD11:AK11"/>
    <mergeCell ref="AN11:AU11"/>
    <mergeCell ref="AX11:BE11"/>
    <mergeCell ref="DZ10:EE10"/>
    <mergeCell ref="EF10:EG10"/>
    <mergeCell ref="EJ10:EO10"/>
    <mergeCell ref="EP10:EQ10"/>
    <mergeCell ref="ET10:EY10"/>
    <mergeCell ref="EZ10:FA10"/>
    <mergeCell ref="CV10:DA10"/>
    <mergeCell ref="DB10:DC10"/>
    <mergeCell ref="DF10:DK10"/>
    <mergeCell ref="DL10:DM10"/>
    <mergeCell ref="DP10:DU10"/>
    <mergeCell ref="DV10:DW10"/>
    <mergeCell ref="BR10:BW10"/>
    <mergeCell ref="BX10:BY10"/>
    <mergeCell ref="DP11:DW11"/>
    <mergeCell ref="DZ11:EG11"/>
    <mergeCell ref="EJ11:EQ11"/>
    <mergeCell ref="ET11:FA11"/>
    <mergeCell ref="FD11:FK11"/>
    <mergeCell ref="FN11:FU11"/>
    <mergeCell ref="BH11:BO11"/>
    <mergeCell ref="BR11:BY11"/>
    <mergeCell ref="CB11:CI11"/>
    <mergeCell ref="CL11:CS11"/>
    <mergeCell ref="CV11:DC11"/>
    <mergeCell ref="DF11:DM11"/>
    <mergeCell ref="EA35:EE35"/>
    <mergeCell ref="EK35:EO35"/>
    <mergeCell ref="EU35:EY35"/>
    <mergeCell ref="FE35:FI35"/>
    <mergeCell ref="FO35:FS35"/>
    <mergeCell ref="A59:G59"/>
    <mergeCell ref="AN59:AT59"/>
    <mergeCell ref="AX59:BD59"/>
    <mergeCell ref="BH59:BN59"/>
    <mergeCell ref="BR59:BX59"/>
    <mergeCell ref="BS35:BW35"/>
    <mergeCell ref="CC35:CG35"/>
    <mergeCell ref="CM35:CQ35"/>
    <mergeCell ref="CW35:DA35"/>
    <mergeCell ref="DG35:DK35"/>
    <mergeCell ref="DQ35:DU35"/>
    <mergeCell ref="L35:P35"/>
    <mergeCell ref="V35:Z35"/>
    <mergeCell ref="AE35:AI35"/>
    <mergeCell ref="AO35:AS35"/>
    <mergeCell ref="AY35:BC35"/>
    <mergeCell ref="BI35:BM35"/>
    <mergeCell ref="EJ59:EP59"/>
    <mergeCell ref="ET59:EZ59"/>
    <mergeCell ref="FD59:FJ59"/>
    <mergeCell ref="FN59:FT59"/>
    <mergeCell ref="K63:Q63"/>
    <mergeCell ref="U63:AA63"/>
    <mergeCell ref="AD63:AJ63"/>
    <mergeCell ref="CB59:CH59"/>
    <mergeCell ref="CL59:CR59"/>
    <mergeCell ref="CV59:DB59"/>
    <mergeCell ref="DF59:DL59"/>
    <mergeCell ref="DP59:DV59"/>
    <mergeCell ref="DZ59:EF59"/>
    <mergeCell ref="B93:E93"/>
    <mergeCell ref="B100:D100"/>
    <mergeCell ref="B103:G103"/>
    <mergeCell ref="B110:F110"/>
    <mergeCell ref="B116:D116"/>
    <mergeCell ref="EV67:EX67"/>
    <mergeCell ref="FF67:FH67"/>
    <mergeCell ref="FP67:FR67"/>
    <mergeCell ref="B70:F70"/>
    <mergeCell ref="M71:O71"/>
    <mergeCell ref="W71:Y71"/>
    <mergeCell ref="AF71:AH71"/>
    <mergeCell ref="CN67:CP67"/>
    <mergeCell ref="CX67:CZ67"/>
    <mergeCell ref="DH67:DJ67"/>
    <mergeCell ref="DR67:DT67"/>
    <mergeCell ref="EB67:ED67"/>
    <mergeCell ref="EL67:EN67"/>
    <mergeCell ref="C67:E67"/>
    <mergeCell ref="AP67:AR67"/>
    <mergeCell ref="AZ67:BB67"/>
    <mergeCell ref="BJ67:BL67"/>
    <mergeCell ref="BT67:BV67"/>
    <mergeCell ref="CD67:CF67"/>
  </mergeCells>
  <phoneticPr fontId="42" type="noConversion"/>
  <dataValidations count="3">
    <dataValidation type="list" allowBlank="1" showInputMessage="1" showErrorMessage="1" sqref="G10 Q10 AA10 AJ10 AT10 BD10 BN10 BX10 CH10 CR10 DB10 DL10 DV10 EF10 EP10 EZ10 FJ10 FT10" xr:uid="{D90E6464-85DD-4010-A626-C7C094A4F35D}">
      <formula1>"1,2,3,4,5,6,7,8,9,10,11,12,13,14,15,16,17,18,"</formula1>
    </dataValidation>
    <dataValidation type="list" allowBlank="1" showInputMessage="1" showErrorMessage="1" sqref="AN40:AN58 FD40:FD58 A40:A58 FN40:FN58 AX40:AX58 BH40:BH58 BR40:BR58 CB40:CB58 CL40:CL58 CV40:CV58 DF40:DF58 DP40:DP58 DZ40:DZ58 EJ40:EJ58 ET40:ET58 U40:U62 K40:K62 AD40:AD62" xr:uid="{5F89D0A3-92E1-42D1-8DC2-BDEE5427DDCE}">
      <formula1>LISTA_MAQUINARIA</formula1>
    </dataValidation>
    <dataValidation type="list" allowBlank="1" showInputMessage="1" showErrorMessage="1" sqref="FE13:FE34 AO13:AO34 B13:B34 L13:L34 V13:V34 FO13:FO34 AY13:AY34 BI13:BI34 BS13:BS34 CC13:CC34 CM13:CM34 CW13:CW34 DG13:DG34 DQ13:DQ34 EA13:EA34 EK13:EK34 EU13:EU34 AE13:AE34" xr:uid="{B6BE6340-2C9B-4B90-97D2-3DF1F9D30E98}">
      <formula1>L_PERSONAL</formula1>
    </dataValidation>
  </dataValidations>
  <hyperlinks>
    <hyperlink ref="B72" location="ADMINISTRACION!G5" display="ADMINISTRACION!G5" xr:uid="{B743EC58-BA49-4530-B0D9-0E7892BDADA3}"/>
    <hyperlink ref="B73" location="ADMINISTRACION!Q5" display="ADMINISTRACION!Q5" xr:uid="{B7AE014B-CA5F-4E75-9810-C62DAE98D675}"/>
    <hyperlink ref="B74" location="ADMINISTRACION!AA5" display="ADMINISTRACION!AA5" xr:uid="{E443F583-2363-4EC4-BC50-E0B896395F9A}"/>
    <hyperlink ref="B75" location="ADMINISTRACION!AJ5" display="ADMINISTRACION!AJ5" xr:uid="{47477979-A2A0-4718-8155-87488CC707B1}"/>
    <hyperlink ref="B76" location="ADMINISTRACION!AT5" display="ADMINISTRACION!AT5" xr:uid="{100F7D4C-A315-407D-9814-C657E7686BB2}"/>
    <hyperlink ref="B77" location="ADMINISTRACION!BD5" display="ADMINISTRACION!BD5" xr:uid="{900116FA-1145-4D96-B9FA-E4F06937BEB7}"/>
    <hyperlink ref="B78" location="ADMINISTRACION!BN5" display="ADMINISTRACION!BN5" xr:uid="{BD51B32B-20C6-46B3-9A71-5E5012883D7D}"/>
    <hyperlink ref="B79" location="ADMINISTRACION!BX5" display="ADMINISTRACION!BX5" xr:uid="{FD6C0C3C-F3F7-4FF4-94E9-417A85101816}"/>
    <hyperlink ref="B80" location="ADMINISTRACION!CH5" display="ADMINISTRACION!CH5" xr:uid="{29515046-E566-44BC-9950-C7CD59879B79}"/>
    <hyperlink ref="B81" location="ADMINISTRACION!CR5" display="ADMINISTRACION!CR5" xr:uid="{12FE1B32-1E32-4747-9800-13C80AA5FD35}"/>
    <hyperlink ref="B82" location="ADMINISTRACION!DB5" display="ADMINISTRACION!DB5" xr:uid="{85E08E70-5EB8-4DD5-95E5-3496FA0967CA}"/>
    <hyperlink ref="B83" location="ADMINISTRACION!DL5" display="ADMINISTRACION!DL5" xr:uid="{280BB7E3-D296-458D-BD8B-A90DE4DBADCF}"/>
    <hyperlink ref="B84" location="ADMINISTRACION!DV5" display="ADMINISTRACION!DV5" xr:uid="{76283144-1035-44C3-BE5E-6D9A7EC5E13A}"/>
    <hyperlink ref="B85" location="ADMINISTRACION!EF5" display="ADMINISTRACION!EF5" xr:uid="{839BB71E-4068-4A19-BDD7-BB1F999D1552}"/>
    <hyperlink ref="B86" location="ADMINISTRACION!EP5" display="ADMINISTRACION!EP5" xr:uid="{2DC49A38-1A70-4F70-9C91-B982288B1333}"/>
    <hyperlink ref="B87" location="ADMINISTRACION!EZ5" display="ADMINISTRACION!EZ5" xr:uid="{59CD3B27-F038-4539-ACD7-077A82757C3C}"/>
    <hyperlink ref="B88" location="ADMINISTRACION!FJ5" display="ADMINISTRACION!FJ5" xr:uid="{723E060A-DF47-4161-8041-E26EB082EA0D}"/>
    <hyperlink ref="B89" location="ADMINISTRACION!FT5" display="ADMINISTRACION!FT5" xr:uid="{29465B0A-D2D0-4EA2-8355-B2616052C1D0}"/>
  </hyperlinks>
  <pageMargins left="0.7" right="0.7" top="0.75" bottom="0.75" header="0.3" footer="0.3"/>
  <drawing r:id="rId1"/>
  <legacyDrawing r:id="rId2"/>
  <tableParts count="57">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 r:id="rId38"/>
    <tablePart r:id="rId39"/>
    <tablePart r:id="rId40"/>
    <tablePart r:id="rId41"/>
    <tablePart r:id="rId42"/>
    <tablePart r:id="rId43"/>
    <tablePart r:id="rId44"/>
    <tablePart r:id="rId45"/>
    <tablePart r:id="rId46"/>
    <tablePart r:id="rId47"/>
    <tablePart r:id="rId48"/>
    <tablePart r:id="rId49"/>
    <tablePart r:id="rId50"/>
    <tablePart r:id="rId51"/>
    <tablePart r:id="rId52"/>
    <tablePart r:id="rId53"/>
    <tablePart r:id="rId54"/>
    <tablePart r:id="rId55"/>
    <tablePart r:id="rId56"/>
    <tablePart r:id="rId57"/>
    <tablePart r:id="rId58"/>
    <tablePart r:id="rId59"/>
  </tablePar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222FB-C8E2-4D47-AC53-700C57C59EEB}">
  <sheetPr codeName="Hoja7"/>
  <dimension ref="A1:FU116"/>
  <sheetViews>
    <sheetView showGridLines="0" zoomScale="93" zoomScaleNormal="55" workbookViewId="0">
      <pane ySplit="11" topLeftCell="A44" activePane="bottomLeft" state="frozen"/>
      <selection pane="bottomLeft" activeCell="B51" sqref="B51"/>
    </sheetView>
  </sheetViews>
  <sheetFormatPr defaultColWidth="11" defaultRowHeight="16.5" x14ac:dyDescent="0.3"/>
  <cols>
    <col min="1" max="1" width="52.125" bestFit="1" customWidth="1"/>
    <col min="2" max="2" width="51.375" bestFit="1" customWidth="1"/>
    <col min="3" max="3" width="35.375" bestFit="1" customWidth="1"/>
    <col min="4" max="4" width="27" bestFit="1" customWidth="1"/>
    <col min="5" max="5" width="33.75" bestFit="1" customWidth="1"/>
    <col min="6" max="6" width="37.75" bestFit="1" customWidth="1"/>
    <col min="7" max="7" width="37.125" customWidth="1"/>
    <col min="8" max="8" width="37.375" bestFit="1" customWidth="1"/>
    <col min="9" max="9" width="19.375" bestFit="1" customWidth="1"/>
    <col min="11" max="11" width="28.125" customWidth="1"/>
    <col min="12" max="12" width="15.375" bestFit="1" customWidth="1"/>
    <col min="13" max="13" width="20.75" bestFit="1" customWidth="1"/>
    <col min="14" max="14" width="25.125" bestFit="1" customWidth="1"/>
    <col min="15" max="15" width="26.75" bestFit="1" customWidth="1"/>
    <col min="16" max="16" width="37.75" bestFit="1" customWidth="1"/>
    <col min="17" max="17" width="37.125" bestFit="1" customWidth="1"/>
    <col min="18" max="18" width="17.125" bestFit="1" customWidth="1"/>
    <col min="21" max="21" width="13.375" bestFit="1" customWidth="1"/>
    <col min="22" max="22" width="15.375" bestFit="1" customWidth="1"/>
    <col min="23" max="23" width="22.125" bestFit="1" customWidth="1"/>
    <col min="24" max="24" width="25.125" bestFit="1" customWidth="1"/>
    <col min="25" max="25" width="26.75" bestFit="1" customWidth="1"/>
    <col min="26" max="26" width="37.75" bestFit="1" customWidth="1"/>
    <col min="27" max="27" width="37.125" bestFit="1" customWidth="1"/>
    <col min="28" max="28" width="17.125" bestFit="1" customWidth="1"/>
    <col min="30" max="30" width="26.875" bestFit="1" customWidth="1"/>
    <col min="31" max="31" width="15.375" bestFit="1" customWidth="1"/>
    <col min="32" max="32" width="22.125" bestFit="1" customWidth="1"/>
    <col min="33" max="33" width="25.125" bestFit="1" customWidth="1"/>
    <col min="34" max="34" width="26.75" bestFit="1" customWidth="1"/>
    <col min="35" max="35" width="37.75" bestFit="1" customWidth="1"/>
    <col min="36" max="36" width="37.125" bestFit="1" customWidth="1"/>
    <col min="37" max="37" width="17.125" bestFit="1" customWidth="1"/>
    <col min="40" max="40" width="13.375" bestFit="1" customWidth="1"/>
    <col min="41" max="41" width="15.375" bestFit="1" customWidth="1"/>
    <col min="42" max="42" width="22.125" bestFit="1" customWidth="1"/>
    <col min="43" max="43" width="25.125" bestFit="1" customWidth="1"/>
    <col min="44" max="44" width="26.75" bestFit="1" customWidth="1"/>
    <col min="45" max="45" width="37.75" bestFit="1" customWidth="1"/>
    <col min="46" max="46" width="37.125" bestFit="1" customWidth="1"/>
    <col min="47" max="47" width="17.125" bestFit="1" customWidth="1"/>
    <col min="50" max="50" width="13.375" bestFit="1" customWidth="1"/>
    <col min="51" max="51" width="15.375" bestFit="1" customWidth="1"/>
    <col min="52" max="52" width="22.125" bestFit="1" customWidth="1"/>
    <col min="53" max="53" width="25.125" bestFit="1" customWidth="1"/>
    <col min="54" max="54" width="26.75" bestFit="1" customWidth="1"/>
    <col min="55" max="55" width="37.75" bestFit="1" customWidth="1"/>
    <col min="56" max="56" width="37.125" bestFit="1" customWidth="1"/>
    <col min="57" max="57" width="17.125" bestFit="1" customWidth="1"/>
    <col min="60" max="60" width="13.375" bestFit="1" customWidth="1"/>
    <col min="61" max="61" width="15.375" bestFit="1" customWidth="1"/>
    <col min="62" max="62" width="22.125" bestFit="1" customWidth="1"/>
    <col min="63" max="63" width="25.125" bestFit="1" customWidth="1"/>
    <col min="64" max="64" width="26.75" bestFit="1" customWidth="1"/>
    <col min="65" max="65" width="37.75" bestFit="1" customWidth="1"/>
    <col min="66" max="66" width="37.125" bestFit="1" customWidth="1"/>
    <col min="67" max="67" width="17.125" bestFit="1" customWidth="1"/>
    <col min="70" max="70" width="13.375" bestFit="1" customWidth="1"/>
    <col min="71" max="71" width="15.375" bestFit="1" customWidth="1"/>
    <col min="72" max="72" width="22.125" bestFit="1" customWidth="1"/>
    <col min="73" max="73" width="25.125" bestFit="1" customWidth="1"/>
    <col min="74" max="74" width="26.75" bestFit="1" customWidth="1"/>
    <col min="75" max="75" width="37.75" bestFit="1" customWidth="1"/>
    <col min="76" max="76" width="37.125" bestFit="1" customWidth="1"/>
    <col min="77" max="77" width="17.125" bestFit="1" customWidth="1"/>
    <col min="80" max="80" width="13.375" bestFit="1" customWidth="1"/>
    <col min="81" max="81" width="15.375" bestFit="1" customWidth="1"/>
    <col min="82" max="82" width="22.125" bestFit="1" customWidth="1"/>
    <col min="83" max="83" width="25.125" bestFit="1" customWidth="1"/>
    <col min="84" max="84" width="26.75" bestFit="1" customWidth="1"/>
    <col min="85" max="85" width="37.75" bestFit="1" customWidth="1"/>
    <col min="86" max="86" width="37.125" bestFit="1" customWidth="1"/>
    <col min="87" max="87" width="17.125" bestFit="1" customWidth="1"/>
    <col min="90" max="90" width="13.375" bestFit="1" customWidth="1"/>
    <col min="91" max="91" width="15.375" bestFit="1" customWidth="1"/>
    <col min="92" max="92" width="22.125" bestFit="1" customWidth="1"/>
    <col min="93" max="93" width="25.125" bestFit="1" customWidth="1"/>
    <col min="94" max="94" width="26.75" bestFit="1" customWidth="1"/>
    <col min="95" max="95" width="37.75" bestFit="1" customWidth="1"/>
    <col min="96" max="96" width="37.125" bestFit="1" customWidth="1"/>
    <col min="97" max="97" width="17.125" bestFit="1" customWidth="1"/>
    <col min="100" max="100" width="13.375" bestFit="1" customWidth="1"/>
    <col min="101" max="101" width="15.375" bestFit="1" customWidth="1"/>
    <col min="102" max="102" width="22.125" bestFit="1" customWidth="1"/>
    <col min="103" max="103" width="25.125" bestFit="1" customWidth="1"/>
    <col min="104" max="104" width="26.75" bestFit="1" customWidth="1"/>
    <col min="105" max="105" width="37.75" bestFit="1" customWidth="1"/>
    <col min="106" max="106" width="37.125" bestFit="1" customWidth="1"/>
    <col min="107" max="107" width="17.125" bestFit="1" customWidth="1"/>
    <col min="110" max="110" width="13.375" bestFit="1" customWidth="1"/>
    <col min="111" max="111" width="15.375" bestFit="1" customWidth="1"/>
    <col min="112" max="112" width="22.125" bestFit="1" customWidth="1"/>
    <col min="113" max="113" width="25.125" bestFit="1" customWidth="1"/>
    <col min="114" max="114" width="26.75" bestFit="1" customWidth="1"/>
    <col min="115" max="115" width="37.75" bestFit="1" customWidth="1"/>
    <col min="116" max="116" width="37.125" bestFit="1" customWidth="1"/>
    <col min="117" max="117" width="17.125" bestFit="1" customWidth="1"/>
    <col min="120" max="120" width="13.375" bestFit="1" customWidth="1"/>
    <col min="121" max="121" width="15.375" bestFit="1" customWidth="1"/>
    <col min="122" max="122" width="22.125" bestFit="1" customWidth="1"/>
    <col min="123" max="123" width="25.125" bestFit="1" customWidth="1"/>
    <col min="124" max="124" width="26.75" bestFit="1" customWidth="1"/>
    <col min="125" max="125" width="37.75" bestFit="1" customWidth="1"/>
    <col min="126" max="126" width="37.125" bestFit="1" customWidth="1"/>
    <col min="127" max="127" width="17.125" bestFit="1" customWidth="1"/>
    <col min="130" max="130" width="13.375" bestFit="1" customWidth="1"/>
    <col min="131" max="131" width="15.375" bestFit="1" customWidth="1"/>
    <col min="132" max="132" width="22.125" bestFit="1" customWidth="1"/>
    <col min="133" max="133" width="25.125" bestFit="1" customWidth="1"/>
    <col min="134" max="134" width="26.75" bestFit="1" customWidth="1"/>
    <col min="135" max="135" width="37.75" bestFit="1" customWidth="1"/>
    <col min="136" max="136" width="37.125" bestFit="1" customWidth="1"/>
    <col min="137" max="137" width="17.125" bestFit="1" customWidth="1"/>
    <col min="140" max="140" width="13.375" bestFit="1" customWidth="1"/>
    <col min="141" max="141" width="15.375" bestFit="1" customWidth="1"/>
    <col min="142" max="142" width="22.125" bestFit="1" customWidth="1"/>
    <col min="143" max="143" width="25.125" bestFit="1" customWidth="1"/>
    <col min="144" max="144" width="26.75" bestFit="1" customWidth="1"/>
    <col min="145" max="145" width="37.75" bestFit="1" customWidth="1"/>
    <col min="146" max="146" width="37.125" bestFit="1" customWidth="1"/>
    <col min="147" max="147" width="17.125" bestFit="1" customWidth="1"/>
    <col min="150" max="150" width="13.375" bestFit="1" customWidth="1"/>
    <col min="151" max="151" width="15.375" bestFit="1" customWidth="1"/>
    <col min="152" max="152" width="22.125" bestFit="1" customWidth="1"/>
    <col min="153" max="153" width="25.125" bestFit="1" customWidth="1"/>
    <col min="154" max="154" width="26.75" bestFit="1" customWidth="1"/>
    <col min="155" max="155" width="37.75" bestFit="1" customWidth="1"/>
    <col min="156" max="156" width="37.125" bestFit="1" customWidth="1"/>
    <col min="157" max="157" width="17.125" bestFit="1" customWidth="1"/>
    <col min="160" max="160" width="13.375" bestFit="1" customWidth="1"/>
    <col min="161" max="161" width="15.375" bestFit="1" customWidth="1"/>
    <col min="162" max="162" width="22.125" bestFit="1" customWidth="1"/>
    <col min="163" max="163" width="25.125" bestFit="1" customWidth="1"/>
    <col min="164" max="164" width="26.75" bestFit="1" customWidth="1"/>
    <col min="165" max="165" width="37.75" bestFit="1" customWidth="1"/>
    <col min="166" max="166" width="37.125" bestFit="1" customWidth="1"/>
    <col min="167" max="167" width="17.125" bestFit="1" customWidth="1"/>
    <col min="170" max="170" width="13.375" bestFit="1" customWidth="1"/>
    <col min="171" max="171" width="15.375" bestFit="1" customWidth="1"/>
    <col min="172" max="172" width="22.125" bestFit="1" customWidth="1"/>
    <col min="173" max="173" width="25.125" bestFit="1" customWidth="1"/>
    <col min="174" max="174" width="26.75" bestFit="1" customWidth="1"/>
    <col min="175" max="175" width="37.75" bestFit="1" customWidth="1"/>
    <col min="176" max="176" width="37.125" bestFit="1" customWidth="1"/>
    <col min="177" max="177" width="17.125" bestFit="1" customWidth="1"/>
  </cols>
  <sheetData>
    <row r="1" spans="1:177" ht="54" customHeight="1" thickBot="1" x14ac:dyDescent="0.35">
      <c r="A1" s="280" t="s">
        <v>226</v>
      </c>
      <c r="B1" s="521" t="str">
        <f>NOMBRE_DEL_PROYECTO</f>
        <v>MYT ENERGY PARQUE FOTOVOLTAICO TEPUY 108 MW</v>
      </c>
      <c r="C1" s="522"/>
      <c r="D1" s="522"/>
      <c r="E1" s="522"/>
      <c r="F1" s="522"/>
      <c r="G1" s="522"/>
      <c r="H1" s="522"/>
      <c r="I1" s="523"/>
    </row>
    <row r="2" spans="1:177" ht="24.75" customHeight="1" thickBot="1" x14ac:dyDescent="0.35">
      <c r="A2" s="280" t="s">
        <v>231</v>
      </c>
      <c r="B2" s="524">
        <f ca="1">FECHA</f>
        <v>45726</v>
      </c>
      <c r="C2" s="525"/>
      <c r="D2" s="525"/>
      <c r="E2" s="525"/>
      <c r="F2" s="525"/>
      <c r="G2" s="525"/>
      <c r="H2" s="525"/>
      <c r="I2" s="526"/>
    </row>
    <row r="3" spans="1:177" ht="30" customHeight="1" thickBot="1" x14ac:dyDescent="0.35">
      <c r="A3" s="280" t="s">
        <v>230</v>
      </c>
      <c r="B3" s="533">
        <f>+DURCION_PROYECTO</f>
        <v>3</v>
      </c>
      <c r="C3" s="534"/>
      <c r="D3" s="534"/>
      <c r="E3" s="534"/>
      <c r="F3" s="534"/>
      <c r="G3" s="534"/>
      <c r="H3" s="534"/>
      <c r="I3" s="535"/>
    </row>
    <row r="4" spans="1:177" ht="32.25" customHeight="1" thickBot="1" x14ac:dyDescent="0.35">
      <c r="A4" s="536" t="s">
        <v>132</v>
      </c>
      <c r="B4" s="537"/>
      <c r="C4" s="537"/>
      <c r="D4" s="537"/>
      <c r="E4" s="537"/>
      <c r="F4" s="537"/>
      <c r="G4" s="537"/>
      <c r="H4" s="537"/>
      <c r="I4" s="538"/>
    </row>
    <row r="5" spans="1:177" ht="18" customHeight="1" thickBot="1" x14ac:dyDescent="0.35">
      <c r="B5" s="43"/>
      <c r="D5" s="1"/>
      <c r="E5" s="19"/>
      <c r="F5" s="1"/>
    </row>
    <row r="6" spans="1:177" ht="18" customHeight="1" x14ac:dyDescent="0.3">
      <c r="B6" s="539" t="s">
        <v>113</v>
      </c>
      <c r="C6" s="540"/>
      <c r="D6" s="540"/>
      <c r="E6" s="541"/>
      <c r="F6" s="1"/>
    </row>
    <row r="7" spans="1:177" ht="18" customHeight="1" x14ac:dyDescent="0.3">
      <c r="B7" s="542"/>
      <c r="C7" s="543"/>
      <c r="D7" s="543"/>
      <c r="E7" s="544"/>
      <c r="F7" s="1"/>
    </row>
    <row r="8" spans="1:177" ht="18" customHeight="1" thickBot="1" x14ac:dyDescent="0.35">
      <c r="B8" s="545"/>
      <c r="C8" s="546"/>
      <c r="D8" s="546"/>
      <c r="E8" s="547"/>
      <c r="F8" s="1"/>
    </row>
    <row r="9" spans="1:177" ht="17.25" thickBot="1" x14ac:dyDescent="0.35"/>
    <row r="10" spans="1:177" ht="27" thickBot="1" x14ac:dyDescent="0.5">
      <c r="A10" s="530" t="s">
        <v>44</v>
      </c>
      <c r="B10" s="531"/>
      <c r="C10" s="531"/>
      <c r="D10" s="531"/>
      <c r="E10" s="531"/>
      <c r="F10" s="532"/>
      <c r="G10" s="531">
        <v>1</v>
      </c>
      <c r="H10" s="531"/>
      <c r="K10" s="530" t="s">
        <v>44</v>
      </c>
      <c r="L10" s="531"/>
      <c r="M10" s="531"/>
      <c r="N10" s="531"/>
      <c r="O10" s="531"/>
      <c r="P10" s="532"/>
      <c r="Q10" s="531">
        <v>2</v>
      </c>
      <c r="R10" s="531"/>
      <c r="U10" s="530" t="s">
        <v>44</v>
      </c>
      <c r="V10" s="531"/>
      <c r="W10" s="531"/>
      <c r="X10" s="531"/>
      <c r="Y10" s="531"/>
      <c r="Z10" s="532"/>
      <c r="AA10" s="531">
        <v>3</v>
      </c>
      <c r="AB10" s="531"/>
      <c r="AD10" s="530" t="s">
        <v>44</v>
      </c>
      <c r="AE10" s="531"/>
      <c r="AF10" s="531"/>
      <c r="AG10" s="531"/>
      <c r="AH10" s="531"/>
      <c r="AI10" s="532"/>
      <c r="AJ10" s="531">
        <v>4</v>
      </c>
      <c r="AK10" s="531"/>
      <c r="AN10" s="530" t="s">
        <v>44</v>
      </c>
      <c r="AO10" s="531"/>
      <c r="AP10" s="531"/>
      <c r="AQ10" s="531"/>
      <c r="AR10" s="531"/>
      <c r="AS10" s="532"/>
      <c r="AT10" s="531">
        <v>5</v>
      </c>
      <c r="AU10" s="531"/>
      <c r="AX10" s="530" t="s">
        <v>44</v>
      </c>
      <c r="AY10" s="531"/>
      <c r="AZ10" s="531"/>
      <c r="BA10" s="531"/>
      <c r="BB10" s="531"/>
      <c r="BC10" s="532"/>
      <c r="BD10" s="531">
        <v>6</v>
      </c>
      <c r="BE10" s="531"/>
      <c r="BH10" s="530" t="s">
        <v>44</v>
      </c>
      <c r="BI10" s="531"/>
      <c r="BJ10" s="531"/>
      <c r="BK10" s="531"/>
      <c r="BL10" s="531"/>
      <c r="BM10" s="532"/>
      <c r="BN10" s="531">
        <v>7</v>
      </c>
      <c r="BO10" s="531"/>
      <c r="BR10" s="530" t="s">
        <v>44</v>
      </c>
      <c r="BS10" s="531"/>
      <c r="BT10" s="531"/>
      <c r="BU10" s="531"/>
      <c r="BV10" s="531"/>
      <c r="BW10" s="532"/>
      <c r="BX10" s="531">
        <v>8</v>
      </c>
      <c r="BY10" s="531"/>
      <c r="CB10" s="530" t="s">
        <v>44</v>
      </c>
      <c r="CC10" s="531"/>
      <c r="CD10" s="531"/>
      <c r="CE10" s="531"/>
      <c r="CF10" s="531"/>
      <c r="CG10" s="532"/>
      <c r="CH10" s="531">
        <v>9</v>
      </c>
      <c r="CI10" s="531"/>
      <c r="CL10" s="530" t="s">
        <v>44</v>
      </c>
      <c r="CM10" s="531"/>
      <c r="CN10" s="531"/>
      <c r="CO10" s="531"/>
      <c r="CP10" s="531"/>
      <c r="CQ10" s="532"/>
      <c r="CR10" s="531">
        <v>10</v>
      </c>
      <c r="CS10" s="531"/>
      <c r="CV10" s="530" t="s">
        <v>44</v>
      </c>
      <c r="CW10" s="531"/>
      <c r="CX10" s="531"/>
      <c r="CY10" s="531"/>
      <c r="CZ10" s="531"/>
      <c r="DA10" s="532"/>
      <c r="DB10" s="531">
        <v>11</v>
      </c>
      <c r="DC10" s="531"/>
      <c r="DF10" s="530" t="s">
        <v>44</v>
      </c>
      <c r="DG10" s="531"/>
      <c r="DH10" s="531"/>
      <c r="DI10" s="531"/>
      <c r="DJ10" s="531"/>
      <c r="DK10" s="532"/>
      <c r="DL10" s="531">
        <v>12</v>
      </c>
      <c r="DM10" s="531"/>
      <c r="DP10" s="530" t="s">
        <v>44</v>
      </c>
      <c r="DQ10" s="531"/>
      <c r="DR10" s="531"/>
      <c r="DS10" s="531"/>
      <c r="DT10" s="531"/>
      <c r="DU10" s="532"/>
      <c r="DV10" s="531">
        <v>13</v>
      </c>
      <c r="DW10" s="531"/>
      <c r="DZ10" s="530" t="s">
        <v>44</v>
      </c>
      <c r="EA10" s="531"/>
      <c r="EB10" s="531"/>
      <c r="EC10" s="531"/>
      <c r="ED10" s="531"/>
      <c r="EE10" s="532"/>
      <c r="EF10" s="531">
        <v>14</v>
      </c>
      <c r="EG10" s="531"/>
      <c r="EJ10" s="530" t="s">
        <v>44</v>
      </c>
      <c r="EK10" s="531"/>
      <c r="EL10" s="531"/>
      <c r="EM10" s="531"/>
      <c r="EN10" s="531"/>
      <c r="EO10" s="532"/>
      <c r="EP10" s="531">
        <v>15</v>
      </c>
      <c r="EQ10" s="531"/>
      <c r="ET10" s="530" t="s">
        <v>44</v>
      </c>
      <c r="EU10" s="531"/>
      <c r="EV10" s="531"/>
      <c r="EW10" s="531"/>
      <c r="EX10" s="531"/>
      <c r="EY10" s="532"/>
      <c r="EZ10" s="531">
        <v>16</v>
      </c>
      <c r="FA10" s="531"/>
      <c r="FD10" s="530" t="s">
        <v>44</v>
      </c>
      <c r="FE10" s="531"/>
      <c r="FF10" s="531"/>
      <c r="FG10" s="531"/>
      <c r="FH10" s="531"/>
      <c r="FI10" s="532"/>
      <c r="FJ10" s="531">
        <v>17</v>
      </c>
      <c r="FK10" s="531"/>
      <c r="FN10" s="530" t="s">
        <v>44</v>
      </c>
      <c r="FO10" s="531"/>
      <c r="FP10" s="531"/>
      <c r="FQ10" s="531"/>
      <c r="FR10" s="531"/>
      <c r="FS10" s="532"/>
      <c r="FT10" s="531">
        <v>18</v>
      </c>
      <c r="FU10" s="531"/>
    </row>
    <row r="11" spans="1:177" ht="27" thickBot="1" x14ac:dyDescent="0.5">
      <c r="A11" s="548"/>
      <c r="B11" s="549"/>
      <c r="C11" s="549"/>
      <c r="D11" s="549"/>
      <c r="E11" s="549"/>
      <c r="F11" s="549"/>
      <c r="G11" s="549"/>
      <c r="H11" s="550"/>
      <c r="K11" s="548"/>
      <c r="L11" s="549"/>
      <c r="M11" s="549"/>
      <c r="N11" s="549"/>
      <c r="O11" s="549"/>
      <c r="P11" s="549"/>
      <c r="Q11" s="549"/>
      <c r="R11" s="550"/>
      <c r="U11" s="548"/>
      <c r="V11" s="549"/>
      <c r="W11" s="549"/>
      <c r="X11" s="549"/>
      <c r="Y11" s="549"/>
      <c r="Z11" s="549"/>
      <c r="AA11" s="549"/>
      <c r="AB11" s="550"/>
      <c r="AD11" s="548"/>
      <c r="AE11" s="549"/>
      <c r="AF11" s="549"/>
      <c r="AG11" s="549"/>
      <c r="AH11" s="549"/>
      <c r="AI11" s="549"/>
      <c r="AJ11" s="549"/>
      <c r="AK11" s="550"/>
      <c r="AN11" s="548"/>
      <c r="AO11" s="549"/>
      <c r="AP11" s="549"/>
      <c r="AQ11" s="549"/>
      <c r="AR11" s="549"/>
      <c r="AS11" s="549"/>
      <c r="AT11" s="549"/>
      <c r="AU11" s="550"/>
      <c r="AX11" s="548"/>
      <c r="AY11" s="549"/>
      <c r="AZ11" s="549"/>
      <c r="BA11" s="549"/>
      <c r="BB11" s="549"/>
      <c r="BC11" s="549"/>
      <c r="BD11" s="549"/>
      <c r="BE11" s="550"/>
      <c r="BH11" s="548"/>
      <c r="BI11" s="549"/>
      <c r="BJ11" s="549"/>
      <c r="BK11" s="549"/>
      <c r="BL11" s="549"/>
      <c r="BM11" s="549"/>
      <c r="BN11" s="549"/>
      <c r="BO11" s="550"/>
      <c r="BR11" s="548"/>
      <c r="BS11" s="549"/>
      <c r="BT11" s="549"/>
      <c r="BU11" s="549"/>
      <c r="BV11" s="549"/>
      <c r="BW11" s="549"/>
      <c r="BX11" s="549"/>
      <c r="BY11" s="550"/>
      <c r="CB11" s="548"/>
      <c r="CC11" s="549"/>
      <c r="CD11" s="549"/>
      <c r="CE11" s="549"/>
      <c r="CF11" s="549"/>
      <c r="CG11" s="549"/>
      <c r="CH11" s="549"/>
      <c r="CI11" s="550"/>
      <c r="CL11" s="548"/>
      <c r="CM11" s="549"/>
      <c r="CN11" s="549"/>
      <c r="CO11" s="549"/>
      <c r="CP11" s="549"/>
      <c r="CQ11" s="549"/>
      <c r="CR11" s="549"/>
      <c r="CS11" s="550"/>
      <c r="CV11" s="548"/>
      <c r="CW11" s="549"/>
      <c r="CX11" s="549"/>
      <c r="CY11" s="549"/>
      <c r="CZ11" s="549"/>
      <c r="DA11" s="549"/>
      <c r="DB11" s="549"/>
      <c r="DC11" s="550"/>
      <c r="DF11" s="548"/>
      <c r="DG11" s="549"/>
      <c r="DH11" s="549"/>
      <c r="DI11" s="549"/>
      <c r="DJ11" s="549"/>
      <c r="DK11" s="549"/>
      <c r="DL11" s="549"/>
      <c r="DM11" s="550"/>
      <c r="DP11" s="548"/>
      <c r="DQ11" s="549"/>
      <c r="DR11" s="549"/>
      <c r="DS11" s="549"/>
      <c r="DT11" s="549"/>
      <c r="DU11" s="549"/>
      <c r="DV11" s="549"/>
      <c r="DW11" s="550"/>
      <c r="DZ11" s="548"/>
      <c r="EA11" s="549"/>
      <c r="EB11" s="549"/>
      <c r="EC11" s="549"/>
      <c r="ED11" s="549"/>
      <c r="EE11" s="549"/>
      <c r="EF11" s="549"/>
      <c r="EG11" s="550"/>
      <c r="EJ11" s="548"/>
      <c r="EK11" s="549"/>
      <c r="EL11" s="549"/>
      <c r="EM11" s="549"/>
      <c r="EN11" s="549"/>
      <c r="EO11" s="549"/>
      <c r="EP11" s="549"/>
      <c r="EQ11" s="550"/>
      <c r="ET11" s="548"/>
      <c r="EU11" s="549"/>
      <c r="EV11" s="549"/>
      <c r="EW11" s="549"/>
      <c r="EX11" s="549"/>
      <c r="EY11" s="549"/>
      <c r="EZ11" s="549"/>
      <c r="FA11" s="550"/>
      <c r="FD11" s="548"/>
      <c r="FE11" s="549"/>
      <c r="FF11" s="549"/>
      <c r="FG11" s="549"/>
      <c r="FH11" s="549"/>
      <c r="FI11" s="549"/>
      <c r="FJ11" s="549"/>
      <c r="FK11" s="550"/>
      <c r="FN11" s="548"/>
      <c r="FO11" s="549"/>
      <c r="FP11" s="549"/>
      <c r="FQ11" s="549"/>
      <c r="FR11" s="549"/>
      <c r="FS11" s="549"/>
      <c r="FT11" s="549"/>
      <c r="FU11" s="550"/>
    </row>
    <row r="12" spans="1:177" x14ac:dyDescent="0.3">
      <c r="A12" s="9"/>
      <c r="B12" s="9" t="s">
        <v>23</v>
      </c>
      <c r="C12" t="s">
        <v>24</v>
      </c>
      <c r="D12" t="s">
        <v>25</v>
      </c>
      <c r="E12" t="s">
        <v>26</v>
      </c>
      <c r="F12" t="s">
        <v>27</v>
      </c>
      <c r="G12" t="s">
        <v>211</v>
      </c>
      <c r="H12" s="11"/>
      <c r="K12" s="9"/>
      <c r="L12" s="9" t="s">
        <v>23</v>
      </c>
      <c r="M12" t="s">
        <v>24</v>
      </c>
      <c r="N12" t="s">
        <v>25</v>
      </c>
      <c r="O12" t="s">
        <v>26</v>
      </c>
      <c r="P12" t="s">
        <v>27</v>
      </c>
      <c r="Q12" t="s">
        <v>28</v>
      </c>
      <c r="R12" s="11"/>
      <c r="U12" s="9"/>
      <c r="V12" s="9" t="s">
        <v>23</v>
      </c>
      <c r="W12" t="s">
        <v>24</v>
      </c>
      <c r="X12" t="s">
        <v>25</v>
      </c>
      <c r="Y12" t="s">
        <v>26</v>
      </c>
      <c r="Z12" t="s">
        <v>27</v>
      </c>
      <c r="AA12" t="s">
        <v>28</v>
      </c>
      <c r="AB12" s="11"/>
      <c r="AD12" s="9"/>
      <c r="AE12" s="9" t="s">
        <v>23</v>
      </c>
      <c r="AF12" t="s">
        <v>24</v>
      </c>
      <c r="AG12" t="s">
        <v>25</v>
      </c>
      <c r="AH12" t="s">
        <v>26</v>
      </c>
      <c r="AI12" t="s">
        <v>27</v>
      </c>
      <c r="AJ12" t="s">
        <v>28</v>
      </c>
      <c r="AK12" s="11"/>
      <c r="AN12" s="9"/>
      <c r="AO12" s="9" t="s">
        <v>23</v>
      </c>
      <c r="AP12" t="s">
        <v>24</v>
      </c>
      <c r="AQ12" t="s">
        <v>25</v>
      </c>
      <c r="AR12" t="s">
        <v>26</v>
      </c>
      <c r="AS12" t="s">
        <v>27</v>
      </c>
      <c r="AT12" t="s">
        <v>28</v>
      </c>
      <c r="AU12" s="11"/>
      <c r="AX12" s="9"/>
      <c r="AY12" s="9" t="s">
        <v>23</v>
      </c>
      <c r="AZ12" t="s">
        <v>24</v>
      </c>
      <c r="BA12" t="s">
        <v>25</v>
      </c>
      <c r="BB12" t="s">
        <v>26</v>
      </c>
      <c r="BC12" t="s">
        <v>27</v>
      </c>
      <c r="BD12" t="s">
        <v>28</v>
      </c>
      <c r="BE12" s="11"/>
      <c r="BH12" s="9"/>
      <c r="BI12" s="9" t="s">
        <v>23</v>
      </c>
      <c r="BJ12" t="s">
        <v>24</v>
      </c>
      <c r="BK12" t="s">
        <v>25</v>
      </c>
      <c r="BL12" t="s">
        <v>26</v>
      </c>
      <c r="BM12" t="s">
        <v>27</v>
      </c>
      <c r="BN12" t="s">
        <v>28</v>
      </c>
      <c r="BO12" s="11"/>
      <c r="BR12" s="9"/>
      <c r="BS12" s="9" t="s">
        <v>23</v>
      </c>
      <c r="BT12" t="s">
        <v>24</v>
      </c>
      <c r="BU12" t="s">
        <v>25</v>
      </c>
      <c r="BV12" t="s">
        <v>26</v>
      </c>
      <c r="BW12" t="s">
        <v>27</v>
      </c>
      <c r="BX12" t="s">
        <v>28</v>
      </c>
      <c r="BY12" s="11"/>
      <c r="CB12" s="9"/>
      <c r="CC12" s="9" t="s">
        <v>23</v>
      </c>
      <c r="CD12" t="s">
        <v>24</v>
      </c>
      <c r="CE12" t="s">
        <v>25</v>
      </c>
      <c r="CF12" t="s">
        <v>26</v>
      </c>
      <c r="CG12" t="s">
        <v>27</v>
      </c>
      <c r="CH12" t="s">
        <v>28</v>
      </c>
      <c r="CI12" s="11"/>
      <c r="CL12" s="9"/>
      <c r="CM12" s="9" t="s">
        <v>23</v>
      </c>
      <c r="CN12" t="s">
        <v>24</v>
      </c>
      <c r="CO12" t="s">
        <v>25</v>
      </c>
      <c r="CP12" t="s">
        <v>26</v>
      </c>
      <c r="CQ12" t="s">
        <v>27</v>
      </c>
      <c r="CR12" t="s">
        <v>28</v>
      </c>
      <c r="CS12" s="11"/>
      <c r="CV12" s="9"/>
      <c r="CW12" s="9" t="s">
        <v>23</v>
      </c>
      <c r="CX12" t="s">
        <v>24</v>
      </c>
      <c r="CY12" t="s">
        <v>25</v>
      </c>
      <c r="CZ12" t="s">
        <v>26</v>
      </c>
      <c r="DA12" t="s">
        <v>27</v>
      </c>
      <c r="DB12" t="s">
        <v>28</v>
      </c>
      <c r="DC12" s="11"/>
      <c r="DF12" s="9"/>
      <c r="DG12" s="9" t="s">
        <v>23</v>
      </c>
      <c r="DH12" t="s">
        <v>24</v>
      </c>
      <c r="DI12" t="s">
        <v>25</v>
      </c>
      <c r="DJ12" t="s">
        <v>26</v>
      </c>
      <c r="DK12" t="s">
        <v>27</v>
      </c>
      <c r="DL12" t="s">
        <v>28</v>
      </c>
      <c r="DM12" s="11"/>
      <c r="DP12" s="9"/>
      <c r="DQ12" s="9" t="s">
        <v>23</v>
      </c>
      <c r="DR12" t="s">
        <v>24</v>
      </c>
      <c r="DS12" t="s">
        <v>25</v>
      </c>
      <c r="DT12" t="s">
        <v>26</v>
      </c>
      <c r="DU12" t="s">
        <v>27</v>
      </c>
      <c r="DV12" t="s">
        <v>28</v>
      </c>
      <c r="DW12" s="11"/>
      <c r="DZ12" s="9"/>
      <c r="EA12" s="9" t="s">
        <v>23</v>
      </c>
      <c r="EB12" t="s">
        <v>24</v>
      </c>
      <c r="EC12" t="s">
        <v>25</v>
      </c>
      <c r="ED12" t="s">
        <v>26</v>
      </c>
      <c r="EE12" t="s">
        <v>27</v>
      </c>
      <c r="EF12" t="s">
        <v>28</v>
      </c>
      <c r="EG12" s="11"/>
      <c r="EJ12" s="9"/>
      <c r="EK12" s="9" t="s">
        <v>23</v>
      </c>
      <c r="EL12" t="s">
        <v>24</v>
      </c>
      <c r="EM12" t="s">
        <v>25</v>
      </c>
      <c r="EN12" t="s">
        <v>26</v>
      </c>
      <c r="EO12" t="s">
        <v>27</v>
      </c>
      <c r="EP12" t="s">
        <v>28</v>
      </c>
      <c r="EQ12" s="11"/>
      <c r="ET12" s="9"/>
      <c r="EU12" s="9" t="s">
        <v>23</v>
      </c>
      <c r="EV12" t="s">
        <v>24</v>
      </c>
      <c r="EW12" t="s">
        <v>25</v>
      </c>
      <c r="EX12" t="s">
        <v>26</v>
      </c>
      <c r="EY12" t="s">
        <v>27</v>
      </c>
      <c r="EZ12" t="s">
        <v>28</v>
      </c>
      <c r="FA12" s="11"/>
      <c r="FD12" s="9"/>
      <c r="FE12" s="9" t="s">
        <v>23</v>
      </c>
      <c r="FF12" t="s">
        <v>24</v>
      </c>
      <c r="FG12" t="s">
        <v>25</v>
      </c>
      <c r="FH12" t="s">
        <v>26</v>
      </c>
      <c r="FI12" t="s">
        <v>27</v>
      </c>
      <c r="FJ12" t="s">
        <v>28</v>
      </c>
      <c r="FK12" s="11"/>
      <c r="FN12" s="9"/>
      <c r="FO12" s="9" t="s">
        <v>23</v>
      </c>
      <c r="FP12" t="s">
        <v>24</v>
      </c>
      <c r="FQ12" t="s">
        <v>25</v>
      </c>
      <c r="FR12" t="s">
        <v>26</v>
      </c>
      <c r="FS12" t="s">
        <v>27</v>
      </c>
      <c r="FT12" t="s">
        <v>28</v>
      </c>
      <c r="FU12" s="11"/>
    </row>
    <row r="13" spans="1:177" x14ac:dyDescent="0.3">
      <c r="A13" s="9"/>
      <c r="B13" s="9" t="s">
        <v>301</v>
      </c>
      <c r="C13" s="10">
        <v>1</v>
      </c>
      <c r="D13" s="166">
        <f t="shared" ref="D13:D34" si="0">+IF(B13="","",INDEX(V_MANODEOBRA_MENSUAL,MATCH(B13,L_PERSONAL,0)))</f>
        <v>10800000</v>
      </c>
      <c r="E13" s="167">
        <f t="shared" ref="E13:E34" si="1">+IF(D13="","",INDEX(F_PRESTACIONAL,MATCH(B13,L_PERSONAL,0)))</f>
        <v>1.7740888888888888</v>
      </c>
      <c r="F13" s="165">
        <f>+IF(D13="","",E13*D13)</f>
        <v>19160160</v>
      </c>
      <c r="G13" s="165">
        <f t="shared" ref="G13:G34" si="2">+IF(F13="","",F13*C13)</f>
        <v>19160160</v>
      </c>
      <c r="H13" s="11"/>
      <c r="K13" s="9"/>
      <c r="L13" s="9" t="s">
        <v>301</v>
      </c>
      <c r="M13" s="10">
        <v>1</v>
      </c>
      <c r="N13" s="166">
        <f t="shared" ref="N13:N30" si="3">+IF(L13="","",INDEX(V_MANODEOBRA_MENSUAL,MATCH(L13,L_PERSONAL,0)))</f>
        <v>10800000</v>
      </c>
      <c r="O13" s="167">
        <f t="shared" ref="O13:O30" si="4">+IF(N13="","",INDEX(F_PRESTACIONAL,MATCH(L13,L_PERSONAL,0)))</f>
        <v>1.7740888888888888</v>
      </c>
      <c r="P13" s="165">
        <f>+IF(N13="","",O13*N13)</f>
        <v>19160160</v>
      </c>
      <c r="Q13" s="136">
        <f>+IF(P13="","",P13*M13)</f>
        <v>19160160</v>
      </c>
      <c r="R13" s="11"/>
      <c r="U13" s="9"/>
      <c r="V13" s="9" t="s">
        <v>301</v>
      </c>
      <c r="W13" s="10">
        <v>1</v>
      </c>
      <c r="X13" s="166">
        <f t="shared" ref="X13:X30" si="5">+IF(V13="","",INDEX(V_MANODEOBRA_MENSUAL,MATCH(V13,L_PERSONAL,0)))</f>
        <v>10800000</v>
      </c>
      <c r="Y13" s="167">
        <f t="shared" ref="Y13:Y30" si="6">+IF(X13="","",INDEX(F_PRESTACIONAL,MATCH(V13,L_PERSONAL,0)))</f>
        <v>1.7740888888888888</v>
      </c>
      <c r="Z13" s="165">
        <f>+IF(X13="","",Y13*X13)</f>
        <v>19160160</v>
      </c>
      <c r="AA13" s="165">
        <f>+IF(Z13="","",Z13*W13)</f>
        <v>19160160</v>
      </c>
      <c r="AB13" s="11"/>
      <c r="AD13" s="9"/>
      <c r="AE13" s="9"/>
      <c r="AF13" s="10"/>
      <c r="AG13" s="166" t="str">
        <f t="shared" ref="AG13:AG30" si="7">+IF(AE13="","",INDEX(V_MANODEOBRA_MENSUAL,MATCH(AE13,L_PERSONAL,0)))</f>
        <v/>
      </c>
      <c r="AH13" s="167" t="str">
        <f t="shared" ref="AH13:AH30" si="8">+IF(AG13="","",INDEX(F_PRESTACIONAL,MATCH(AE13,L_PERSONAL,0)))</f>
        <v/>
      </c>
      <c r="AI13" s="165" t="str">
        <f>+IF(AG13="","",AH13*AG13)</f>
        <v/>
      </c>
      <c r="AJ13" s="165" t="str">
        <f>+IF(AI13="","",AI13*AF13)</f>
        <v/>
      </c>
      <c r="AK13" s="11"/>
      <c r="AN13" s="9"/>
      <c r="AO13" s="9"/>
      <c r="AP13" s="10"/>
      <c r="AQ13" s="166" t="str">
        <f t="shared" ref="AQ13:AQ30" si="9">+IF(AO13="","",INDEX(V_MANODEOBRA_MENSUAL,MATCH(AO13,L_PERSONAL,0)))</f>
        <v/>
      </c>
      <c r="AR13" s="167" t="str">
        <f t="shared" ref="AR13:AR30" si="10">+IF(AQ13="","",INDEX(F_PRESTACIONAL,MATCH(AO13,L_PERSONAL,0)))</f>
        <v/>
      </c>
      <c r="AS13" s="165" t="str">
        <f>+IF(AQ13="","",AR13*AQ13)</f>
        <v/>
      </c>
      <c r="AT13" s="165" t="str">
        <f>+IF(AS13="","",AS13*AP13)</f>
        <v/>
      </c>
      <c r="AU13" s="11"/>
      <c r="AX13" s="9"/>
      <c r="AY13" s="9"/>
      <c r="AZ13" s="10"/>
      <c r="BA13" s="166" t="str">
        <f t="shared" ref="BA13:BA30" si="11">+IF(AY13="","",INDEX(V_MANODEOBRA_MENSUAL,MATCH(AY13,L_PERSONAL,0)))</f>
        <v/>
      </c>
      <c r="BB13" s="167" t="str">
        <f t="shared" ref="BB13:BB30" si="12">+IF(BA13="","",INDEX(F_PRESTACIONAL,MATCH(AY13,L_PERSONAL,0)))</f>
        <v/>
      </c>
      <c r="BC13" s="165" t="str">
        <f>+IF(BA13="","",BB13*BA13)</f>
        <v/>
      </c>
      <c r="BD13" s="165" t="str">
        <f>+IF(BC13="","",BC13*AZ13)</f>
        <v/>
      </c>
      <c r="BE13" s="11"/>
      <c r="BH13" s="9"/>
      <c r="BI13" s="9"/>
      <c r="BJ13" s="10"/>
      <c r="BK13" s="166" t="str">
        <f t="shared" ref="BK13:BK30" si="13">+IF(BI13="","",INDEX(V_MANODEOBRA_MENSUAL,MATCH(BI13,L_PERSONAL,0)))</f>
        <v/>
      </c>
      <c r="BL13" s="167" t="str">
        <f t="shared" ref="BL13:BL30" si="14">+IF(BK13="","",INDEX(F_PRESTACIONAL,MATCH(BI13,L_PERSONAL,0)))</f>
        <v/>
      </c>
      <c r="BM13" s="165" t="str">
        <f>+IF(BK13="","",BL13*BK13)</f>
        <v/>
      </c>
      <c r="BN13" s="165" t="str">
        <f>+IF(BM13="","",BM13*BJ13)</f>
        <v/>
      </c>
      <c r="BO13" s="11"/>
      <c r="BR13" s="9"/>
      <c r="BS13" s="9"/>
      <c r="BT13" s="10"/>
      <c r="BU13" s="166" t="str">
        <f t="shared" ref="BU13:BU30" si="15">+IF(BS13="","",INDEX(V_MANODEOBRA_MENSUAL,MATCH(BS13,L_PERSONAL,0)))</f>
        <v/>
      </c>
      <c r="BV13" s="167" t="str">
        <f t="shared" ref="BV13:BV30" si="16">+IF(BU13="","",INDEX(F_PRESTACIONAL,MATCH(BS13,L_PERSONAL,0)))</f>
        <v/>
      </c>
      <c r="BW13" s="165" t="str">
        <f>+IF(BU13="","",BV13*BU13)</f>
        <v/>
      </c>
      <c r="BX13" s="165" t="str">
        <f>+IF(BW13="","",BW13*BT13)</f>
        <v/>
      </c>
      <c r="BY13" s="11"/>
      <c r="CB13" s="9"/>
      <c r="CC13" s="9"/>
      <c r="CD13" s="10"/>
      <c r="CE13" s="166" t="str">
        <f t="shared" ref="CE13:CE30" si="17">+IF(CC13="","",INDEX(V_MANODEOBRA_MENSUAL,MATCH(CC13,L_PERSONAL,0)))</f>
        <v/>
      </c>
      <c r="CF13" s="167" t="str">
        <f t="shared" ref="CF13:CF30" si="18">+IF(CE13="","",INDEX(F_PRESTACIONAL,MATCH(CC13,L_PERSONAL,0)))</f>
        <v/>
      </c>
      <c r="CG13" s="165" t="str">
        <f>+IF(CE13="","",CF13*CE13)</f>
        <v/>
      </c>
      <c r="CH13" s="165" t="str">
        <f>+IF(CG13="","",CG13*CD13)</f>
        <v/>
      </c>
      <c r="CI13" s="11"/>
      <c r="CL13" s="9"/>
      <c r="CM13" s="9"/>
      <c r="CN13" s="10"/>
      <c r="CO13" s="166" t="str">
        <f t="shared" ref="CO13:CO30" si="19">+IF(CM13="","",INDEX(V_MANODEOBRA_MENSUAL,MATCH(CM13,L_PERSONAL,0)))</f>
        <v/>
      </c>
      <c r="CP13" s="167" t="str">
        <f t="shared" ref="CP13:CP30" si="20">+IF(CO13="","",INDEX(F_PRESTACIONAL,MATCH(CM13,L_PERSONAL,0)))</f>
        <v/>
      </c>
      <c r="CQ13" s="165" t="str">
        <f>+IF(CO13="","",CP13*CO13)</f>
        <v/>
      </c>
      <c r="CR13" s="165" t="str">
        <f>+IF(CQ13="","",CQ13*CN13)</f>
        <v/>
      </c>
      <c r="CS13" s="11"/>
      <c r="CV13" s="9"/>
      <c r="CW13" s="9"/>
      <c r="CX13" s="10"/>
      <c r="CY13" s="166" t="str">
        <f t="shared" ref="CY13:CY30" si="21">+IF(CW13="","",INDEX(V_MANODEOBRA_MENSUAL,MATCH(CW13,L_PERSONAL,0)))</f>
        <v/>
      </c>
      <c r="CZ13" s="167" t="str">
        <f t="shared" ref="CZ13:CZ30" si="22">+IF(CY13="","",INDEX(F_PRESTACIONAL,MATCH(CW13,L_PERSONAL,0)))</f>
        <v/>
      </c>
      <c r="DA13" s="165" t="str">
        <f>+IF(CY13="","",CZ13*CY13)</f>
        <v/>
      </c>
      <c r="DB13" s="165" t="str">
        <f>+IF(DA13="","",DA13*CX13)</f>
        <v/>
      </c>
      <c r="DC13" s="11"/>
      <c r="DF13" s="9"/>
      <c r="DG13" s="9"/>
      <c r="DH13" s="10"/>
      <c r="DI13" s="166" t="str">
        <f t="shared" ref="DI13:DI30" si="23">+IF(DG13="","",INDEX(V_MANODEOBRA_MENSUAL,MATCH(DG13,L_PERSONAL,0)))</f>
        <v/>
      </c>
      <c r="DJ13" s="167" t="str">
        <f t="shared" ref="DJ13:DJ30" si="24">+IF(DI13="","",INDEX(F_PRESTACIONAL,MATCH(DG13,L_PERSONAL,0)))</f>
        <v/>
      </c>
      <c r="DK13" s="165" t="str">
        <f>+IF(DI13="","",DJ13*DI13)</f>
        <v/>
      </c>
      <c r="DL13" s="165" t="str">
        <f>+IF(DK13="","",DK13*DH13)</f>
        <v/>
      </c>
      <c r="DM13" s="11"/>
      <c r="DP13" s="9"/>
      <c r="DQ13" s="9"/>
      <c r="DR13" s="10"/>
      <c r="DS13" s="166" t="str">
        <f t="shared" ref="DS13:DS30" si="25">+IF(DQ13="","",INDEX(V_MANODEOBRA_MENSUAL,MATCH(DQ13,L_PERSONAL,0)))</f>
        <v/>
      </c>
      <c r="DT13" s="167" t="str">
        <f t="shared" ref="DT13:DT30" si="26">+IF(DS13="","",INDEX(F_PRESTACIONAL,MATCH(DQ13,L_PERSONAL,0)))</f>
        <v/>
      </c>
      <c r="DU13" s="165" t="str">
        <f>+IF(DS13="","",DT13*DS13)</f>
        <v/>
      </c>
      <c r="DV13" s="165" t="str">
        <f>+IF(DU13="","",DU13*DR13)</f>
        <v/>
      </c>
      <c r="DW13" s="11"/>
      <c r="DZ13" s="9"/>
      <c r="EA13" s="9"/>
      <c r="EB13" s="10"/>
      <c r="EC13" s="166" t="str">
        <f t="shared" ref="EC13:EC30" si="27">+IF(EA13="","",INDEX(V_MANODEOBRA_MENSUAL,MATCH(EA13,L_PERSONAL,0)))</f>
        <v/>
      </c>
      <c r="ED13" s="167" t="str">
        <f t="shared" ref="ED13:ED30" si="28">+IF(EC13="","",INDEX(F_PRESTACIONAL,MATCH(EA13,L_PERSONAL,0)))</f>
        <v/>
      </c>
      <c r="EE13" s="165" t="str">
        <f>+IF(EC13="","",ED13*EC13)</f>
        <v/>
      </c>
      <c r="EF13" s="165" t="str">
        <f>+IF(EE13="","",EE13*EB13)</f>
        <v/>
      </c>
      <c r="EG13" s="11"/>
      <c r="EJ13" s="9"/>
      <c r="EK13" s="9"/>
      <c r="EL13" s="10"/>
      <c r="EM13" s="166" t="str">
        <f t="shared" ref="EM13:EM30" si="29">+IF(EK13="","",INDEX(V_MANODEOBRA_MENSUAL,MATCH(EK13,L_PERSONAL,0)))</f>
        <v/>
      </c>
      <c r="EN13" s="167" t="str">
        <f t="shared" ref="EN13:EN30" si="30">+IF(EM13="","",INDEX(F_PRESTACIONAL,MATCH(EK13,L_PERSONAL,0)))</f>
        <v/>
      </c>
      <c r="EO13" s="165" t="str">
        <f>+IF(EM13="","",EN13*EM13)</f>
        <v/>
      </c>
      <c r="EP13" s="165" t="str">
        <f>+IF(EO13="","",EO13*EL13)</f>
        <v/>
      </c>
      <c r="EQ13" s="11"/>
      <c r="ET13" s="9"/>
      <c r="EU13" s="9"/>
      <c r="EV13" s="10"/>
      <c r="EW13" s="166" t="str">
        <f t="shared" ref="EW13:EW30" si="31">+IF(EU13="","",INDEX(V_MANODEOBRA_MENSUAL,MATCH(EU13,L_PERSONAL,0)))</f>
        <v/>
      </c>
      <c r="EX13" s="167" t="str">
        <f t="shared" ref="EX13:EX30" si="32">+IF(EW13="","",INDEX(F_PRESTACIONAL,MATCH(EU13,L_PERSONAL,0)))</f>
        <v/>
      </c>
      <c r="EY13" s="165" t="str">
        <f>+IF(EW13="","",EX13*EW13)</f>
        <v/>
      </c>
      <c r="EZ13" s="165" t="str">
        <f>+IF(EY13="","",EY13*EV13)</f>
        <v/>
      </c>
      <c r="FA13" s="11"/>
      <c r="FD13" s="9"/>
      <c r="FE13" s="9"/>
      <c r="FF13" s="10"/>
      <c r="FG13" s="166" t="str">
        <f t="shared" ref="FG13:FG30" si="33">+IF(FE13="","",INDEX(V_MANODEOBRA_MENSUAL,MATCH(FE13,L_PERSONAL,0)))</f>
        <v/>
      </c>
      <c r="FH13" s="167" t="str">
        <f t="shared" ref="FH13:FH30" si="34">+IF(FG13="","",INDEX(F_PRESTACIONAL,MATCH(FE13,L_PERSONAL,0)))</f>
        <v/>
      </c>
      <c r="FI13" s="165" t="str">
        <f>+IF(FG13="","",FH13*FG13)</f>
        <v/>
      </c>
      <c r="FJ13" s="165" t="str">
        <f>+IF(FI13="","",FI13*FF13)</f>
        <v/>
      </c>
      <c r="FK13" s="11"/>
      <c r="FN13" s="9"/>
      <c r="FO13" s="9"/>
      <c r="FP13" s="10"/>
      <c r="FQ13" s="166" t="str">
        <f t="shared" ref="FQ13:FQ30" si="35">+IF(FO13="","",INDEX(V_MANODEOBRA_MENSUAL,MATCH(FO13,L_PERSONAL,0)))</f>
        <v/>
      </c>
      <c r="FR13" s="167" t="str">
        <f t="shared" ref="FR13:FR30" si="36">+IF(FQ13="","",INDEX(F_PRESTACIONAL,MATCH(FO13,L_PERSONAL,0)))</f>
        <v/>
      </c>
      <c r="FS13" s="165" t="str">
        <f>+IF(FQ13="","",FR13*FQ13)</f>
        <v/>
      </c>
      <c r="FT13" s="165" t="str">
        <f>+IF(FS13="","",FS13*FP13)</f>
        <v/>
      </c>
      <c r="FU13" s="11"/>
    </row>
    <row r="14" spans="1:177" x14ac:dyDescent="0.3">
      <c r="A14" s="9"/>
      <c r="B14" s="9" t="s">
        <v>592</v>
      </c>
      <c r="C14" s="10">
        <v>1</v>
      </c>
      <c r="D14" s="166">
        <f t="shared" si="0"/>
        <v>4000000</v>
      </c>
      <c r="E14" s="167">
        <f t="shared" si="1"/>
        <v>2.0102000000000002</v>
      </c>
      <c r="F14" s="165">
        <f t="shared" ref="F14:F30" si="37">+IF(D14="","",E14*D14)</f>
        <v>8040800.0000000009</v>
      </c>
      <c r="G14" s="165">
        <f t="shared" si="2"/>
        <v>8040800.0000000009</v>
      </c>
      <c r="H14" s="11"/>
      <c r="K14" s="9"/>
      <c r="L14" s="9" t="s">
        <v>592</v>
      </c>
      <c r="M14" s="10">
        <v>1</v>
      </c>
      <c r="N14" s="166">
        <f t="shared" si="3"/>
        <v>4000000</v>
      </c>
      <c r="O14" s="167">
        <f t="shared" si="4"/>
        <v>2.0102000000000002</v>
      </c>
      <c r="P14" s="165">
        <f t="shared" ref="P14:P21" si="38">+IF(N14="","",O14*N14)</f>
        <v>8040800.0000000009</v>
      </c>
      <c r="Q14" s="136">
        <f t="shared" ref="Q14:Q21" si="39">+IF(P14="","",P14*M14)</f>
        <v>8040800.0000000009</v>
      </c>
      <c r="R14" s="11"/>
      <c r="U14" s="9"/>
      <c r="V14" s="9" t="s">
        <v>592</v>
      </c>
      <c r="W14" s="10">
        <v>1</v>
      </c>
      <c r="X14" s="166">
        <f t="shared" si="5"/>
        <v>4000000</v>
      </c>
      <c r="Y14" s="167">
        <f t="shared" si="6"/>
        <v>2.0102000000000002</v>
      </c>
      <c r="Z14" s="165">
        <f t="shared" ref="Z14:Z21" si="40">+IF(X14="","",Y14*X14)</f>
        <v>8040800.0000000009</v>
      </c>
      <c r="AA14" s="165">
        <f t="shared" ref="AA14:AA21" si="41">+IF(Z14="","",Z14*W14)</f>
        <v>8040800.0000000009</v>
      </c>
      <c r="AB14" s="11"/>
      <c r="AD14" s="9"/>
      <c r="AE14" s="9"/>
      <c r="AF14" s="10"/>
      <c r="AG14" s="166" t="str">
        <f t="shared" si="7"/>
        <v/>
      </c>
      <c r="AH14" s="167" t="str">
        <f t="shared" si="8"/>
        <v/>
      </c>
      <c r="AI14" s="165" t="str">
        <f t="shared" ref="AI14:AI21" si="42">+IF(AG14="","",AH14*AG14)</f>
        <v/>
      </c>
      <c r="AJ14" s="165" t="str">
        <f t="shared" ref="AJ14:AJ21" si="43">+IF(AI14="","",AI14*AF14)</f>
        <v/>
      </c>
      <c r="AK14" s="11"/>
      <c r="AN14" s="9"/>
      <c r="AO14" s="9"/>
      <c r="AP14" s="10"/>
      <c r="AQ14" s="166" t="str">
        <f t="shared" si="9"/>
        <v/>
      </c>
      <c r="AR14" s="167" t="str">
        <f t="shared" si="10"/>
        <v/>
      </c>
      <c r="AS14" s="165" t="str">
        <f t="shared" ref="AS14:AS21" si="44">+IF(AQ14="","",AR14*AQ14)</f>
        <v/>
      </c>
      <c r="AT14" s="165" t="str">
        <f t="shared" ref="AT14:AT21" si="45">+IF(AS14="","",AS14*AP14)</f>
        <v/>
      </c>
      <c r="AU14" s="11"/>
      <c r="AX14" s="9"/>
      <c r="AY14" s="9"/>
      <c r="AZ14" s="10"/>
      <c r="BA14" s="166" t="str">
        <f t="shared" si="11"/>
        <v/>
      </c>
      <c r="BB14" s="167" t="str">
        <f t="shared" si="12"/>
        <v/>
      </c>
      <c r="BC14" s="165" t="str">
        <f t="shared" ref="BC14:BC21" si="46">+IF(BA14="","",BB14*BA14)</f>
        <v/>
      </c>
      <c r="BD14" s="165" t="str">
        <f t="shared" ref="BD14:BD21" si="47">+IF(BC14="","",BC14*AZ14)</f>
        <v/>
      </c>
      <c r="BE14" s="11"/>
      <c r="BH14" s="9"/>
      <c r="BI14" s="9"/>
      <c r="BJ14" s="10"/>
      <c r="BK14" s="166" t="str">
        <f t="shared" si="13"/>
        <v/>
      </c>
      <c r="BL14" s="167" t="str">
        <f t="shared" si="14"/>
        <v/>
      </c>
      <c r="BM14" s="165" t="str">
        <f t="shared" ref="BM14:BM21" si="48">+IF(BK14="","",BL14*BK14)</f>
        <v/>
      </c>
      <c r="BN14" s="165" t="str">
        <f t="shared" ref="BN14:BN21" si="49">+IF(BM14="","",BM14*BJ14)</f>
        <v/>
      </c>
      <c r="BO14" s="11"/>
      <c r="BR14" s="9"/>
      <c r="BS14" s="9"/>
      <c r="BT14" s="10"/>
      <c r="BU14" s="166" t="str">
        <f t="shared" si="15"/>
        <v/>
      </c>
      <c r="BV14" s="167" t="str">
        <f t="shared" si="16"/>
        <v/>
      </c>
      <c r="BW14" s="165" t="str">
        <f t="shared" ref="BW14:BW21" si="50">+IF(BU14="","",BV14*BU14)</f>
        <v/>
      </c>
      <c r="BX14" s="165" t="str">
        <f t="shared" ref="BX14:BX21" si="51">+IF(BW14="","",BW14*BT14)</f>
        <v/>
      </c>
      <c r="BY14" s="11"/>
      <c r="CB14" s="9"/>
      <c r="CC14" s="9"/>
      <c r="CD14" s="10"/>
      <c r="CE14" s="166" t="str">
        <f t="shared" si="17"/>
        <v/>
      </c>
      <c r="CF14" s="167" t="str">
        <f t="shared" si="18"/>
        <v/>
      </c>
      <c r="CG14" s="165" t="str">
        <f t="shared" ref="CG14:CG21" si="52">+IF(CE14="","",CF14*CE14)</f>
        <v/>
      </c>
      <c r="CH14" s="165" t="str">
        <f t="shared" ref="CH14:CH21" si="53">+IF(CG14="","",CG14*CD14)</f>
        <v/>
      </c>
      <c r="CI14" s="11"/>
      <c r="CL14" s="9"/>
      <c r="CM14" s="9"/>
      <c r="CN14" s="10"/>
      <c r="CO14" s="166" t="str">
        <f t="shared" si="19"/>
        <v/>
      </c>
      <c r="CP14" s="167" t="str">
        <f t="shared" si="20"/>
        <v/>
      </c>
      <c r="CQ14" s="165" t="str">
        <f t="shared" ref="CQ14:CQ21" si="54">+IF(CO14="","",CP14*CO14)</f>
        <v/>
      </c>
      <c r="CR14" s="165" t="str">
        <f t="shared" ref="CR14:CR21" si="55">+IF(CQ14="","",CQ14*CN14)</f>
        <v/>
      </c>
      <c r="CS14" s="11"/>
      <c r="CV14" s="9"/>
      <c r="CW14" s="9"/>
      <c r="CX14" s="10"/>
      <c r="CY14" s="166" t="str">
        <f t="shared" si="21"/>
        <v/>
      </c>
      <c r="CZ14" s="167" t="str">
        <f t="shared" si="22"/>
        <v/>
      </c>
      <c r="DA14" s="165" t="str">
        <f t="shared" ref="DA14:DA21" si="56">+IF(CY14="","",CZ14*CY14)</f>
        <v/>
      </c>
      <c r="DB14" s="165" t="str">
        <f t="shared" ref="DB14:DB21" si="57">+IF(DA14="","",DA14*CX14)</f>
        <v/>
      </c>
      <c r="DC14" s="11"/>
      <c r="DF14" s="9"/>
      <c r="DG14" s="9"/>
      <c r="DH14" s="10"/>
      <c r="DI14" s="166" t="str">
        <f t="shared" si="23"/>
        <v/>
      </c>
      <c r="DJ14" s="167" t="str">
        <f t="shared" si="24"/>
        <v/>
      </c>
      <c r="DK14" s="165" t="str">
        <f t="shared" ref="DK14:DK21" si="58">+IF(DI14="","",DJ14*DI14)</f>
        <v/>
      </c>
      <c r="DL14" s="165" t="str">
        <f t="shared" ref="DL14:DL21" si="59">+IF(DK14="","",DK14*DH14)</f>
        <v/>
      </c>
      <c r="DM14" s="11"/>
      <c r="DP14" s="9"/>
      <c r="DQ14" s="9"/>
      <c r="DR14" s="10"/>
      <c r="DS14" s="166" t="str">
        <f t="shared" si="25"/>
        <v/>
      </c>
      <c r="DT14" s="167" t="str">
        <f t="shared" si="26"/>
        <v/>
      </c>
      <c r="DU14" s="165" t="str">
        <f t="shared" ref="DU14:DU21" si="60">+IF(DS14="","",DT14*DS14)</f>
        <v/>
      </c>
      <c r="DV14" s="165" t="str">
        <f t="shared" ref="DV14:DV21" si="61">+IF(DU14="","",DU14*DR14)</f>
        <v/>
      </c>
      <c r="DW14" s="11"/>
      <c r="DZ14" s="9"/>
      <c r="EA14" s="9"/>
      <c r="EB14" s="10"/>
      <c r="EC14" s="166" t="str">
        <f t="shared" si="27"/>
        <v/>
      </c>
      <c r="ED14" s="167" t="str">
        <f t="shared" si="28"/>
        <v/>
      </c>
      <c r="EE14" s="165" t="str">
        <f t="shared" ref="EE14:EE21" si="62">+IF(EC14="","",ED14*EC14)</f>
        <v/>
      </c>
      <c r="EF14" s="165" t="str">
        <f t="shared" ref="EF14:EF21" si="63">+IF(EE14="","",EE14*EB14)</f>
        <v/>
      </c>
      <c r="EG14" s="11"/>
      <c r="EJ14" s="9"/>
      <c r="EK14" s="9"/>
      <c r="EL14" s="10"/>
      <c r="EM14" s="166" t="str">
        <f t="shared" si="29"/>
        <v/>
      </c>
      <c r="EN14" s="167" t="str">
        <f t="shared" si="30"/>
        <v/>
      </c>
      <c r="EO14" s="165" t="str">
        <f t="shared" ref="EO14:EO21" si="64">+IF(EM14="","",EN14*EM14)</f>
        <v/>
      </c>
      <c r="EP14" s="165" t="str">
        <f t="shared" ref="EP14:EP21" si="65">+IF(EO14="","",EO14*EL14)</f>
        <v/>
      </c>
      <c r="EQ14" s="11"/>
      <c r="ET14" s="9"/>
      <c r="EU14" s="9"/>
      <c r="EV14" s="10"/>
      <c r="EW14" s="166" t="str">
        <f t="shared" si="31"/>
        <v/>
      </c>
      <c r="EX14" s="167" t="str">
        <f t="shared" si="32"/>
        <v/>
      </c>
      <c r="EY14" s="165" t="str">
        <f t="shared" ref="EY14:EY21" si="66">+IF(EW14="","",EX14*EW14)</f>
        <v/>
      </c>
      <c r="EZ14" s="165" t="str">
        <f t="shared" ref="EZ14:EZ21" si="67">+IF(EY14="","",EY14*EV14)</f>
        <v/>
      </c>
      <c r="FA14" s="11"/>
      <c r="FD14" s="9"/>
      <c r="FE14" s="9"/>
      <c r="FF14" s="10"/>
      <c r="FG14" s="166" t="str">
        <f t="shared" si="33"/>
        <v/>
      </c>
      <c r="FH14" s="167" t="str">
        <f t="shared" si="34"/>
        <v/>
      </c>
      <c r="FI14" s="165" t="str">
        <f t="shared" ref="FI14:FI21" si="68">+IF(FG14="","",FH14*FG14)</f>
        <v/>
      </c>
      <c r="FJ14" s="165" t="str">
        <f t="shared" ref="FJ14:FJ21" si="69">+IF(FI14="","",FI14*FF14)</f>
        <v/>
      </c>
      <c r="FK14" s="11"/>
      <c r="FN14" s="9"/>
      <c r="FO14" s="9"/>
      <c r="FP14" s="10"/>
      <c r="FQ14" s="166" t="str">
        <f t="shared" si="35"/>
        <v/>
      </c>
      <c r="FR14" s="167" t="str">
        <f t="shared" si="36"/>
        <v/>
      </c>
      <c r="FS14" s="165" t="str">
        <f t="shared" ref="FS14:FS21" si="70">+IF(FQ14="","",FR14*FQ14)</f>
        <v/>
      </c>
      <c r="FT14" s="165" t="str">
        <f t="shared" ref="FT14:FT21" si="71">+IF(FS14="","",FS14*FP14)</f>
        <v/>
      </c>
      <c r="FU14" s="11"/>
    </row>
    <row r="15" spans="1:177" x14ac:dyDescent="0.3">
      <c r="A15" s="9"/>
      <c r="B15" s="9" t="s">
        <v>316</v>
      </c>
      <c r="C15" s="10">
        <v>1</v>
      </c>
      <c r="D15" s="166">
        <f t="shared" si="0"/>
        <v>4000000</v>
      </c>
      <c r="E15" s="167">
        <f t="shared" si="1"/>
        <v>2.0102000000000002</v>
      </c>
      <c r="F15" s="165">
        <f t="shared" si="37"/>
        <v>8040800.0000000009</v>
      </c>
      <c r="G15" s="165">
        <f t="shared" si="2"/>
        <v>8040800.0000000009</v>
      </c>
      <c r="H15" s="11"/>
      <c r="K15" s="9"/>
      <c r="L15" s="9" t="s">
        <v>316</v>
      </c>
      <c r="M15" s="10">
        <v>1</v>
      </c>
      <c r="N15" s="166">
        <f t="shared" si="3"/>
        <v>4000000</v>
      </c>
      <c r="O15" s="167">
        <f t="shared" si="4"/>
        <v>2.0102000000000002</v>
      </c>
      <c r="P15" s="165">
        <f t="shared" si="38"/>
        <v>8040800.0000000009</v>
      </c>
      <c r="Q15" s="136">
        <f t="shared" si="39"/>
        <v>8040800.0000000009</v>
      </c>
      <c r="R15" s="11"/>
      <c r="U15" s="9"/>
      <c r="V15" s="9" t="s">
        <v>316</v>
      </c>
      <c r="W15" s="10">
        <v>1</v>
      </c>
      <c r="X15" s="166">
        <f t="shared" si="5"/>
        <v>4000000</v>
      </c>
      <c r="Y15" s="167">
        <f t="shared" si="6"/>
        <v>2.0102000000000002</v>
      </c>
      <c r="Z15" s="165">
        <f t="shared" si="40"/>
        <v>8040800.0000000009</v>
      </c>
      <c r="AA15" s="165">
        <f t="shared" si="41"/>
        <v>8040800.0000000009</v>
      </c>
      <c r="AB15" s="11"/>
      <c r="AD15" s="9"/>
      <c r="AE15" s="9"/>
      <c r="AF15" s="10"/>
      <c r="AG15" s="166" t="str">
        <f t="shared" si="7"/>
        <v/>
      </c>
      <c r="AH15" s="167" t="str">
        <f t="shared" si="8"/>
        <v/>
      </c>
      <c r="AI15" s="165" t="str">
        <f t="shared" si="42"/>
        <v/>
      </c>
      <c r="AJ15" s="165" t="str">
        <f t="shared" si="43"/>
        <v/>
      </c>
      <c r="AK15" s="11"/>
      <c r="AN15" s="9"/>
      <c r="AO15" s="9"/>
      <c r="AP15" s="10"/>
      <c r="AQ15" s="166" t="str">
        <f t="shared" si="9"/>
        <v/>
      </c>
      <c r="AR15" s="167" t="str">
        <f t="shared" si="10"/>
        <v/>
      </c>
      <c r="AS15" s="165" t="str">
        <f t="shared" si="44"/>
        <v/>
      </c>
      <c r="AT15" s="165" t="str">
        <f t="shared" si="45"/>
        <v/>
      </c>
      <c r="AU15" s="11"/>
      <c r="AX15" s="9"/>
      <c r="AY15" s="9"/>
      <c r="AZ15" s="10"/>
      <c r="BA15" s="166" t="str">
        <f t="shared" si="11"/>
        <v/>
      </c>
      <c r="BB15" s="167" t="str">
        <f t="shared" si="12"/>
        <v/>
      </c>
      <c r="BC15" s="165" t="str">
        <f t="shared" si="46"/>
        <v/>
      </c>
      <c r="BD15" s="165" t="str">
        <f t="shared" si="47"/>
        <v/>
      </c>
      <c r="BE15" s="11"/>
      <c r="BH15" s="9"/>
      <c r="BI15" s="9"/>
      <c r="BJ15" s="10"/>
      <c r="BK15" s="166" t="str">
        <f t="shared" si="13"/>
        <v/>
      </c>
      <c r="BL15" s="167" t="str">
        <f t="shared" si="14"/>
        <v/>
      </c>
      <c r="BM15" s="165" t="str">
        <f t="shared" si="48"/>
        <v/>
      </c>
      <c r="BN15" s="165" t="str">
        <f t="shared" si="49"/>
        <v/>
      </c>
      <c r="BO15" s="11"/>
      <c r="BR15" s="9"/>
      <c r="BS15" s="9"/>
      <c r="BT15" s="10"/>
      <c r="BU15" s="166" t="str">
        <f t="shared" si="15"/>
        <v/>
      </c>
      <c r="BV15" s="167" t="str">
        <f t="shared" si="16"/>
        <v/>
      </c>
      <c r="BW15" s="165" t="str">
        <f t="shared" si="50"/>
        <v/>
      </c>
      <c r="BX15" s="165" t="str">
        <f t="shared" si="51"/>
        <v/>
      </c>
      <c r="BY15" s="11"/>
      <c r="CB15" s="9"/>
      <c r="CC15" s="9"/>
      <c r="CD15" s="10"/>
      <c r="CE15" s="166" t="str">
        <f t="shared" si="17"/>
        <v/>
      </c>
      <c r="CF15" s="167" t="str">
        <f t="shared" si="18"/>
        <v/>
      </c>
      <c r="CG15" s="165" t="str">
        <f t="shared" si="52"/>
        <v/>
      </c>
      <c r="CH15" s="165" t="str">
        <f t="shared" si="53"/>
        <v/>
      </c>
      <c r="CI15" s="11"/>
      <c r="CL15" s="9"/>
      <c r="CM15" s="9"/>
      <c r="CN15" s="10"/>
      <c r="CO15" s="166" t="str">
        <f t="shared" si="19"/>
        <v/>
      </c>
      <c r="CP15" s="167" t="str">
        <f t="shared" si="20"/>
        <v/>
      </c>
      <c r="CQ15" s="165" t="str">
        <f t="shared" si="54"/>
        <v/>
      </c>
      <c r="CR15" s="165" t="str">
        <f t="shared" si="55"/>
        <v/>
      </c>
      <c r="CS15" s="11"/>
      <c r="CV15" s="9"/>
      <c r="CW15" s="9"/>
      <c r="CX15" s="10"/>
      <c r="CY15" s="166" t="str">
        <f t="shared" si="21"/>
        <v/>
      </c>
      <c r="CZ15" s="167" t="str">
        <f t="shared" si="22"/>
        <v/>
      </c>
      <c r="DA15" s="165" t="str">
        <f t="shared" si="56"/>
        <v/>
      </c>
      <c r="DB15" s="165" t="str">
        <f t="shared" si="57"/>
        <v/>
      </c>
      <c r="DC15" s="11"/>
      <c r="DF15" s="9"/>
      <c r="DG15" s="9"/>
      <c r="DH15" s="10"/>
      <c r="DI15" s="166" t="str">
        <f t="shared" si="23"/>
        <v/>
      </c>
      <c r="DJ15" s="167" t="str">
        <f t="shared" si="24"/>
        <v/>
      </c>
      <c r="DK15" s="165" t="str">
        <f t="shared" si="58"/>
        <v/>
      </c>
      <c r="DL15" s="165" t="str">
        <f t="shared" si="59"/>
        <v/>
      </c>
      <c r="DM15" s="11"/>
      <c r="DP15" s="9"/>
      <c r="DQ15" s="9"/>
      <c r="DR15" s="10"/>
      <c r="DS15" s="166" t="str">
        <f t="shared" si="25"/>
        <v/>
      </c>
      <c r="DT15" s="167" t="str">
        <f t="shared" si="26"/>
        <v/>
      </c>
      <c r="DU15" s="165" t="str">
        <f t="shared" si="60"/>
        <v/>
      </c>
      <c r="DV15" s="165" t="str">
        <f t="shared" si="61"/>
        <v/>
      </c>
      <c r="DW15" s="11"/>
      <c r="DZ15" s="9"/>
      <c r="EA15" s="9"/>
      <c r="EB15" s="10"/>
      <c r="EC15" s="166" t="str">
        <f t="shared" si="27"/>
        <v/>
      </c>
      <c r="ED15" s="167" t="str">
        <f t="shared" si="28"/>
        <v/>
      </c>
      <c r="EE15" s="165" t="str">
        <f t="shared" si="62"/>
        <v/>
      </c>
      <c r="EF15" s="165" t="str">
        <f t="shared" si="63"/>
        <v/>
      </c>
      <c r="EG15" s="11"/>
      <c r="EJ15" s="9"/>
      <c r="EK15" s="9"/>
      <c r="EL15" s="10"/>
      <c r="EM15" s="166" t="str">
        <f t="shared" si="29"/>
        <v/>
      </c>
      <c r="EN15" s="167" t="str">
        <f t="shared" si="30"/>
        <v/>
      </c>
      <c r="EO15" s="165" t="str">
        <f t="shared" si="64"/>
        <v/>
      </c>
      <c r="EP15" s="165" t="str">
        <f t="shared" si="65"/>
        <v/>
      </c>
      <c r="EQ15" s="11"/>
      <c r="ET15" s="9"/>
      <c r="EU15" s="9"/>
      <c r="EV15" s="10"/>
      <c r="EW15" s="166" t="str">
        <f t="shared" si="31"/>
        <v/>
      </c>
      <c r="EX15" s="167" t="str">
        <f t="shared" si="32"/>
        <v/>
      </c>
      <c r="EY15" s="165" t="str">
        <f t="shared" si="66"/>
        <v/>
      </c>
      <c r="EZ15" s="165" t="str">
        <f t="shared" si="67"/>
        <v/>
      </c>
      <c r="FA15" s="11"/>
      <c r="FD15" s="9"/>
      <c r="FE15" s="9"/>
      <c r="FF15" s="10"/>
      <c r="FG15" s="166" t="str">
        <f t="shared" si="33"/>
        <v/>
      </c>
      <c r="FH15" s="167" t="str">
        <f t="shared" si="34"/>
        <v/>
      </c>
      <c r="FI15" s="165" t="str">
        <f t="shared" si="68"/>
        <v/>
      </c>
      <c r="FJ15" s="165" t="str">
        <f t="shared" si="69"/>
        <v/>
      </c>
      <c r="FK15" s="11"/>
      <c r="FN15" s="9"/>
      <c r="FO15" s="9"/>
      <c r="FP15" s="10"/>
      <c r="FQ15" s="166" t="str">
        <f t="shared" si="35"/>
        <v/>
      </c>
      <c r="FR15" s="167" t="str">
        <f t="shared" si="36"/>
        <v/>
      </c>
      <c r="FS15" s="165" t="str">
        <f t="shared" si="70"/>
        <v/>
      </c>
      <c r="FT15" s="165" t="str">
        <f t="shared" si="71"/>
        <v/>
      </c>
      <c r="FU15" s="11"/>
    </row>
    <row r="16" spans="1:177" x14ac:dyDescent="0.3">
      <c r="A16" s="9"/>
      <c r="B16" s="9" t="s">
        <v>312</v>
      </c>
      <c r="C16" s="10">
        <v>1</v>
      </c>
      <c r="D16" s="166">
        <f t="shared" si="0"/>
        <v>3800000</v>
      </c>
      <c r="E16" s="167">
        <f t="shared" si="1"/>
        <v>2.029936842105263</v>
      </c>
      <c r="F16" s="165">
        <f t="shared" si="37"/>
        <v>7713760</v>
      </c>
      <c r="G16" s="165">
        <f t="shared" si="2"/>
        <v>7713760</v>
      </c>
      <c r="H16" s="11"/>
      <c r="K16" s="9"/>
      <c r="L16" s="9" t="s">
        <v>312</v>
      </c>
      <c r="M16" s="10">
        <v>1</v>
      </c>
      <c r="N16" s="166">
        <f t="shared" si="3"/>
        <v>3800000</v>
      </c>
      <c r="O16" s="167">
        <f t="shared" si="4"/>
        <v>2.029936842105263</v>
      </c>
      <c r="P16" s="165">
        <f t="shared" si="38"/>
        <v>7713760</v>
      </c>
      <c r="Q16" s="136">
        <f t="shared" si="39"/>
        <v>7713760</v>
      </c>
      <c r="R16" s="11"/>
      <c r="U16" s="9"/>
      <c r="V16" s="9" t="s">
        <v>312</v>
      </c>
      <c r="W16" s="10">
        <v>1</v>
      </c>
      <c r="X16" s="166">
        <f t="shared" si="5"/>
        <v>3800000</v>
      </c>
      <c r="Y16" s="167">
        <f t="shared" si="6"/>
        <v>2.029936842105263</v>
      </c>
      <c r="Z16" s="165">
        <f t="shared" si="40"/>
        <v>7713760</v>
      </c>
      <c r="AA16" s="165">
        <f t="shared" si="41"/>
        <v>7713760</v>
      </c>
      <c r="AB16" s="11"/>
      <c r="AD16" s="9"/>
      <c r="AE16" s="9"/>
      <c r="AF16" s="10"/>
      <c r="AG16" s="166" t="str">
        <f t="shared" si="7"/>
        <v/>
      </c>
      <c r="AH16" s="167" t="str">
        <f t="shared" si="8"/>
        <v/>
      </c>
      <c r="AI16" s="165" t="str">
        <f t="shared" si="42"/>
        <v/>
      </c>
      <c r="AJ16" s="165" t="str">
        <f t="shared" si="43"/>
        <v/>
      </c>
      <c r="AK16" s="11"/>
      <c r="AN16" s="9"/>
      <c r="AO16" s="9"/>
      <c r="AP16" s="10"/>
      <c r="AQ16" s="166" t="str">
        <f t="shared" si="9"/>
        <v/>
      </c>
      <c r="AR16" s="167" t="str">
        <f t="shared" si="10"/>
        <v/>
      </c>
      <c r="AS16" s="165" t="str">
        <f t="shared" si="44"/>
        <v/>
      </c>
      <c r="AT16" s="165" t="str">
        <f t="shared" si="45"/>
        <v/>
      </c>
      <c r="AU16" s="11"/>
      <c r="AX16" s="9"/>
      <c r="AY16" s="9"/>
      <c r="AZ16" s="10"/>
      <c r="BA16" s="166" t="str">
        <f t="shared" si="11"/>
        <v/>
      </c>
      <c r="BB16" s="167" t="str">
        <f t="shared" si="12"/>
        <v/>
      </c>
      <c r="BC16" s="165" t="str">
        <f t="shared" si="46"/>
        <v/>
      </c>
      <c r="BD16" s="165" t="str">
        <f t="shared" si="47"/>
        <v/>
      </c>
      <c r="BE16" s="11"/>
      <c r="BH16" s="9"/>
      <c r="BI16" s="9"/>
      <c r="BJ16" s="10"/>
      <c r="BK16" s="166" t="str">
        <f t="shared" si="13"/>
        <v/>
      </c>
      <c r="BL16" s="167" t="str">
        <f t="shared" si="14"/>
        <v/>
      </c>
      <c r="BM16" s="165" t="str">
        <f t="shared" si="48"/>
        <v/>
      </c>
      <c r="BN16" s="165" t="str">
        <f t="shared" si="49"/>
        <v/>
      </c>
      <c r="BO16" s="11"/>
      <c r="BR16" s="9"/>
      <c r="BS16" s="9"/>
      <c r="BT16" s="10"/>
      <c r="BU16" s="166" t="str">
        <f t="shared" si="15"/>
        <v/>
      </c>
      <c r="BV16" s="167" t="str">
        <f t="shared" si="16"/>
        <v/>
      </c>
      <c r="BW16" s="165" t="str">
        <f t="shared" si="50"/>
        <v/>
      </c>
      <c r="BX16" s="165" t="str">
        <f t="shared" si="51"/>
        <v/>
      </c>
      <c r="BY16" s="11"/>
      <c r="CB16" s="9"/>
      <c r="CC16" s="9"/>
      <c r="CD16" s="10"/>
      <c r="CE16" s="166" t="str">
        <f t="shared" si="17"/>
        <v/>
      </c>
      <c r="CF16" s="167" t="str">
        <f t="shared" si="18"/>
        <v/>
      </c>
      <c r="CG16" s="165" t="str">
        <f t="shared" si="52"/>
        <v/>
      </c>
      <c r="CH16" s="165" t="str">
        <f t="shared" si="53"/>
        <v/>
      </c>
      <c r="CI16" s="11"/>
      <c r="CL16" s="9"/>
      <c r="CM16" s="9"/>
      <c r="CN16" s="10"/>
      <c r="CO16" s="166" t="str">
        <f t="shared" si="19"/>
        <v/>
      </c>
      <c r="CP16" s="167" t="str">
        <f t="shared" si="20"/>
        <v/>
      </c>
      <c r="CQ16" s="165" t="str">
        <f t="shared" si="54"/>
        <v/>
      </c>
      <c r="CR16" s="165" t="str">
        <f t="shared" si="55"/>
        <v/>
      </c>
      <c r="CS16" s="11"/>
      <c r="CV16" s="9"/>
      <c r="CW16" s="9"/>
      <c r="CX16" s="10"/>
      <c r="CY16" s="166" t="str">
        <f t="shared" si="21"/>
        <v/>
      </c>
      <c r="CZ16" s="167" t="str">
        <f t="shared" si="22"/>
        <v/>
      </c>
      <c r="DA16" s="165" t="str">
        <f t="shared" si="56"/>
        <v/>
      </c>
      <c r="DB16" s="165" t="str">
        <f t="shared" si="57"/>
        <v/>
      </c>
      <c r="DC16" s="11"/>
      <c r="DF16" s="9"/>
      <c r="DG16" s="9"/>
      <c r="DH16" s="10"/>
      <c r="DI16" s="166" t="str">
        <f t="shared" si="23"/>
        <v/>
      </c>
      <c r="DJ16" s="167" t="str">
        <f t="shared" si="24"/>
        <v/>
      </c>
      <c r="DK16" s="165" t="str">
        <f t="shared" si="58"/>
        <v/>
      </c>
      <c r="DL16" s="165" t="str">
        <f t="shared" si="59"/>
        <v/>
      </c>
      <c r="DM16" s="11"/>
      <c r="DP16" s="9"/>
      <c r="DQ16" s="9"/>
      <c r="DR16" s="10"/>
      <c r="DS16" s="166" t="str">
        <f t="shared" si="25"/>
        <v/>
      </c>
      <c r="DT16" s="167" t="str">
        <f t="shared" si="26"/>
        <v/>
      </c>
      <c r="DU16" s="165" t="str">
        <f t="shared" si="60"/>
        <v/>
      </c>
      <c r="DV16" s="165" t="str">
        <f t="shared" si="61"/>
        <v/>
      </c>
      <c r="DW16" s="11"/>
      <c r="DZ16" s="9"/>
      <c r="EA16" s="9"/>
      <c r="EB16" s="10"/>
      <c r="EC16" s="166" t="str">
        <f t="shared" si="27"/>
        <v/>
      </c>
      <c r="ED16" s="167" t="str">
        <f t="shared" si="28"/>
        <v/>
      </c>
      <c r="EE16" s="165" t="str">
        <f t="shared" si="62"/>
        <v/>
      </c>
      <c r="EF16" s="165" t="str">
        <f t="shared" si="63"/>
        <v/>
      </c>
      <c r="EG16" s="11"/>
      <c r="EJ16" s="9"/>
      <c r="EK16" s="9"/>
      <c r="EL16" s="10"/>
      <c r="EM16" s="166" t="str">
        <f t="shared" si="29"/>
        <v/>
      </c>
      <c r="EN16" s="167" t="str">
        <f t="shared" si="30"/>
        <v/>
      </c>
      <c r="EO16" s="165" t="str">
        <f t="shared" si="64"/>
        <v/>
      </c>
      <c r="EP16" s="165" t="str">
        <f t="shared" si="65"/>
        <v/>
      </c>
      <c r="EQ16" s="11"/>
      <c r="ET16" s="9"/>
      <c r="EU16" s="9"/>
      <c r="EV16" s="10"/>
      <c r="EW16" s="166" t="str">
        <f t="shared" si="31"/>
        <v/>
      </c>
      <c r="EX16" s="167" t="str">
        <f t="shared" si="32"/>
        <v/>
      </c>
      <c r="EY16" s="165" t="str">
        <f t="shared" si="66"/>
        <v/>
      </c>
      <c r="EZ16" s="165" t="str">
        <f t="shared" si="67"/>
        <v/>
      </c>
      <c r="FA16" s="11"/>
      <c r="FD16" s="9"/>
      <c r="FE16" s="9"/>
      <c r="FF16" s="10"/>
      <c r="FG16" s="166" t="str">
        <f t="shared" si="33"/>
        <v/>
      </c>
      <c r="FH16" s="167" t="str">
        <f t="shared" si="34"/>
        <v/>
      </c>
      <c r="FI16" s="165" t="str">
        <f t="shared" si="68"/>
        <v/>
      </c>
      <c r="FJ16" s="165" t="str">
        <f t="shared" si="69"/>
        <v/>
      </c>
      <c r="FK16" s="11"/>
      <c r="FN16" s="9"/>
      <c r="FO16" s="9"/>
      <c r="FP16" s="10"/>
      <c r="FQ16" s="166" t="str">
        <f t="shared" si="35"/>
        <v/>
      </c>
      <c r="FR16" s="167" t="str">
        <f t="shared" si="36"/>
        <v/>
      </c>
      <c r="FS16" s="165" t="str">
        <f t="shared" si="70"/>
        <v/>
      </c>
      <c r="FT16" s="165" t="str">
        <f t="shared" si="71"/>
        <v/>
      </c>
      <c r="FU16" s="11"/>
    </row>
    <row r="17" spans="1:177" x14ac:dyDescent="0.3">
      <c r="A17" s="9"/>
      <c r="B17" s="9" t="s">
        <v>300</v>
      </c>
      <c r="C17" s="10">
        <v>1</v>
      </c>
      <c r="D17" s="166">
        <f t="shared" si="0"/>
        <v>4000000</v>
      </c>
      <c r="E17" s="167">
        <f t="shared" si="1"/>
        <v>2.0102000000000002</v>
      </c>
      <c r="F17" s="165">
        <f t="shared" si="37"/>
        <v>8040800.0000000009</v>
      </c>
      <c r="G17" s="165">
        <f t="shared" si="2"/>
        <v>8040800.0000000009</v>
      </c>
      <c r="H17" s="11"/>
      <c r="K17" s="9"/>
      <c r="L17" s="9" t="s">
        <v>300</v>
      </c>
      <c r="M17" s="10">
        <v>1</v>
      </c>
      <c r="N17" s="166">
        <f t="shared" si="3"/>
        <v>4000000</v>
      </c>
      <c r="O17" s="167">
        <f t="shared" si="4"/>
        <v>2.0102000000000002</v>
      </c>
      <c r="P17" s="165">
        <f t="shared" si="38"/>
        <v>8040800.0000000009</v>
      </c>
      <c r="Q17" s="136">
        <f t="shared" si="39"/>
        <v>8040800.0000000009</v>
      </c>
      <c r="R17" s="11"/>
      <c r="U17" s="9"/>
      <c r="V17" s="9" t="s">
        <v>300</v>
      </c>
      <c r="W17" s="10">
        <v>1</v>
      </c>
      <c r="X17" s="166">
        <f t="shared" si="5"/>
        <v>4000000</v>
      </c>
      <c r="Y17" s="167">
        <f t="shared" si="6"/>
        <v>2.0102000000000002</v>
      </c>
      <c r="Z17" s="165">
        <f t="shared" si="40"/>
        <v>8040800.0000000009</v>
      </c>
      <c r="AA17" s="165">
        <f t="shared" si="41"/>
        <v>8040800.0000000009</v>
      </c>
      <c r="AB17" s="11"/>
      <c r="AD17" s="9"/>
      <c r="AE17" s="9"/>
      <c r="AF17" s="10"/>
      <c r="AG17" s="166" t="str">
        <f t="shared" si="7"/>
        <v/>
      </c>
      <c r="AH17" s="167" t="str">
        <f t="shared" si="8"/>
        <v/>
      </c>
      <c r="AI17" s="165" t="str">
        <f t="shared" si="42"/>
        <v/>
      </c>
      <c r="AJ17" s="165" t="str">
        <f t="shared" si="43"/>
        <v/>
      </c>
      <c r="AK17" s="11"/>
      <c r="AN17" s="9"/>
      <c r="AO17" s="9"/>
      <c r="AP17" s="10"/>
      <c r="AQ17" s="166" t="str">
        <f t="shared" si="9"/>
        <v/>
      </c>
      <c r="AR17" s="167" t="str">
        <f t="shared" si="10"/>
        <v/>
      </c>
      <c r="AS17" s="165" t="str">
        <f t="shared" si="44"/>
        <v/>
      </c>
      <c r="AT17" s="165" t="str">
        <f t="shared" si="45"/>
        <v/>
      </c>
      <c r="AU17" s="11"/>
      <c r="AX17" s="9"/>
      <c r="AY17" s="9"/>
      <c r="AZ17" s="10"/>
      <c r="BA17" s="166" t="str">
        <f t="shared" si="11"/>
        <v/>
      </c>
      <c r="BB17" s="167" t="str">
        <f t="shared" si="12"/>
        <v/>
      </c>
      <c r="BC17" s="165" t="str">
        <f t="shared" si="46"/>
        <v/>
      </c>
      <c r="BD17" s="165" t="str">
        <f t="shared" si="47"/>
        <v/>
      </c>
      <c r="BE17" s="11"/>
      <c r="BH17" s="9"/>
      <c r="BI17" s="9"/>
      <c r="BJ17" s="10"/>
      <c r="BK17" s="166" t="str">
        <f t="shared" si="13"/>
        <v/>
      </c>
      <c r="BL17" s="167" t="str">
        <f t="shared" si="14"/>
        <v/>
      </c>
      <c r="BM17" s="165" t="str">
        <f t="shared" si="48"/>
        <v/>
      </c>
      <c r="BN17" s="165" t="str">
        <f t="shared" si="49"/>
        <v/>
      </c>
      <c r="BO17" s="11"/>
      <c r="BR17" s="9"/>
      <c r="BS17" s="9"/>
      <c r="BT17" s="10"/>
      <c r="BU17" s="166" t="str">
        <f t="shared" si="15"/>
        <v/>
      </c>
      <c r="BV17" s="167" t="str">
        <f t="shared" si="16"/>
        <v/>
      </c>
      <c r="BW17" s="165" t="str">
        <f t="shared" si="50"/>
        <v/>
      </c>
      <c r="BX17" s="165" t="str">
        <f t="shared" si="51"/>
        <v/>
      </c>
      <c r="BY17" s="11"/>
      <c r="CB17" s="9"/>
      <c r="CC17" s="9"/>
      <c r="CD17" s="10"/>
      <c r="CE17" s="166" t="str">
        <f t="shared" si="17"/>
        <v/>
      </c>
      <c r="CF17" s="167" t="str">
        <f t="shared" si="18"/>
        <v/>
      </c>
      <c r="CG17" s="165" t="str">
        <f t="shared" si="52"/>
        <v/>
      </c>
      <c r="CH17" s="165" t="str">
        <f t="shared" si="53"/>
        <v/>
      </c>
      <c r="CI17" s="11"/>
      <c r="CL17" s="9"/>
      <c r="CM17" s="9"/>
      <c r="CN17" s="10"/>
      <c r="CO17" s="166" t="str">
        <f t="shared" si="19"/>
        <v/>
      </c>
      <c r="CP17" s="167" t="str">
        <f t="shared" si="20"/>
        <v/>
      </c>
      <c r="CQ17" s="165" t="str">
        <f t="shared" si="54"/>
        <v/>
      </c>
      <c r="CR17" s="165" t="str">
        <f t="shared" si="55"/>
        <v/>
      </c>
      <c r="CS17" s="11"/>
      <c r="CV17" s="9"/>
      <c r="CW17" s="9"/>
      <c r="CX17" s="10"/>
      <c r="CY17" s="166" t="str">
        <f t="shared" si="21"/>
        <v/>
      </c>
      <c r="CZ17" s="167" t="str">
        <f t="shared" si="22"/>
        <v/>
      </c>
      <c r="DA17" s="165" t="str">
        <f t="shared" si="56"/>
        <v/>
      </c>
      <c r="DB17" s="165" t="str">
        <f t="shared" si="57"/>
        <v/>
      </c>
      <c r="DC17" s="11"/>
      <c r="DF17" s="9"/>
      <c r="DG17" s="9"/>
      <c r="DH17" s="10"/>
      <c r="DI17" s="166" t="str">
        <f t="shared" si="23"/>
        <v/>
      </c>
      <c r="DJ17" s="167" t="str">
        <f t="shared" si="24"/>
        <v/>
      </c>
      <c r="DK17" s="165" t="str">
        <f t="shared" si="58"/>
        <v/>
      </c>
      <c r="DL17" s="165" t="str">
        <f t="shared" si="59"/>
        <v/>
      </c>
      <c r="DM17" s="11"/>
      <c r="DP17" s="9"/>
      <c r="DQ17" s="9"/>
      <c r="DR17" s="10"/>
      <c r="DS17" s="166" t="str">
        <f t="shared" si="25"/>
        <v/>
      </c>
      <c r="DT17" s="167" t="str">
        <f t="shared" si="26"/>
        <v/>
      </c>
      <c r="DU17" s="165" t="str">
        <f t="shared" si="60"/>
        <v/>
      </c>
      <c r="DV17" s="165" t="str">
        <f t="shared" si="61"/>
        <v/>
      </c>
      <c r="DW17" s="11"/>
      <c r="DZ17" s="9"/>
      <c r="EA17" s="9"/>
      <c r="EB17" s="10"/>
      <c r="EC17" s="166" t="str">
        <f t="shared" si="27"/>
        <v/>
      </c>
      <c r="ED17" s="167" t="str">
        <f t="shared" si="28"/>
        <v/>
      </c>
      <c r="EE17" s="165" t="str">
        <f t="shared" si="62"/>
        <v/>
      </c>
      <c r="EF17" s="165" t="str">
        <f t="shared" si="63"/>
        <v/>
      </c>
      <c r="EG17" s="11"/>
      <c r="EJ17" s="9"/>
      <c r="EK17" s="9"/>
      <c r="EL17" s="10"/>
      <c r="EM17" s="166" t="str">
        <f t="shared" si="29"/>
        <v/>
      </c>
      <c r="EN17" s="167" t="str">
        <f t="shared" si="30"/>
        <v/>
      </c>
      <c r="EO17" s="165" t="str">
        <f t="shared" si="64"/>
        <v/>
      </c>
      <c r="EP17" s="165" t="str">
        <f t="shared" si="65"/>
        <v/>
      </c>
      <c r="EQ17" s="11"/>
      <c r="ET17" s="9"/>
      <c r="EU17" s="9"/>
      <c r="EV17" s="10"/>
      <c r="EW17" s="166" t="str">
        <f t="shared" si="31"/>
        <v/>
      </c>
      <c r="EX17" s="167" t="str">
        <f t="shared" si="32"/>
        <v/>
      </c>
      <c r="EY17" s="165" t="str">
        <f t="shared" si="66"/>
        <v/>
      </c>
      <c r="EZ17" s="165" t="str">
        <f t="shared" si="67"/>
        <v/>
      </c>
      <c r="FA17" s="11"/>
      <c r="FD17" s="9"/>
      <c r="FE17" s="9"/>
      <c r="FF17" s="10"/>
      <c r="FG17" s="166" t="str">
        <f t="shared" si="33"/>
        <v/>
      </c>
      <c r="FH17" s="167" t="str">
        <f t="shared" si="34"/>
        <v/>
      </c>
      <c r="FI17" s="165" t="str">
        <f t="shared" si="68"/>
        <v/>
      </c>
      <c r="FJ17" s="165" t="str">
        <f t="shared" si="69"/>
        <v/>
      </c>
      <c r="FK17" s="11"/>
      <c r="FN17" s="9"/>
      <c r="FO17" s="9"/>
      <c r="FP17" s="10"/>
      <c r="FQ17" s="166" t="str">
        <f t="shared" si="35"/>
        <v/>
      </c>
      <c r="FR17" s="167" t="str">
        <f t="shared" si="36"/>
        <v/>
      </c>
      <c r="FS17" s="165" t="str">
        <f t="shared" si="70"/>
        <v/>
      </c>
      <c r="FT17" s="165" t="str">
        <f t="shared" si="71"/>
        <v/>
      </c>
      <c r="FU17" s="11"/>
    </row>
    <row r="18" spans="1:177" x14ac:dyDescent="0.3">
      <c r="A18" s="9"/>
      <c r="B18" s="9"/>
      <c r="C18" s="10"/>
      <c r="D18" s="166" t="str">
        <f t="shared" si="0"/>
        <v/>
      </c>
      <c r="E18" s="167" t="str">
        <f t="shared" si="1"/>
        <v/>
      </c>
      <c r="F18" s="165" t="str">
        <f t="shared" si="37"/>
        <v/>
      </c>
      <c r="G18" s="165" t="str">
        <f t="shared" si="2"/>
        <v/>
      </c>
      <c r="H18" s="11"/>
      <c r="K18" s="9"/>
      <c r="L18" s="9"/>
      <c r="M18" s="10"/>
      <c r="N18" s="166" t="str">
        <f t="shared" si="3"/>
        <v/>
      </c>
      <c r="O18" s="167" t="str">
        <f t="shared" si="4"/>
        <v/>
      </c>
      <c r="P18" s="165" t="str">
        <f t="shared" si="38"/>
        <v/>
      </c>
      <c r="Q18" s="136" t="str">
        <f t="shared" si="39"/>
        <v/>
      </c>
      <c r="R18" s="11"/>
      <c r="U18" s="9"/>
      <c r="V18" s="9"/>
      <c r="W18" s="10"/>
      <c r="X18" s="166" t="str">
        <f t="shared" si="5"/>
        <v/>
      </c>
      <c r="Y18" s="167" t="str">
        <f t="shared" si="6"/>
        <v/>
      </c>
      <c r="Z18" s="165" t="str">
        <f t="shared" si="40"/>
        <v/>
      </c>
      <c r="AA18" s="165" t="str">
        <f t="shared" si="41"/>
        <v/>
      </c>
      <c r="AB18" s="11"/>
      <c r="AD18" s="9"/>
      <c r="AE18" s="9"/>
      <c r="AF18" s="10"/>
      <c r="AG18" s="166" t="str">
        <f t="shared" si="7"/>
        <v/>
      </c>
      <c r="AH18" s="167" t="str">
        <f t="shared" si="8"/>
        <v/>
      </c>
      <c r="AI18" s="165" t="str">
        <f t="shared" si="42"/>
        <v/>
      </c>
      <c r="AJ18" s="165" t="str">
        <f t="shared" si="43"/>
        <v/>
      </c>
      <c r="AK18" s="11"/>
      <c r="AN18" s="9"/>
      <c r="AO18" s="9"/>
      <c r="AP18" s="10"/>
      <c r="AQ18" s="166" t="str">
        <f t="shared" si="9"/>
        <v/>
      </c>
      <c r="AR18" s="167" t="str">
        <f t="shared" si="10"/>
        <v/>
      </c>
      <c r="AS18" s="165" t="str">
        <f t="shared" si="44"/>
        <v/>
      </c>
      <c r="AT18" s="165" t="str">
        <f t="shared" si="45"/>
        <v/>
      </c>
      <c r="AU18" s="11"/>
      <c r="AX18" s="9"/>
      <c r="AY18" s="9"/>
      <c r="AZ18" s="10"/>
      <c r="BA18" s="166" t="str">
        <f t="shared" si="11"/>
        <v/>
      </c>
      <c r="BB18" s="167" t="str">
        <f t="shared" si="12"/>
        <v/>
      </c>
      <c r="BC18" s="165" t="str">
        <f t="shared" si="46"/>
        <v/>
      </c>
      <c r="BD18" s="165" t="str">
        <f t="shared" si="47"/>
        <v/>
      </c>
      <c r="BE18" s="11"/>
      <c r="BH18" s="9"/>
      <c r="BI18" s="9"/>
      <c r="BJ18" s="10"/>
      <c r="BK18" s="166" t="str">
        <f t="shared" si="13"/>
        <v/>
      </c>
      <c r="BL18" s="167" t="str">
        <f t="shared" si="14"/>
        <v/>
      </c>
      <c r="BM18" s="165" t="str">
        <f t="shared" si="48"/>
        <v/>
      </c>
      <c r="BN18" s="165" t="str">
        <f t="shared" si="49"/>
        <v/>
      </c>
      <c r="BO18" s="11"/>
      <c r="BR18" s="9"/>
      <c r="BS18" s="9"/>
      <c r="BT18" s="10"/>
      <c r="BU18" s="166" t="str">
        <f t="shared" si="15"/>
        <v/>
      </c>
      <c r="BV18" s="167" t="str">
        <f t="shared" si="16"/>
        <v/>
      </c>
      <c r="BW18" s="165" t="str">
        <f t="shared" si="50"/>
        <v/>
      </c>
      <c r="BX18" s="165" t="str">
        <f t="shared" si="51"/>
        <v/>
      </c>
      <c r="BY18" s="11"/>
      <c r="CB18" s="9"/>
      <c r="CC18" s="9"/>
      <c r="CD18" s="10"/>
      <c r="CE18" s="166" t="str">
        <f t="shared" si="17"/>
        <v/>
      </c>
      <c r="CF18" s="167" t="str">
        <f t="shared" si="18"/>
        <v/>
      </c>
      <c r="CG18" s="165" t="str">
        <f t="shared" si="52"/>
        <v/>
      </c>
      <c r="CH18" s="165" t="str">
        <f t="shared" si="53"/>
        <v/>
      </c>
      <c r="CI18" s="11"/>
      <c r="CL18" s="9"/>
      <c r="CM18" s="9"/>
      <c r="CN18" s="10"/>
      <c r="CO18" s="166" t="str">
        <f t="shared" si="19"/>
        <v/>
      </c>
      <c r="CP18" s="167" t="str">
        <f t="shared" si="20"/>
        <v/>
      </c>
      <c r="CQ18" s="165" t="str">
        <f t="shared" si="54"/>
        <v/>
      </c>
      <c r="CR18" s="165" t="str">
        <f t="shared" si="55"/>
        <v/>
      </c>
      <c r="CS18" s="11"/>
      <c r="CV18" s="9"/>
      <c r="CW18" s="9"/>
      <c r="CX18" s="10"/>
      <c r="CY18" s="166" t="str">
        <f t="shared" si="21"/>
        <v/>
      </c>
      <c r="CZ18" s="167" t="str">
        <f t="shared" si="22"/>
        <v/>
      </c>
      <c r="DA18" s="165" t="str">
        <f t="shared" si="56"/>
        <v/>
      </c>
      <c r="DB18" s="165" t="str">
        <f t="shared" si="57"/>
        <v/>
      </c>
      <c r="DC18" s="11"/>
      <c r="DF18" s="9"/>
      <c r="DG18" s="9"/>
      <c r="DH18" s="10"/>
      <c r="DI18" s="166" t="str">
        <f t="shared" si="23"/>
        <v/>
      </c>
      <c r="DJ18" s="167" t="str">
        <f t="shared" si="24"/>
        <v/>
      </c>
      <c r="DK18" s="165" t="str">
        <f t="shared" si="58"/>
        <v/>
      </c>
      <c r="DL18" s="165" t="str">
        <f t="shared" si="59"/>
        <v/>
      </c>
      <c r="DM18" s="11"/>
      <c r="DP18" s="9"/>
      <c r="DQ18" s="9"/>
      <c r="DR18" s="10"/>
      <c r="DS18" s="166" t="str">
        <f t="shared" si="25"/>
        <v/>
      </c>
      <c r="DT18" s="167" t="str">
        <f t="shared" si="26"/>
        <v/>
      </c>
      <c r="DU18" s="165" t="str">
        <f t="shared" si="60"/>
        <v/>
      </c>
      <c r="DV18" s="165" t="str">
        <f t="shared" si="61"/>
        <v/>
      </c>
      <c r="DW18" s="11"/>
      <c r="DZ18" s="9"/>
      <c r="EA18" s="9"/>
      <c r="EB18" s="10"/>
      <c r="EC18" s="166" t="str">
        <f t="shared" si="27"/>
        <v/>
      </c>
      <c r="ED18" s="167" t="str">
        <f t="shared" si="28"/>
        <v/>
      </c>
      <c r="EE18" s="165" t="str">
        <f t="shared" si="62"/>
        <v/>
      </c>
      <c r="EF18" s="165" t="str">
        <f t="shared" si="63"/>
        <v/>
      </c>
      <c r="EG18" s="11"/>
      <c r="EJ18" s="9"/>
      <c r="EK18" s="9"/>
      <c r="EL18" s="10"/>
      <c r="EM18" s="166" t="str">
        <f t="shared" si="29"/>
        <v/>
      </c>
      <c r="EN18" s="167" t="str">
        <f t="shared" si="30"/>
        <v/>
      </c>
      <c r="EO18" s="165" t="str">
        <f t="shared" si="64"/>
        <v/>
      </c>
      <c r="EP18" s="165" t="str">
        <f t="shared" si="65"/>
        <v/>
      </c>
      <c r="EQ18" s="11"/>
      <c r="ET18" s="9"/>
      <c r="EU18" s="9"/>
      <c r="EV18" s="10"/>
      <c r="EW18" s="166" t="str">
        <f t="shared" si="31"/>
        <v/>
      </c>
      <c r="EX18" s="167" t="str">
        <f t="shared" si="32"/>
        <v/>
      </c>
      <c r="EY18" s="165" t="str">
        <f t="shared" si="66"/>
        <v/>
      </c>
      <c r="EZ18" s="165" t="str">
        <f t="shared" si="67"/>
        <v/>
      </c>
      <c r="FA18" s="11"/>
      <c r="FD18" s="9"/>
      <c r="FE18" s="9"/>
      <c r="FF18" s="10"/>
      <c r="FG18" s="166" t="str">
        <f t="shared" si="33"/>
        <v/>
      </c>
      <c r="FH18" s="167" t="str">
        <f t="shared" si="34"/>
        <v/>
      </c>
      <c r="FI18" s="165" t="str">
        <f t="shared" si="68"/>
        <v/>
      </c>
      <c r="FJ18" s="165" t="str">
        <f t="shared" si="69"/>
        <v/>
      </c>
      <c r="FK18" s="11"/>
      <c r="FN18" s="9"/>
      <c r="FO18" s="9"/>
      <c r="FP18" s="10"/>
      <c r="FQ18" s="166" t="str">
        <f t="shared" si="35"/>
        <v/>
      </c>
      <c r="FR18" s="167" t="str">
        <f t="shared" si="36"/>
        <v/>
      </c>
      <c r="FS18" s="165" t="str">
        <f t="shared" si="70"/>
        <v/>
      </c>
      <c r="FT18" s="165" t="str">
        <f t="shared" si="71"/>
        <v/>
      </c>
      <c r="FU18" s="11"/>
    </row>
    <row r="19" spans="1:177" x14ac:dyDescent="0.3">
      <c r="A19" s="9"/>
      <c r="B19" s="9"/>
      <c r="C19" s="10"/>
      <c r="D19" s="166" t="str">
        <f t="shared" si="0"/>
        <v/>
      </c>
      <c r="E19" s="167" t="str">
        <f t="shared" si="1"/>
        <v/>
      </c>
      <c r="F19" s="165" t="str">
        <f t="shared" si="37"/>
        <v/>
      </c>
      <c r="G19" s="165" t="str">
        <f t="shared" si="2"/>
        <v/>
      </c>
      <c r="H19" s="11"/>
      <c r="K19" s="9"/>
      <c r="L19" s="9"/>
      <c r="M19" s="10"/>
      <c r="N19" s="166" t="str">
        <f t="shared" si="3"/>
        <v/>
      </c>
      <c r="O19" s="167" t="str">
        <f t="shared" si="4"/>
        <v/>
      </c>
      <c r="P19" s="165" t="str">
        <f t="shared" si="38"/>
        <v/>
      </c>
      <c r="Q19" s="136" t="str">
        <f t="shared" si="39"/>
        <v/>
      </c>
      <c r="R19" s="11"/>
      <c r="U19" s="9"/>
      <c r="V19" s="9"/>
      <c r="W19" s="10"/>
      <c r="X19" s="166" t="str">
        <f t="shared" si="5"/>
        <v/>
      </c>
      <c r="Y19" s="167" t="str">
        <f t="shared" si="6"/>
        <v/>
      </c>
      <c r="Z19" s="165" t="str">
        <f t="shared" si="40"/>
        <v/>
      </c>
      <c r="AA19" s="165" t="str">
        <f t="shared" si="41"/>
        <v/>
      </c>
      <c r="AB19" s="11"/>
      <c r="AD19" s="9"/>
      <c r="AE19" s="9"/>
      <c r="AF19" s="10"/>
      <c r="AG19" s="166" t="str">
        <f t="shared" si="7"/>
        <v/>
      </c>
      <c r="AH19" s="167" t="str">
        <f t="shared" si="8"/>
        <v/>
      </c>
      <c r="AI19" s="165" t="str">
        <f t="shared" si="42"/>
        <v/>
      </c>
      <c r="AJ19" s="165" t="str">
        <f t="shared" si="43"/>
        <v/>
      </c>
      <c r="AK19" s="11"/>
      <c r="AN19" s="9"/>
      <c r="AO19" s="9"/>
      <c r="AP19" s="10"/>
      <c r="AQ19" s="166" t="str">
        <f t="shared" si="9"/>
        <v/>
      </c>
      <c r="AR19" s="167" t="str">
        <f t="shared" si="10"/>
        <v/>
      </c>
      <c r="AS19" s="165" t="str">
        <f t="shared" si="44"/>
        <v/>
      </c>
      <c r="AT19" s="165" t="str">
        <f t="shared" si="45"/>
        <v/>
      </c>
      <c r="AU19" s="11"/>
      <c r="AX19" s="9"/>
      <c r="AY19" s="9"/>
      <c r="AZ19" s="10"/>
      <c r="BA19" s="166" t="str">
        <f t="shared" si="11"/>
        <v/>
      </c>
      <c r="BB19" s="167" t="str">
        <f t="shared" si="12"/>
        <v/>
      </c>
      <c r="BC19" s="165" t="str">
        <f t="shared" si="46"/>
        <v/>
      </c>
      <c r="BD19" s="165" t="str">
        <f t="shared" si="47"/>
        <v/>
      </c>
      <c r="BE19" s="11"/>
      <c r="BH19" s="9"/>
      <c r="BI19" s="9"/>
      <c r="BJ19" s="10"/>
      <c r="BK19" s="166" t="str">
        <f t="shared" si="13"/>
        <v/>
      </c>
      <c r="BL19" s="167" t="str">
        <f t="shared" si="14"/>
        <v/>
      </c>
      <c r="BM19" s="165" t="str">
        <f t="shared" si="48"/>
        <v/>
      </c>
      <c r="BN19" s="165" t="str">
        <f t="shared" si="49"/>
        <v/>
      </c>
      <c r="BO19" s="11"/>
      <c r="BR19" s="9"/>
      <c r="BS19" s="9"/>
      <c r="BT19" s="10"/>
      <c r="BU19" s="166" t="str">
        <f t="shared" si="15"/>
        <v/>
      </c>
      <c r="BV19" s="167" t="str">
        <f t="shared" si="16"/>
        <v/>
      </c>
      <c r="BW19" s="165" t="str">
        <f t="shared" si="50"/>
        <v/>
      </c>
      <c r="BX19" s="165" t="str">
        <f t="shared" si="51"/>
        <v/>
      </c>
      <c r="BY19" s="11"/>
      <c r="CB19" s="9"/>
      <c r="CC19" s="9"/>
      <c r="CD19" s="10"/>
      <c r="CE19" s="166" t="str">
        <f t="shared" si="17"/>
        <v/>
      </c>
      <c r="CF19" s="167" t="str">
        <f t="shared" si="18"/>
        <v/>
      </c>
      <c r="CG19" s="165" t="str">
        <f t="shared" si="52"/>
        <v/>
      </c>
      <c r="CH19" s="165" t="str">
        <f t="shared" si="53"/>
        <v/>
      </c>
      <c r="CI19" s="11"/>
      <c r="CL19" s="9"/>
      <c r="CM19" s="9"/>
      <c r="CN19" s="10"/>
      <c r="CO19" s="166" t="str">
        <f t="shared" si="19"/>
        <v/>
      </c>
      <c r="CP19" s="167" t="str">
        <f t="shared" si="20"/>
        <v/>
      </c>
      <c r="CQ19" s="165" t="str">
        <f t="shared" si="54"/>
        <v/>
      </c>
      <c r="CR19" s="165" t="str">
        <f t="shared" si="55"/>
        <v/>
      </c>
      <c r="CS19" s="11"/>
      <c r="CV19" s="9"/>
      <c r="CW19" s="9"/>
      <c r="CX19" s="10"/>
      <c r="CY19" s="166" t="str">
        <f t="shared" si="21"/>
        <v/>
      </c>
      <c r="CZ19" s="167" t="str">
        <f t="shared" si="22"/>
        <v/>
      </c>
      <c r="DA19" s="165" t="str">
        <f t="shared" si="56"/>
        <v/>
      </c>
      <c r="DB19" s="165" t="str">
        <f t="shared" si="57"/>
        <v/>
      </c>
      <c r="DC19" s="11"/>
      <c r="DF19" s="9"/>
      <c r="DG19" s="9"/>
      <c r="DH19" s="10"/>
      <c r="DI19" s="166" t="str">
        <f t="shared" si="23"/>
        <v/>
      </c>
      <c r="DJ19" s="167" t="str">
        <f t="shared" si="24"/>
        <v/>
      </c>
      <c r="DK19" s="165" t="str">
        <f t="shared" si="58"/>
        <v/>
      </c>
      <c r="DL19" s="165" t="str">
        <f t="shared" si="59"/>
        <v/>
      </c>
      <c r="DM19" s="11"/>
      <c r="DP19" s="9"/>
      <c r="DQ19" s="9"/>
      <c r="DR19" s="10"/>
      <c r="DS19" s="166" t="str">
        <f t="shared" si="25"/>
        <v/>
      </c>
      <c r="DT19" s="167" t="str">
        <f t="shared" si="26"/>
        <v/>
      </c>
      <c r="DU19" s="165" t="str">
        <f t="shared" si="60"/>
        <v/>
      </c>
      <c r="DV19" s="165" t="str">
        <f t="shared" si="61"/>
        <v/>
      </c>
      <c r="DW19" s="11"/>
      <c r="DZ19" s="9"/>
      <c r="EA19" s="9"/>
      <c r="EB19" s="10"/>
      <c r="EC19" s="166" t="str">
        <f t="shared" si="27"/>
        <v/>
      </c>
      <c r="ED19" s="167" t="str">
        <f t="shared" si="28"/>
        <v/>
      </c>
      <c r="EE19" s="165" t="str">
        <f t="shared" si="62"/>
        <v/>
      </c>
      <c r="EF19" s="165" t="str">
        <f t="shared" si="63"/>
        <v/>
      </c>
      <c r="EG19" s="11"/>
      <c r="EJ19" s="9"/>
      <c r="EK19" s="9"/>
      <c r="EL19" s="10"/>
      <c r="EM19" s="166" t="str">
        <f t="shared" si="29"/>
        <v/>
      </c>
      <c r="EN19" s="167" t="str">
        <f t="shared" si="30"/>
        <v/>
      </c>
      <c r="EO19" s="165" t="str">
        <f t="shared" si="64"/>
        <v/>
      </c>
      <c r="EP19" s="165" t="str">
        <f t="shared" si="65"/>
        <v/>
      </c>
      <c r="EQ19" s="11"/>
      <c r="ET19" s="9"/>
      <c r="EU19" s="9"/>
      <c r="EV19" s="10"/>
      <c r="EW19" s="166" t="str">
        <f t="shared" si="31"/>
        <v/>
      </c>
      <c r="EX19" s="167" t="str">
        <f t="shared" si="32"/>
        <v/>
      </c>
      <c r="EY19" s="165" t="str">
        <f t="shared" si="66"/>
        <v/>
      </c>
      <c r="EZ19" s="165" t="str">
        <f t="shared" si="67"/>
        <v/>
      </c>
      <c r="FA19" s="11"/>
      <c r="FD19" s="9"/>
      <c r="FE19" s="9"/>
      <c r="FF19" s="10"/>
      <c r="FG19" s="166" t="str">
        <f t="shared" si="33"/>
        <v/>
      </c>
      <c r="FH19" s="167" t="str">
        <f t="shared" si="34"/>
        <v/>
      </c>
      <c r="FI19" s="165" t="str">
        <f t="shared" si="68"/>
        <v/>
      </c>
      <c r="FJ19" s="165" t="str">
        <f t="shared" si="69"/>
        <v/>
      </c>
      <c r="FK19" s="11"/>
      <c r="FN19" s="9"/>
      <c r="FO19" s="9"/>
      <c r="FP19" s="10"/>
      <c r="FQ19" s="166" t="str">
        <f t="shared" si="35"/>
        <v/>
      </c>
      <c r="FR19" s="167" t="str">
        <f t="shared" si="36"/>
        <v/>
      </c>
      <c r="FS19" s="165" t="str">
        <f t="shared" si="70"/>
        <v/>
      </c>
      <c r="FT19" s="165" t="str">
        <f t="shared" si="71"/>
        <v/>
      </c>
      <c r="FU19" s="11"/>
    </row>
    <row r="20" spans="1:177" x14ac:dyDescent="0.3">
      <c r="A20" s="9"/>
      <c r="B20" s="9"/>
      <c r="C20" s="10"/>
      <c r="D20" s="166" t="str">
        <f t="shared" si="0"/>
        <v/>
      </c>
      <c r="E20" s="167" t="str">
        <f t="shared" si="1"/>
        <v/>
      </c>
      <c r="F20" s="165" t="str">
        <f t="shared" si="37"/>
        <v/>
      </c>
      <c r="G20" s="165" t="str">
        <f t="shared" si="2"/>
        <v/>
      </c>
      <c r="H20" s="11"/>
      <c r="K20" s="9"/>
      <c r="L20" s="9"/>
      <c r="M20" s="10"/>
      <c r="N20" s="166" t="str">
        <f t="shared" si="3"/>
        <v/>
      </c>
      <c r="O20" s="167" t="str">
        <f t="shared" si="4"/>
        <v/>
      </c>
      <c r="P20" s="165" t="str">
        <f t="shared" si="38"/>
        <v/>
      </c>
      <c r="Q20" s="136" t="str">
        <f t="shared" si="39"/>
        <v/>
      </c>
      <c r="R20" s="11"/>
      <c r="U20" s="9"/>
      <c r="V20" s="9"/>
      <c r="W20" s="10"/>
      <c r="X20" s="166" t="str">
        <f t="shared" si="5"/>
        <v/>
      </c>
      <c r="Y20" s="167" t="str">
        <f t="shared" si="6"/>
        <v/>
      </c>
      <c r="Z20" s="165" t="str">
        <f t="shared" si="40"/>
        <v/>
      </c>
      <c r="AA20" s="165" t="str">
        <f t="shared" si="41"/>
        <v/>
      </c>
      <c r="AB20" s="11"/>
      <c r="AD20" s="9"/>
      <c r="AE20" s="9"/>
      <c r="AF20" s="10"/>
      <c r="AG20" s="166" t="str">
        <f t="shared" si="7"/>
        <v/>
      </c>
      <c r="AH20" s="167" t="str">
        <f t="shared" si="8"/>
        <v/>
      </c>
      <c r="AI20" s="165" t="str">
        <f t="shared" si="42"/>
        <v/>
      </c>
      <c r="AJ20" s="165" t="str">
        <f t="shared" si="43"/>
        <v/>
      </c>
      <c r="AK20" s="11"/>
      <c r="AN20" s="9"/>
      <c r="AO20" s="9"/>
      <c r="AP20" s="10"/>
      <c r="AQ20" s="166" t="str">
        <f t="shared" si="9"/>
        <v/>
      </c>
      <c r="AR20" s="167" t="str">
        <f t="shared" si="10"/>
        <v/>
      </c>
      <c r="AS20" s="165" t="str">
        <f t="shared" si="44"/>
        <v/>
      </c>
      <c r="AT20" s="165" t="str">
        <f t="shared" si="45"/>
        <v/>
      </c>
      <c r="AU20" s="11"/>
      <c r="AX20" s="9"/>
      <c r="AY20" s="9"/>
      <c r="AZ20" s="10"/>
      <c r="BA20" s="166" t="str">
        <f t="shared" si="11"/>
        <v/>
      </c>
      <c r="BB20" s="167" t="str">
        <f t="shared" si="12"/>
        <v/>
      </c>
      <c r="BC20" s="165" t="str">
        <f t="shared" si="46"/>
        <v/>
      </c>
      <c r="BD20" s="165" t="str">
        <f t="shared" si="47"/>
        <v/>
      </c>
      <c r="BE20" s="11"/>
      <c r="BH20" s="9"/>
      <c r="BI20" s="9"/>
      <c r="BJ20" s="10"/>
      <c r="BK20" s="166" t="str">
        <f t="shared" si="13"/>
        <v/>
      </c>
      <c r="BL20" s="167" t="str">
        <f t="shared" si="14"/>
        <v/>
      </c>
      <c r="BM20" s="165" t="str">
        <f t="shared" si="48"/>
        <v/>
      </c>
      <c r="BN20" s="165" t="str">
        <f t="shared" si="49"/>
        <v/>
      </c>
      <c r="BO20" s="11"/>
      <c r="BR20" s="9"/>
      <c r="BS20" s="9"/>
      <c r="BT20" s="10"/>
      <c r="BU20" s="166" t="str">
        <f t="shared" si="15"/>
        <v/>
      </c>
      <c r="BV20" s="167" t="str">
        <f t="shared" si="16"/>
        <v/>
      </c>
      <c r="BW20" s="165" t="str">
        <f t="shared" si="50"/>
        <v/>
      </c>
      <c r="BX20" s="165" t="str">
        <f t="shared" si="51"/>
        <v/>
      </c>
      <c r="BY20" s="11"/>
      <c r="CB20" s="9"/>
      <c r="CC20" s="9"/>
      <c r="CD20" s="10"/>
      <c r="CE20" s="166" t="str">
        <f t="shared" si="17"/>
        <v/>
      </c>
      <c r="CF20" s="167" t="str">
        <f t="shared" si="18"/>
        <v/>
      </c>
      <c r="CG20" s="165" t="str">
        <f t="shared" si="52"/>
        <v/>
      </c>
      <c r="CH20" s="165" t="str">
        <f t="shared" si="53"/>
        <v/>
      </c>
      <c r="CI20" s="11"/>
      <c r="CL20" s="9"/>
      <c r="CM20" s="9"/>
      <c r="CN20" s="10"/>
      <c r="CO20" s="166" t="str">
        <f t="shared" si="19"/>
        <v/>
      </c>
      <c r="CP20" s="167" t="str">
        <f t="shared" si="20"/>
        <v/>
      </c>
      <c r="CQ20" s="165" t="str">
        <f t="shared" si="54"/>
        <v/>
      </c>
      <c r="CR20" s="165" t="str">
        <f t="shared" si="55"/>
        <v/>
      </c>
      <c r="CS20" s="11"/>
      <c r="CV20" s="9"/>
      <c r="CW20" s="9"/>
      <c r="CX20" s="10"/>
      <c r="CY20" s="166" t="str">
        <f t="shared" si="21"/>
        <v/>
      </c>
      <c r="CZ20" s="167" t="str">
        <f t="shared" si="22"/>
        <v/>
      </c>
      <c r="DA20" s="165" t="str">
        <f t="shared" si="56"/>
        <v/>
      </c>
      <c r="DB20" s="165" t="str">
        <f t="shared" si="57"/>
        <v/>
      </c>
      <c r="DC20" s="11"/>
      <c r="DF20" s="9"/>
      <c r="DG20" s="9"/>
      <c r="DH20" s="10"/>
      <c r="DI20" s="166" t="str">
        <f t="shared" si="23"/>
        <v/>
      </c>
      <c r="DJ20" s="167" t="str">
        <f t="shared" si="24"/>
        <v/>
      </c>
      <c r="DK20" s="165" t="str">
        <f t="shared" si="58"/>
        <v/>
      </c>
      <c r="DL20" s="165" t="str">
        <f t="shared" si="59"/>
        <v/>
      </c>
      <c r="DM20" s="11"/>
      <c r="DP20" s="9"/>
      <c r="DQ20" s="9"/>
      <c r="DR20" s="10"/>
      <c r="DS20" s="166" t="str">
        <f t="shared" si="25"/>
        <v/>
      </c>
      <c r="DT20" s="167" t="str">
        <f t="shared" si="26"/>
        <v/>
      </c>
      <c r="DU20" s="165" t="str">
        <f t="shared" si="60"/>
        <v/>
      </c>
      <c r="DV20" s="165" t="str">
        <f t="shared" si="61"/>
        <v/>
      </c>
      <c r="DW20" s="11"/>
      <c r="DZ20" s="9"/>
      <c r="EA20" s="9"/>
      <c r="EB20" s="10"/>
      <c r="EC20" s="166" t="str">
        <f t="shared" si="27"/>
        <v/>
      </c>
      <c r="ED20" s="167" t="str">
        <f t="shared" si="28"/>
        <v/>
      </c>
      <c r="EE20" s="165" t="str">
        <f t="shared" si="62"/>
        <v/>
      </c>
      <c r="EF20" s="165" t="str">
        <f t="shared" si="63"/>
        <v/>
      </c>
      <c r="EG20" s="11"/>
      <c r="EJ20" s="9"/>
      <c r="EK20" s="9"/>
      <c r="EL20" s="10"/>
      <c r="EM20" s="166" t="str">
        <f t="shared" si="29"/>
        <v/>
      </c>
      <c r="EN20" s="167" t="str">
        <f t="shared" si="30"/>
        <v/>
      </c>
      <c r="EO20" s="165" t="str">
        <f t="shared" si="64"/>
        <v/>
      </c>
      <c r="EP20" s="165" t="str">
        <f t="shared" si="65"/>
        <v/>
      </c>
      <c r="EQ20" s="11"/>
      <c r="ET20" s="9"/>
      <c r="EU20" s="9"/>
      <c r="EV20" s="10"/>
      <c r="EW20" s="166" t="str">
        <f t="shared" si="31"/>
        <v/>
      </c>
      <c r="EX20" s="167" t="str">
        <f t="shared" si="32"/>
        <v/>
      </c>
      <c r="EY20" s="165" t="str">
        <f t="shared" si="66"/>
        <v/>
      </c>
      <c r="EZ20" s="165" t="str">
        <f t="shared" si="67"/>
        <v/>
      </c>
      <c r="FA20" s="11"/>
      <c r="FD20" s="9"/>
      <c r="FE20" s="9"/>
      <c r="FF20" s="10"/>
      <c r="FG20" s="166" t="str">
        <f t="shared" si="33"/>
        <v/>
      </c>
      <c r="FH20" s="167" t="str">
        <f t="shared" si="34"/>
        <v/>
      </c>
      <c r="FI20" s="165" t="str">
        <f t="shared" si="68"/>
        <v/>
      </c>
      <c r="FJ20" s="165" t="str">
        <f t="shared" si="69"/>
        <v/>
      </c>
      <c r="FK20" s="11"/>
      <c r="FN20" s="9"/>
      <c r="FO20" s="9"/>
      <c r="FP20" s="10"/>
      <c r="FQ20" s="166" t="str">
        <f t="shared" si="35"/>
        <v/>
      </c>
      <c r="FR20" s="167" t="str">
        <f t="shared" si="36"/>
        <v/>
      </c>
      <c r="FS20" s="165" t="str">
        <f t="shared" si="70"/>
        <v/>
      </c>
      <c r="FT20" s="165" t="str">
        <f t="shared" si="71"/>
        <v/>
      </c>
      <c r="FU20" s="11"/>
    </row>
    <row r="21" spans="1:177" x14ac:dyDescent="0.3">
      <c r="A21" s="9"/>
      <c r="B21" s="9" t="s">
        <v>310</v>
      </c>
      <c r="C21" s="10">
        <v>1</v>
      </c>
      <c r="D21" s="166">
        <f t="shared" si="0"/>
        <v>3000000</v>
      </c>
      <c r="E21" s="167">
        <f t="shared" si="1"/>
        <v>2.1352000000000002</v>
      </c>
      <c r="F21" s="165">
        <f t="shared" si="37"/>
        <v>6405600.0000000009</v>
      </c>
      <c r="G21" s="165">
        <f t="shared" si="2"/>
        <v>6405600.0000000009</v>
      </c>
      <c r="H21" s="11"/>
      <c r="K21" s="9"/>
      <c r="L21" s="9" t="s">
        <v>310</v>
      </c>
      <c r="M21" s="10">
        <v>1</v>
      </c>
      <c r="N21" s="166">
        <f t="shared" si="3"/>
        <v>3000000</v>
      </c>
      <c r="O21" s="167">
        <f t="shared" si="4"/>
        <v>2.1352000000000002</v>
      </c>
      <c r="P21" s="165">
        <f t="shared" si="38"/>
        <v>6405600.0000000009</v>
      </c>
      <c r="Q21" s="136">
        <f t="shared" si="39"/>
        <v>6405600.0000000009</v>
      </c>
      <c r="R21" s="11"/>
      <c r="U21" s="9"/>
      <c r="V21" s="9" t="s">
        <v>310</v>
      </c>
      <c r="W21" s="10">
        <v>1</v>
      </c>
      <c r="X21" s="166">
        <f t="shared" si="5"/>
        <v>3000000</v>
      </c>
      <c r="Y21" s="167">
        <f t="shared" si="6"/>
        <v>2.1352000000000002</v>
      </c>
      <c r="Z21" s="165">
        <f t="shared" si="40"/>
        <v>6405600.0000000009</v>
      </c>
      <c r="AA21" s="165">
        <f t="shared" si="41"/>
        <v>6405600.0000000009</v>
      </c>
      <c r="AB21" s="11"/>
      <c r="AD21" s="9"/>
      <c r="AE21" s="9"/>
      <c r="AF21" s="10"/>
      <c r="AG21" s="166" t="str">
        <f t="shared" si="7"/>
        <v/>
      </c>
      <c r="AH21" s="167" t="str">
        <f t="shared" si="8"/>
        <v/>
      </c>
      <c r="AI21" s="165" t="str">
        <f t="shared" si="42"/>
        <v/>
      </c>
      <c r="AJ21" s="165" t="str">
        <f t="shared" si="43"/>
        <v/>
      </c>
      <c r="AK21" s="11"/>
      <c r="AN21" s="9"/>
      <c r="AO21" s="9"/>
      <c r="AP21" s="10"/>
      <c r="AQ21" s="166" t="str">
        <f t="shared" si="9"/>
        <v/>
      </c>
      <c r="AR21" s="167" t="str">
        <f t="shared" si="10"/>
        <v/>
      </c>
      <c r="AS21" s="165" t="str">
        <f t="shared" si="44"/>
        <v/>
      </c>
      <c r="AT21" s="165" t="str">
        <f t="shared" si="45"/>
        <v/>
      </c>
      <c r="AU21" s="11"/>
      <c r="AX21" s="9"/>
      <c r="AY21" s="9"/>
      <c r="AZ21" s="10"/>
      <c r="BA21" s="166" t="str">
        <f t="shared" si="11"/>
        <v/>
      </c>
      <c r="BB21" s="167" t="str">
        <f t="shared" si="12"/>
        <v/>
      </c>
      <c r="BC21" s="165" t="str">
        <f t="shared" si="46"/>
        <v/>
      </c>
      <c r="BD21" s="165" t="str">
        <f t="shared" si="47"/>
        <v/>
      </c>
      <c r="BE21" s="11"/>
      <c r="BH21" s="9"/>
      <c r="BI21" s="9"/>
      <c r="BJ21" s="10"/>
      <c r="BK21" s="166" t="str">
        <f t="shared" si="13"/>
        <v/>
      </c>
      <c r="BL21" s="167" t="str">
        <f t="shared" si="14"/>
        <v/>
      </c>
      <c r="BM21" s="165" t="str">
        <f t="shared" si="48"/>
        <v/>
      </c>
      <c r="BN21" s="165" t="str">
        <f t="shared" si="49"/>
        <v/>
      </c>
      <c r="BO21" s="11"/>
      <c r="BR21" s="9"/>
      <c r="BS21" s="9"/>
      <c r="BT21" s="10"/>
      <c r="BU21" s="166" t="str">
        <f t="shared" si="15"/>
        <v/>
      </c>
      <c r="BV21" s="167" t="str">
        <f t="shared" si="16"/>
        <v/>
      </c>
      <c r="BW21" s="165" t="str">
        <f t="shared" si="50"/>
        <v/>
      </c>
      <c r="BX21" s="165" t="str">
        <f t="shared" si="51"/>
        <v/>
      </c>
      <c r="BY21" s="11"/>
      <c r="CB21" s="9"/>
      <c r="CC21" s="9"/>
      <c r="CD21" s="10"/>
      <c r="CE21" s="166" t="str">
        <f t="shared" si="17"/>
        <v/>
      </c>
      <c r="CF21" s="167" t="str">
        <f t="shared" si="18"/>
        <v/>
      </c>
      <c r="CG21" s="165" t="str">
        <f t="shared" si="52"/>
        <v/>
      </c>
      <c r="CH21" s="165" t="str">
        <f t="shared" si="53"/>
        <v/>
      </c>
      <c r="CI21" s="11"/>
      <c r="CL21" s="9"/>
      <c r="CM21" s="9"/>
      <c r="CN21" s="10"/>
      <c r="CO21" s="166" t="str">
        <f t="shared" si="19"/>
        <v/>
      </c>
      <c r="CP21" s="167" t="str">
        <f t="shared" si="20"/>
        <v/>
      </c>
      <c r="CQ21" s="165" t="str">
        <f t="shared" si="54"/>
        <v/>
      </c>
      <c r="CR21" s="165" t="str">
        <f t="shared" si="55"/>
        <v/>
      </c>
      <c r="CS21" s="11"/>
      <c r="CV21" s="9"/>
      <c r="CW21" s="9"/>
      <c r="CX21" s="10"/>
      <c r="CY21" s="166" t="str">
        <f t="shared" si="21"/>
        <v/>
      </c>
      <c r="CZ21" s="167" t="str">
        <f t="shared" si="22"/>
        <v/>
      </c>
      <c r="DA21" s="165" t="str">
        <f t="shared" si="56"/>
        <v/>
      </c>
      <c r="DB21" s="165" t="str">
        <f t="shared" si="57"/>
        <v/>
      </c>
      <c r="DC21" s="11"/>
      <c r="DF21" s="9"/>
      <c r="DG21" s="9"/>
      <c r="DH21" s="10"/>
      <c r="DI21" s="166" t="str">
        <f t="shared" si="23"/>
        <v/>
      </c>
      <c r="DJ21" s="167" t="str">
        <f t="shared" si="24"/>
        <v/>
      </c>
      <c r="DK21" s="165" t="str">
        <f t="shared" si="58"/>
        <v/>
      </c>
      <c r="DL21" s="165" t="str">
        <f t="shared" si="59"/>
        <v/>
      </c>
      <c r="DM21" s="11"/>
      <c r="DP21" s="9"/>
      <c r="DQ21" s="9"/>
      <c r="DR21" s="10"/>
      <c r="DS21" s="166" t="str">
        <f t="shared" si="25"/>
        <v/>
      </c>
      <c r="DT21" s="167" t="str">
        <f t="shared" si="26"/>
        <v/>
      </c>
      <c r="DU21" s="165" t="str">
        <f t="shared" si="60"/>
        <v/>
      </c>
      <c r="DV21" s="165" t="str">
        <f t="shared" si="61"/>
        <v/>
      </c>
      <c r="DW21" s="11"/>
      <c r="DZ21" s="9"/>
      <c r="EA21" s="9"/>
      <c r="EB21" s="10"/>
      <c r="EC21" s="166" t="str">
        <f t="shared" si="27"/>
        <v/>
      </c>
      <c r="ED21" s="167" t="str">
        <f t="shared" si="28"/>
        <v/>
      </c>
      <c r="EE21" s="165" t="str">
        <f t="shared" si="62"/>
        <v/>
      </c>
      <c r="EF21" s="165" t="str">
        <f t="shared" si="63"/>
        <v/>
      </c>
      <c r="EG21" s="11"/>
      <c r="EJ21" s="9"/>
      <c r="EK21" s="9"/>
      <c r="EL21" s="10"/>
      <c r="EM21" s="166" t="str">
        <f t="shared" si="29"/>
        <v/>
      </c>
      <c r="EN21" s="167" t="str">
        <f t="shared" si="30"/>
        <v/>
      </c>
      <c r="EO21" s="165" t="str">
        <f t="shared" si="64"/>
        <v/>
      </c>
      <c r="EP21" s="165" t="str">
        <f t="shared" si="65"/>
        <v/>
      </c>
      <c r="EQ21" s="11"/>
      <c r="ET21" s="9"/>
      <c r="EU21" s="9"/>
      <c r="EV21" s="10"/>
      <c r="EW21" s="166" t="str">
        <f t="shared" si="31"/>
        <v/>
      </c>
      <c r="EX21" s="167" t="str">
        <f t="shared" si="32"/>
        <v/>
      </c>
      <c r="EY21" s="165" t="str">
        <f t="shared" si="66"/>
        <v/>
      </c>
      <c r="EZ21" s="165" t="str">
        <f t="shared" si="67"/>
        <v/>
      </c>
      <c r="FA21" s="11"/>
      <c r="FD21" s="9"/>
      <c r="FE21" s="9"/>
      <c r="FF21" s="10"/>
      <c r="FG21" s="166" t="str">
        <f t="shared" si="33"/>
        <v/>
      </c>
      <c r="FH21" s="167" t="str">
        <f t="shared" si="34"/>
        <v/>
      </c>
      <c r="FI21" s="165" t="str">
        <f t="shared" si="68"/>
        <v/>
      </c>
      <c r="FJ21" s="165" t="str">
        <f t="shared" si="69"/>
        <v/>
      </c>
      <c r="FK21" s="11"/>
      <c r="FN21" s="9"/>
      <c r="FO21" s="9"/>
      <c r="FP21" s="10"/>
      <c r="FQ21" s="166" t="str">
        <f t="shared" si="35"/>
        <v/>
      </c>
      <c r="FR21" s="167" t="str">
        <f t="shared" si="36"/>
        <v/>
      </c>
      <c r="FS21" s="165" t="str">
        <f t="shared" si="70"/>
        <v/>
      </c>
      <c r="FT21" s="165" t="str">
        <f t="shared" si="71"/>
        <v/>
      </c>
      <c r="FU21" s="11"/>
    </row>
    <row r="22" spans="1:177" x14ac:dyDescent="0.3">
      <c r="A22" s="9"/>
      <c r="B22" s="9" t="s">
        <v>307</v>
      </c>
      <c r="C22" s="10">
        <v>1</v>
      </c>
      <c r="D22" s="166">
        <f t="shared" si="0"/>
        <v>2500000</v>
      </c>
      <c r="E22" s="167">
        <f t="shared" si="1"/>
        <v>2.2351999999999999</v>
      </c>
      <c r="F22" s="165">
        <f>+IF(D22="","",E22*D22)</f>
        <v>5588000</v>
      </c>
      <c r="G22" s="165">
        <f t="shared" si="2"/>
        <v>5588000</v>
      </c>
      <c r="H22" s="11"/>
      <c r="K22" s="9"/>
      <c r="L22" s="9" t="s">
        <v>307</v>
      </c>
      <c r="M22" s="10">
        <v>1</v>
      </c>
      <c r="N22" s="166">
        <f t="shared" si="3"/>
        <v>2500000</v>
      </c>
      <c r="O22" s="167">
        <f t="shared" si="4"/>
        <v>2.2351999999999999</v>
      </c>
      <c r="P22" s="165">
        <f>+IF(N22="","",O22*N22)</f>
        <v>5588000</v>
      </c>
      <c r="Q22" s="136">
        <f>+IF(P22="","",P22*M22)</f>
        <v>5588000</v>
      </c>
      <c r="R22" s="11"/>
      <c r="U22" s="9"/>
      <c r="V22" s="9" t="s">
        <v>307</v>
      </c>
      <c r="W22" s="10">
        <v>1</v>
      </c>
      <c r="X22" s="166">
        <f t="shared" si="5"/>
        <v>2500000</v>
      </c>
      <c r="Y22" s="167">
        <f t="shared" si="6"/>
        <v>2.2351999999999999</v>
      </c>
      <c r="Z22" s="165">
        <f>+IF(X22="","",Y22*X22)</f>
        <v>5588000</v>
      </c>
      <c r="AA22" s="165">
        <f>+IF(Z22="","",Z22*W22)</f>
        <v>5588000</v>
      </c>
      <c r="AB22" s="11"/>
      <c r="AD22" s="9"/>
      <c r="AE22" s="9"/>
      <c r="AF22" s="10"/>
      <c r="AG22" s="166" t="str">
        <f t="shared" si="7"/>
        <v/>
      </c>
      <c r="AH22" s="167" t="str">
        <f t="shared" si="8"/>
        <v/>
      </c>
      <c r="AI22" s="165" t="str">
        <f>+IF(AG22="","",AH22*AG22)</f>
        <v/>
      </c>
      <c r="AJ22" s="165" t="str">
        <f>+IF(AI22="","",AI22*AF22)</f>
        <v/>
      </c>
      <c r="AK22" s="11"/>
      <c r="AN22" s="9"/>
      <c r="AO22" s="9"/>
      <c r="AP22" s="10"/>
      <c r="AQ22" s="166" t="str">
        <f t="shared" si="9"/>
        <v/>
      </c>
      <c r="AR22" s="167" t="str">
        <f t="shared" si="10"/>
        <v/>
      </c>
      <c r="AS22" s="165" t="str">
        <f>+IF(AQ22="","",AR22*AQ22)</f>
        <v/>
      </c>
      <c r="AT22" s="165" t="str">
        <f>+IF(AS22="","",AS22*AP22)</f>
        <v/>
      </c>
      <c r="AU22" s="11"/>
      <c r="AX22" s="9"/>
      <c r="AY22" s="9"/>
      <c r="AZ22" s="10"/>
      <c r="BA22" s="166" t="str">
        <f t="shared" si="11"/>
        <v/>
      </c>
      <c r="BB22" s="167" t="str">
        <f t="shared" si="12"/>
        <v/>
      </c>
      <c r="BC22" s="165" t="str">
        <f>+IF(BA22="","",BB22*BA22)</f>
        <v/>
      </c>
      <c r="BD22" s="165" t="str">
        <f>+IF(BC22="","",BC22*AZ22)</f>
        <v/>
      </c>
      <c r="BE22" s="11"/>
      <c r="BH22" s="9"/>
      <c r="BI22" s="9"/>
      <c r="BJ22" s="10"/>
      <c r="BK22" s="166" t="str">
        <f t="shared" si="13"/>
        <v/>
      </c>
      <c r="BL22" s="167" t="str">
        <f t="shared" si="14"/>
        <v/>
      </c>
      <c r="BM22" s="165" t="str">
        <f>+IF(BK22="","",BL22*BK22)</f>
        <v/>
      </c>
      <c r="BN22" s="165" t="str">
        <f>+IF(BM22="","",BM22*BJ22)</f>
        <v/>
      </c>
      <c r="BO22" s="11"/>
      <c r="BR22" s="9"/>
      <c r="BS22" s="9"/>
      <c r="BT22" s="10"/>
      <c r="BU22" s="166" t="str">
        <f t="shared" si="15"/>
        <v/>
      </c>
      <c r="BV22" s="167" t="str">
        <f t="shared" si="16"/>
        <v/>
      </c>
      <c r="BW22" s="165" t="str">
        <f>+IF(BU22="","",BV22*BU22)</f>
        <v/>
      </c>
      <c r="BX22" s="165" t="str">
        <f>+IF(BW22="","",BW22*BT22)</f>
        <v/>
      </c>
      <c r="BY22" s="11"/>
      <c r="CB22" s="9"/>
      <c r="CC22" s="9"/>
      <c r="CD22" s="10"/>
      <c r="CE22" s="166" t="str">
        <f t="shared" si="17"/>
        <v/>
      </c>
      <c r="CF22" s="167" t="str">
        <f t="shared" si="18"/>
        <v/>
      </c>
      <c r="CG22" s="165" t="str">
        <f>+IF(CE22="","",CF22*CE22)</f>
        <v/>
      </c>
      <c r="CH22" s="165" t="str">
        <f>+IF(CG22="","",CG22*CD22)</f>
        <v/>
      </c>
      <c r="CI22" s="11"/>
      <c r="CL22" s="9"/>
      <c r="CM22" s="9"/>
      <c r="CN22" s="10"/>
      <c r="CO22" s="166" t="str">
        <f t="shared" si="19"/>
        <v/>
      </c>
      <c r="CP22" s="167" t="str">
        <f t="shared" si="20"/>
        <v/>
      </c>
      <c r="CQ22" s="165" t="str">
        <f>+IF(CO22="","",CP22*CO22)</f>
        <v/>
      </c>
      <c r="CR22" s="165" t="str">
        <f>+IF(CQ22="","",CQ22*CN22)</f>
        <v/>
      </c>
      <c r="CS22" s="11"/>
      <c r="CV22" s="9"/>
      <c r="CW22" s="9"/>
      <c r="CX22" s="10"/>
      <c r="CY22" s="166" t="str">
        <f t="shared" si="21"/>
        <v/>
      </c>
      <c r="CZ22" s="167" t="str">
        <f t="shared" si="22"/>
        <v/>
      </c>
      <c r="DA22" s="165" t="str">
        <f>+IF(CY22="","",CZ22*CY22)</f>
        <v/>
      </c>
      <c r="DB22" s="165" t="str">
        <f>+IF(DA22="","",DA22*CX22)</f>
        <v/>
      </c>
      <c r="DC22" s="11"/>
      <c r="DF22" s="9"/>
      <c r="DG22" s="9"/>
      <c r="DH22" s="10"/>
      <c r="DI22" s="166" t="str">
        <f t="shared" si="23"/>
        <v/>
      </c>
      <c r="DJ22" s="167" t="str">
        <f t="shared" si="24"/>
        <v/>
      </c>
      <c r="DK22" s="165" t="str">
        <f>+IF(DI22="","",DJ22*DI22)</f>
        <v/>
      </c>
      <c r="DL22" s="165" t="str">
        <f>+IF(DK22="","",DK22*DH22)</f>
        <v/>
      </c>
      <c r="DM22" s="11"/>
      <c r="DP22" s="9"/>
      <c r="DQ22" s="9"/>
      <c r="DR22" s="10"/>
      <c r="DS22" s="166" t="str">
        <f t="shared" si="25"/>
        <v/>
      </c>
      <c r="DT22" s="167" t="str">
        <f t="shared" si="26"/>
        <v/>
      </c>
      <c r="DU22" s="165" t="str">
        <f>+IF(DS22="","",DT22*DS22)</f>
        <v/>
      </c>
      <c r="DV22" s="165" t="str">
        <f>+IF(DU22="","",DU22*DR22)</f>
        <v/>
      </c>
      <c r="DW22" s="11"/>
      <c r="DZ22" s="9"/>
      <c r="EA22" s="9"/>
      <c r="EB22" s="10"/>
      <c r="EC22" s="166" t="str">
        <f t="shared" si="27"/>
        <v/>
      </c>
      <c r="ED22" s="167" t="str">
        <f t="shared" si="28"/>
        <v/>
      </c>
      <c r="EE22" s="165" t="str">
        <f>+IF(EC22="","",ED22*EC22)</f>
        <v/>
      </c>
      <c r="EF22" s="165" t="str">
        <f>+IF(EE22="","",EE22*EB22)</f>
        <v/>
      </c>
      <c r="EG22" s="11"/>
      <c r="EJ22" s="9"/>
      <c r="EK22" s="9"/>
      <c r="EL22" s="10"/>
      <c r="EM22" s="166" t="str">
        <f t="shared" si="29"/>
        <v/>
      </c>
      <c r="EN22" s="167" t="str">
        <f t="shared" si="30"/>
        <v/>
      </c>
      <c r="EO22" s="165" t="str">
        <f>+IF(EM22="","",EN22*EM22)</f>
        <v/>
      </c>
      <c r="EP22" s="165" t="str">
        <f>+IF(EO22="","",EO22*EL22)</f>
        <v/>
      </c>
      <c r="EQ22" s="11"/>
      <c r="ET22" s="9"/>
      <c r="EU22" s="9"/>
      <c r="EV22" s="10"/>
      <c r="EW22" s="166" t="str">
        <f t="shared" si="31"/>
        <v/>
      </c>
      <c r="EX22" s="167" t="str">
        <f t="shared" si="32"/>
        <v/>
      </c>
      <c r="EY22" s="165" t="str">
        <f>+IF(EW22="","",EX22*EW22)</f>
        <v/>
      </c>
      <c r="EZ22" s="165" t="str">
        <f>+IF(EY22="","",EY22*EV22)</f>
        <v/>
      </c>
      <c r="FA22" s="11"/>
      <c r="FD22" s="9"/>
      <c r="FE22" s="9"/>
      <c r="FF22" s="10"/>
      <c r="FG22" s="166" t="str">
        <f t="shared" si="33"/>
        <v/>
      </c>
      <c r="FH22" s="167" t="str">
        <f t="shared" si="34"/>
        <v/>
      </c>
      <c r="FI22" s="165" t="str">
        <f>+IF(FG22="","",FH22*FG22)</f>
        <v/>
      </c>
      <c r="FJ22" s="165" t="str">
        <f>+IF(FI22="","",FI22*FF22)</f>
        <v/>
      </c>
      <c r="FK22" s="11"/>
      <c r="FN22" s="9"/>
      <c r="FO22" s="9"/>
      <c r="FP22" s="10"/>
      <c r="FQ22" s="166" t="str">
        <f t="shared" si="35"/>
        <v/>
      </c>
      <c r="FR22" s="167" t="str">
        <f t="shared" si="36"/>
        <v/>
      </c>
      <c r="FS22" s="165" t="str">
        <f>+IF(FQ22="","",FR22*FQ22)</f>
        <v/>
      </c>
      <c r="FT22" s="165" t="str">
        <f>+IF(FS22="","",FS22*FP22)</f>
        <v/>
      </c>
      <c r="FU22" s="11"/>
    </row>
    <row r="23" spans="1:177" x14ac:dyDescent="0.3">
      <c r="A23" s="9"/>
      <c r="B23" s="9"/>
      <c r="C23" s="10"/>
      <c r="D23" s="166" t="str">
        <f t="shared" si="0"/>
        <v/>
      </c>
      <c r="E23" s="167" t="str">
        <f t="shared" si="1"/>
        <v/>
      </c>
      <c r="F23" s="165" t="str">
        <f>+IF(D23="","",E23*D23)</f>
        <v/>
      </c>
      <c r="G23" s="165" t="str">
        <f t="shared" si="2"/>
        <v/>
      </c>
      <c r="H23" s="11"/>
      <c r="K23" s="9"/>
      <c r="L23" s="9"/>
      <c r="M23" s="10"/>
      <c r="N23" s="166" t="str">
        <f t="shared" si="3"/>
        <v/>
      </c>
      <c r="O23" s="167" t="str">
        <f t="shared" si="4"/>
        <v/>
      </c>
      <c r="P23" s="165" t="str">
        <f>+IF(N23="","",O23*N23)</f>
        <v/>
      </c>
      <c r="Q23" s="136" t="str">
        <f>+IF(P23="","",P23*M23)</f>
        <v/>
      </c>
      <c r="R23" s="11"/>
      <c r="U23" s="9"/>
      <c r="V23" s="9"/>
      <c r="W23" s="10"/>
      <c r="X23" s="166" t="str">
        <f t="shared" si="5"/>
        <v/>
      </c>
      <c r="Y23" s="167" t="str">
        <f t="shared" si="6"/>
        <v/>
      </c>
      <c r="Z23" s="165" t="str">
        <f>+IF(X23="","",Y23*X23)</f>
        <v/>
      </c>
      <c r="AA23" s="165" t="str">
        <f>+IF(Z23="","",Z23*W23)</f>
        <v/>
      </c>
      <c r="AB23" s="11"/>
      <c r="AD23" s="9"/>
      <c r="AE23" s="9"/>
      <c r="AF23" s="10"/>
      <c r="AG23" s="166" t="str">
        <f t="shared" si="7"/>
        <v/>
      </c>
      <c r="AH23" s="167" t="str">
        <f t="shared" si="8"/>
        <v/>
      </c>
      <c r="AI23" s="165" t="str">
        <f>+IF(AG23="","",AH23*AG23)</f>
        <v/>
      </c>
      <c r="AJ23" s="165" t="str">
        <f>+IF(AI23="","",AI23*AF23)</f>
        <v/>
      </c>
      <c r="AK23" s="11"/>
      <c r="AN23" s="9"/>
      <c r="AO23" s="9"/>
      <c r="AP23" s="10"/>
      <c r="AQ23" s="166" t="str">
        <f t="shared" si="9"/>
        <v/>
      </c>
      <c r="AR23" s="167" t="str">
        <f t="shared" si="10"/>
        <v/>
      </c>
      <c r="AS23" s="165" t="str">
        <f>+IF(AQ23="","",AR23*AQ23)</f>
        <v/>
      </c>
      <c r="AT23" s="165" t="str">
        <f>+IF(AS23="","",AS23*AP23)</f>
        <v/>
      </c>
      <c r="AU23" s="11"/>
      <c r="AX23" s="9"/>
      <c r="AY23" s="9"/>
      <c r="AZ23" s="10"/>
      <c r="BA23" s="166" t="str">
        <f t="shared" si="11"/>
        <v/>
      </c>
      <c r="BB23" s="167" t="str">
        <f t="shared" si="12"/>
        <v/>
      </c>
      <c r="BC23" s="165" t="str">
        <f>+IF(BA23="","",BB23*BA23)</f>
        <v/>
      </c>
      <c r="BD23" s="165" t="str">
        <f>+IF(BC23="","",BC23*AZ23)</f>
        <v/>
      </c>
      <c r="BE23" s="11"/>
      <c r="BH23" s="9"/>
      <c r="BI23" s="9"/>
      <c r="BJ23" s="10"/>
      <c r="BK23" s="166" t="str">
        <f t="shared" si="13"/>
        <v/>
      </c>
      <c r="BL23" s="167" t="str">
        <f t="shared" si="14"/>
        <v/>
      </c>
      <c r="BM23" s="165" t="str">
        <f>+IF(BK23="","",BL23*BK23)</f>
        <v/>
      </c>
      <c r="BN23" s="165" t="str">
        <f>+IF(BM23="","",BM23*BJ23)</f>
        <v/>
      </c>
      <c r="BO23" s="11"/>
      <c r="BR23" s="9"/>
      <c r="BS23" s="9"/>
      <c r="BT23" s="10"/>
      <c r="BU23" s="166" t="str">
        <f t="shared" si="15"/>
        <v/>
      </c>
      <c r="BV23" s="167" t="str">
        <f t="shared" si="16"/>
        <v/>
      </c>
      <c r="BW23" s="165" t="str">
        <f>+IF(BU23="","",BV23*BU23)</f>
        <v/>
      </c>
      <c r="BX23" s="165" t="str">
        <f>+IF(BW23="","",BW23*BT23)</f>
        <v/>
      </c>
      <c r="BY23" s="11"/>
      <c r="CB23" s="9"/>
      <c r="CC23" s="9"/>
      <c r="CD23" s="10"/>
      <c r="CE23" s="166" t="str">
        <f t="shared" si="17"/>
        <v/>
      </c>
      <c r="CF23" s="167" t="str">
        <f t="shared" si="18"/>
        <v/>
      </c>
      <c r="CG23" s="165" t="str">
        <f>+IF(CE23="","",CF23*CE23)</f>
        <v/>
      </c>
      <c r="CH23" s="165" t="str">
        <f>+IF(CG23="","",CG23*CD23)</f>
        <v/>
      </c>
      <c r="CI23" s="11"/>
      <c r="CL23" s="9"/>
      <c r="CM23" s="9"/>
      <c r="CN23" s="10"/>
      <c r="CO23" s="166" t="str">
        <f t="shared" si="19"/>
        <v/>
      </c>
      <c r="CP23" s="167" t="str">
        <f t="shared" si="20"/>
        <v/>
      </c>
      <c r="CQ23" s="165" t="str">
        <f>+IF(CO23="","",CP23*CO23)</f>
        <v/>
      </c>
      <c r="CR23" s="165" t="str">
        <f>+IF(CQ23="","",CQ23*CN23)</f>
        <v/>
      </c>
      <c r="CS23" s="11"/>
      <c r="CV23" s="9"/>
      <c r="CW23" s="9"/>
      <c r="CX23" s="10"/>
      <c r="CY23" s="166" t="str">
        <f t="shared" si="21"/>
        <v/>
      </c>
      <c r="CZ23" s="167" t="str">
        <f t="shared" si="22"/>
        <v/>
      </c>
      <c r="DA23" s="165" t="str">
        <f>+IF(CY23="","",CZ23*CY23)</f>
        <v/>
      </c>
      <c r="DB23" s="165" t="str">
        <f>+IF(DA23="","",DA23*CX23)</f>
        <v/>
      </c>
      <c r="DC23" s="11"/>
      <c r="DF23" s="9"/>
      <c r="DG23" s="9"/>
      <c r="DH23" s="10"/>
      <c r="DI23" s="166" t="str">
        <f t="shared" si="23"/>
        <v/>
      </c>
      <c r="DJ23" s="167" t="str">
        <f t="shared" si="24"/>
        <v/>
      </c>
      <c r="DK23" s="165" t="str">
        <f>+IF(DI23="","",DJ23*DI23)</f>
        <v/>
      </c>
      <c r="DL23" s="165" t="str">
        <f>+IF(DK23="","",DK23*DH23)</f>
        <v/>
      </c>
      <c r="DM23" s="11"/>
      <c r="DP23" s="9"/>
      <c r="DQ23" s="9"/>
      <c r="DR23" s="10"/>
      <c r="DS23" s="166" t="str">
        <f t="shared" si="25"/>
        <v/>
      </c>
      <c r="DT23" s="167" t="str">
        <f t="shared" si="26"/>
        <v/>
      </c>
      <c r="DU23" s="165" t="str">
        <f>+IF(DS23="","",DT23*DS23)</f>
        <v/>
      </c>
      <c r="DV23" s="165" t="str">
        <f>+IF(DU23="","",DU23*DR23)</f>
        <v/>
      </c>
      <c r="DW23" s="11"/>
      <c r="DZ23" s="9"/>
      <c r="EA23" s="9"/>
      <c r="EB23" s="10"/>
      <c r="EC23" s="166" t="str">
        <f t="shared" si="27"/>
        <v/>
      </c>
      <c r="ED23" s="167" t="str">
        <f t="shared" si="28"/>
        <v/>
      </c>
      <c r="EE23" s="165" t="str">
        <f>+IF(EC23="","",ED23*EC23)</f>
        <v/>
      </c>
      <c r="EF23" s="165" t="str">
        <f>+IF(EE23="","",EE23*EB23)</f>
        <v/>
      </c>
      <c r="EG23" s="11"/>
      <c r="EJ23" s="9"/>
      <c r="EK23" s="9"/>
      <c r="EL23" s="10"/>
      <c r="EM23" s="166" t="str">
        <f t="shared" si="29"/>
        <v/>
      </c>
      <c r="EN23" s="167" t="str">
        <f t="shared" si="30"/>
        <v/>
      </c>
      <c r="EO23" s="165" t="str">
        <f>+IF(EM23="","",EN23*EM23)</f>
        <v/>
      </c>
      <c r="EP23" s="165" t="str">
        <f>+IF(EO23="","",EO23*EL23)</f>
        <v/>
      </c>
      <c r="EQ23" s="11"/>
      <c r="ET23" s="9"/>
      <c r="EU23" s="9"/>
      <c r="EV23" s="10"/>
      <c r="EW23" s="166" t="str">
        <f t="shared" si="31"/>
        <v/>
      </c>
      <c r="EX23" s="167" t="str">
        <f t="shared" si="32"/>
        <v/>
      </c>
      <c r="EY23" s="165" t="str">
        <f>+IF(EW23="","",EX23*EW23)</f>
        <v/>
      </c>
      <c r="EZ23" s="165" t="str">
        <f>+IF(EY23="","",EY23*EV23)</f>
        <v/>
      </c>
      <c r="FA23" s="11"/>
      <c r="FD23" s="9"/>
      <c r="FE23" s="9"/>
      <c r="FF23" s="10"/>
      <c r="FG23" s="166" t="str">
        <f t="shared" si="33"/>
        <v/>
      </c>
      <c r="FH23" s="167" t="str">
        <f t="shared" si="34"/>
        <v/>
      </c>
      <c r="FI23" s="165" t="str">
        <f>+IF(FG23="","",FH23*FG23)</f>
        <v/>
      </c>
      <c r="FJ23" s="165" t="str">
        <f>+IF(FI23="","",FI23*FF23)</f>
        <v/>
      </c>
      <c r="FK23" s="11"/>
      <c r="FN23" s="9"/>
      <c r="FO23" s="9"/>
      <c r="FP23" s="10"/>
      <c r="FQ23" s="166" t="str">
        <f t="shared" si="35"/>
        <v/>
      </c>
      <c r="FR23" s="167" t="str">
        <f t="shared" si="36"/>
        <v/>
      </c>
      <c r="FS23" s="165" t="str">
        <f>+IF(FQ23="","",FR23*FQ23)</f>
        <v/>
      </c>
      <c r="FT23" s="165" t="str">
        <f>+IF(FS23="","",FS23*FP23)</f>
        <v/>
      </c>
      <c r="FU23" s="11"/>
    </row>
    <row r="24" spans="1:177" x14ac:dyDescent="0.3">
      <c r="A24" s="9"/>
      <c r="B24" s="9" t="s">
        <v>313</v>
      </c>
      <c r="C24" s="10">
        <v>1</v>
      </c>
      <c r="D24" s="166">
        <f t="shared" si="0"/>
        <v>1400000</v>
      </c>
      <c r="E24" s="167">
        <f t="shared" si="1"/>
        <v>1.6352</v>
      </c>
      <c r="F24" s="165">
        <f>+IF(D24="","",E24*D24)</f>
        <v>2289280</v>
      </c>
      <c r="G24" s="165">
        <f t="shared" si="2"/>
        <v>2289280</v>
      </c>
      <c r="H24" s="11"/>
      <c r="K24" s="9"/>
      <c r="L24" s="9" t="s">
        <v>313</v>
      </c>
      <c r="M24" s="10">
        <v>1</v>
      </c>
      <c r="N24" s="166">
        <f t="shared" si="3"/>
        <v>1400000</v>
      </c>
      <c r="O24" s="167">
        <f t="shared" si="4"/>
        <v>1.6352</v>
      </c>
      <c r="P24" s="165">
        <f>+IF(N24="","",O24*N24)</f>
        <v>2289280</v>
      </c>
      <c r="Q24" s="136">
        <f>+IF(P24="","",P24*M24)</f>
        <v>2289280</v>
      </c>
      <c r="R24" s="11"/>
      <c r="U24" s="9"/>
      <c r="V24" s="9" t="s">
        <v>313</v>
      </c>
      <c r="W24" s="10">
        <v>1</v>
      </c>
      <c r="X24" s="166">
        <f t="shared" si="5"/>
        <v>1400000</v>
      </c>
      <c r="Y24" s="167">
        <f t="shared" si="6"/>
        <v>1.6352</v>
      </c>
      <c r="Z24" s="165">
        <f>+IF(X24="","",Y24*X24)</f>
        <v>2289280</v>
      </c>
      <c r="AA24" s="165">
        <f>+IF(Z24="","",Z24*W24)</f>
        <v>2289280</v>
      </c>
      <c r="AB24" s="11"/>
      <c r="AD24" s="9"/>
      <c r="AE24" s="9"/>
      <c r="AF24" s="10"/>
      <c r="AG24" s="166" t="str">
        <f t="shared" si="7"/>
        <v/>
      </c>
      <c r="AH24" s="167" t="str">
        <f t="shared" si="8"/>
        <v/>
      </c>
      <c r="AI24" s="165" t="str">
        <f>+IF(AG24="","",AH24*AG24)</f>
        <v/>
      </c>
      <c r="AJ24" s="165" t="str">
        <f>+IF(AI24="","",AI24*AF24)</f>
        <v/>
      </c>
      <c r="AK24" s="11"/>
      <c r="AN24" s="9"/>
      <c r="AO24" s="9"/>
      <c r="AP24" s="10"/>
      <c r="AQ24" s="166" t="str">
        <f t="shared" si="9"/>
        <v/>
      </c>
      <c r="AR24" s="167" t="str">
        <f t="shared" si="10"/>
        <v/>
      </c>
      <c r="AS24" s="165" t="str">
        <f>+IF(AQ24="","",AR24*AQ24)</f>
        <v/>
      </c>
      <c r="AT24" s="165" t="str">
        <f>+IF(AS24="","",AS24*AP24)</f>
        <v/>
      </c>
      <c r="AU24" s="11"/>
      <c r="AX24" s="9"/>
      <c r="AY24" s="9"/>
      <c r="AZ24" s="10"/>
      <c r="BA24" s="166" t="str">
        <f t="shared" si="11"/>
        <v/>
      </c>
      <c r="BB24" s="167" t="str">
        <f t="shared" si="12"/>
        <v/>
      </c>
      <c r="BC24" s="165" t="str">
        <f>+IF(BA24="","",BB24*BA24)</f>
        <v/>
      </c>
      <c r="BD24" s="165" t="str">
        <f>+IF(BC24="","",BC24*AZ24)</f>
        <v/>
      </c>
      <c r="BE24" s="11"/>
      <c r="BH24" s="9"/>
      <c r="BI24" s="9"/>
      <c r="BJ24" s="10"/>
      <c r="BK24" s="166" t="str">
        <f t="shared" si="13"/>
        <v/>
      </c>
      <c r="BL24" s="167" t="str">
        <f t="shared" si="14"/>
        <v/>
      </c>
      <c r="BM24" s="165" t="str">
        <f>+IF(BK24="","",BL24*BK24)</f>
        <v/>
      </c>
      <c r="BN24" s="165" t="str">
        <f>+IF(BM24="","",BM24*BJ24)</f>
        <v/>
      </c>
      <c r="BO24" s="11"/>
      <c r="BR24" s="9"/>
      <c r="BS24" s="9"/>
      <c r="BT24" s="10"/>
      <c r="BU24" s="166" t="str">
        <f t="shared" si="15"/>
        <v/>
      </c>
      <c r="BV24" s="167" t="str">
        <f t="shared" si="16"/>
        <v/>
      </c>
      <c r="BW24" s="165" t="str">
        <f>+IF(BU24="","",BV24*BU24)</f>
        <v/>
      </c>
      <c r="BX24" s="165" t="str">
        <f>+IF(BW24="","",BW24*BT24)</f>
        <v/>
      </c>
      <c r="BY24" s="11"/>
      <c r="CB24" s="9"/>
      <c r="CC24" s="9"/>
      <c r="CD24" s="10"/>
      <c r="CE24" s="166" t="str">
        <f t="shared" si="17"/>
        <v/>
      </c>
      <c r="CF24" s="167" t="str">
        <f t="shared" si="18"/>
        <v/>
      </c>
      <c r="CG24" s="165" t="str">
        <f>+IF(CE24="","",CF24*CE24)</f>
        <v/>
      </c>
      <c r="CH24" s="165" t="str">
        <f>+IF(CG24="","",CG24*CD24)</f>
        <v/>
      </c>
      <c r="CI24" s="11"/>
      <c r="CL24" s="9"/>
      <c r="CM24" s="9"/>
      <c r="CN24" s="10"/>
      <c r="CO24" s="166" t="str">
        <f t="shared" si="19"/>
        <v/>
      </c>
      <c r="CP24" s="167" t="str">
        <f t="shared" si="20"/>
        <v/>
      </c>
      <c r="CQ24" s="165" t="str">
        <f>+IF(CO24="","",CP24*CO24)</f>
        <v/>
      </c>
      <c r="CR24" s="165" t="str">
        <f>+IF(CQ24="","",CQ24*CN24)</f>
        <v/>
      </c>
      <c r="CS24" s="11"/>
      <c r="CV24" s="9"/>
      <c r="CW24" s="9"/>
      <c r="CX24" s="10"/>
      <c r="CY24" s="166" t="str">
        <f t="shared" si="21"/>
        <v/>
      </c>
      <c r="CZ24" s="167" t="str">
        <f t="shared" si="22"/>
        <v/>
      </c>
      <c r="DA24" s="165" t="str">
        <f>+IF(CY24="","",CZ24*CY24)</f>
        <v/>
      </c>
      <c r="DB24" s="165" t="str">
        <f>+IF(DA24="","",DA24*CX24)</f>
        <v/>
      </c>
      <c r="DC24" s="11"/>
      <c r="DF24" s="9"/>
      <c r="DG24" s="9"/>
      <c r="DH24" s="10"/>
      <c r="DI24" s="166" t="str">
        <f t="shared" si="23"/>
        <v/>
      </c>
      <c r="DJ24" s="167" t="str">
        <f t="shared" si="24"/>
        <v/>
      </c>
      <c r="DK24" s="165" t="str">
        <f>+IF(DI24="","",DJ24*DI24)</f>
        <v/>
      </c>
      <c r="DL24" s="165" t="str">
        <f>+IF(DK24="","",DK24*DH24)</f>
        <v/>
      </c>
      <c r="DM24" s="11"/>
      <c r="DP24" s="9"/>
      <c r="DQ24" s="9"/>
      <c r="DR24" s="10"/>
      <c r="DS24" s="166" t="str">
        <f t="shared" si="25"/>
        <v/>
      </c>
      <c r="DT24" s="167" t="str">
        <f t="shared" si="26"/>
        <v/>
      </c>
      <c r="DU24" s="165" t="str">
        <f>+IF(DS24="","",DT24*DS24)</f>
        <v/>
      </c>
      <c r="DV24" s="165" t="str">
        <f>+IF(DU24="","",DU24*DR24)</f>
        <v/>
      </c>
      <c r="DW24" s="11"/>
      <c r="DZ24" s="9"/>
      <c r="EA24" s="9"/>
      <c r="EB24" s="10"/>
      <c r="EC24" s="166" t="str">
        <f t="shared" si="27"/>
        <v/>
      </c>
      <c r="ED24" s="167" t="str">
        <f t="shared" si="28"/>
        <v/>
      </c>
      <c r="EE24" s="165" t="str">
        <f>+IF(EC24="","",ED24*EC24)</f>
        <v/>
      </c>
      <c r="EF24" s="165" t="str">
        <f>+IF(EE24="","",EE24*EB24)</f>
        <v/>
      </c>
      <c r="EG24" s="11"/>
      <c r="EJ24" s="9"/>
      <c r="EK24" s="9"/>
      <c r="EL24" s="10"/>
      <c r="EM24" s="166" t="str">
        <f t="shared" si="29"/>
        <v/>
      </c>
      <c r="EN24" s="167" t="str">
        <f t="shared" si="30"/>
        <v/>
      </c>
      <c r="EO24" s="165" t="str">
        <f>+IF(EM24="","",EN24*EM24)</f>
        <v/>
      </c>
      <c r="EP24" s="165" t="str">
        <f>+IF(EO24="","",EO24*EL24)</f>
        <v/>
      </c>
      <c r="EQ24" s="11"/>
      <c r="ET24" s="9"/>
      <c r="EU24" s="9"/>
      <c r="EV24" s="10"/>
      <c r="EW24" s="166" t="str">
        <f t="shared" si="31"/>
        <v/>
      </c>
      <c r="EX24" s="167" t="str">
        <f t="shared" si="32"/>
        <v/>
      </c>
      <c r="EY24" s="165" t="str">
        <f>+IF(EW24="","",EX24*EW24)</f>
        <v/>
      </c>
      <c r="EZ24" s="165" t="str">
        <f>+IF(EY24="","",EY24*EV24)</f>
        <v/>
      </c>
      <c r="FA24" s="11"/>
      <c r="FD24" s="9"/>
      <c r="FE24" s="9"/>
      <c r="FF24" s="10"/>
      <c r="FG24" s="166" t="str">
        <f t="shared" si="33"/>
        <v/>
      </c>
      <c r="FH24" s="167" t="str">
        <f t="shared" si="34"/>
        <v/>
      </c>
      <c r="FI24" s="165" t="str">
        <f>+IF(FG24="","",FH24*FG24)</f>
        <v/>
      </c>
      <c r="FJ24" s="165" t="str">
        <f>+IF(FI24="","",FI24*FF24)</f>
        <v/>
      </c>
      <c r="FK24" s="11"/>
      <c r="FN24" s="9"/>
      <c r="FO24" s="9"/>
      <c r="FP24" s="10"/>
      <c r="FQ24" s="166" t="str">
        <f t="shared" si="35"/>
        <v/>
      </c>
      <c r="FR24" s="167" t="str">
        <f t="shared" si="36"/>
        <v/>
      </c>
      <c r="FS24" s="165" t="str">
        <f>+IF(FQ24="","",FR24*FQ24)</f>
        <v/>
      </c>
      <c r="FT24" s="165" t="str">
        <f>+IF(FS24="","",FS24*FP24)</f>
        <v/>
      </c>
      <c r="FU24" s="11"/>
    </row>
    <row r="25" spans="1:177" x14ac:dyDescent="0.3">
      <c r="A25" s="9"/>
      <c r="B25" s="9" t="s">
        <v>314</v>
      </c>
      <c r="C25" s="10">
        <v>1</v>
      </c>
      <c r="D25" s="166">
        <f t="shared" si="0"/>
        <v>2500000</v>
      </c>
      <c r="E25" s="167">
        <f t="shared" si="1"/>
        <v>2.2351999999999999</v>
      </c>
      <c r="F25" s="165">
        <f t="shared" si="37"/>
        <v>5588000</v>
      </c>
      <c r="G25" s="165">
        <f t="shared" si="2"/>
        <v>5588000</v>
      </c>
      <c r="H25" s="11"/>
      <c r="K25" s="9"/>
      <c r="L25" s="9" t="s">
        <v>314</v>
      </c>
      <c r="M25" s="10">
        <v>1</v>
      </c>
      <c r="N25" s="166">
        <f t="shared" si="3"/>
        <v>2500000</v>
      </c>
      <c r="O25" s="167">
        <f t="shared" si="4"/>
        <v>2.2351999999999999</v>
      </c>
      <c r="P25" s="165">
        <f t="shared" ref="P25:P30" si="72">+IF(N25="","",O25*N25)</f>
        <v>5588000</v>
      </c>
      <c r="Q25" s="136">
        <f t="shared" ref="Q25:Q30" si="73">+IF(P25="","",P25*M25)</f>
        <v>5588000</v>
      </c>
      <c r="R25" s="11"/>
      <c r="U25" s="9"/>
      <c r="V25" s="9" t="s">
        <v>314</v>
      </c>
      <c r="W25" s="10">
        <v>1</v>
      </c>
      <c r="X25" s="166">
        <f t="shared" si="5"/>
        <v>2500000</v>
      </c>
      <c r="Y25" s="167">
        <f t="shared" si="6"/>
        <v>2.2351999999999999</v>
      </c>
      <c r="Z25" s="165">
        <f t="shared" ref="Z25:Z30" si="74">+IF(X25="","",Y25*X25)</f>
        <v>5588000</v>
      </c>
      <c r="AA25" s="165">
        <f t="shared" ref="AA25:AA30" si="75">+IF(Z25="","",Z25*W25)</f>
        <v>5588000</v>
      </c>
      <c r="AB25" s="11"/>
      <c r="AD25" s="9"/>
      <c r="AE25" s="9"/>
      <c r="AF25" s="10"/>
      <c r="AG25" s="166" t="str">
        <f t="shared" si="7"/>
        <v/>
      </c>
      <c r="AH25" s="167" t="str">
        <f t="shared" si="8"/>
        <v/>
      </c>
      <c r="AI25" s="165" t="str">
        <f t="shared" ref="AI25:AI30" si="76">+IF(AG25="","",AH25*AG25)</f>
        <v/>
      </c>
      <c r="AJ25" s="165" t="str">
        <f t="shared" ref="AJ25:AJ30" si="77">+IF(AI25="","",AI25*AF25)</f>
        <v/>
      </c>
      <c r="AK25" s="11"/>
      <c r="AN25" s="9"/>
      <c r="AO25" s="9"/>
      <c r="AP25" s="10"/>
      <c r="AQ25" s="166" t="str">
        <f t="shared" si="9"/>
        <v/>
      </c>
      <c r="AR25" s="167" t="str">
        <f t="shared" si="10"/>
        <v/>
      </c>
      <c r="AS25" s="165" t="str">
        <f t="shared" ref="AS25:AS30" si="78">+IF(AQ25="","",AR25*AQ25)</f>
        <v/>
      </c>
      <c r="AT25" s="165" t="str">
        <f t="shared" ref="AT25:AT30" si="79">+IF(AS25="","",AS25*AP25)</f>
        <v/>
      </c>
      <c r="AU25" s="11"/>
      <c r="AX25" s="9"/>
      <c r="AY25" s="9"/>
      <c r="AZ25" s="10"/>
      <c r="BA25" s="166" t="str">
        <f t="shared" si="11"/>
        <v/>
      </c>
      <c r="BB25" s="167" t="str">
        <f t="shared" si="12"/>
        <v/>
      </c>
      <c r="BC25" s="165" t="str">
        <f t="shared" ref="BC25:BC30" si="80">+IF(BA25="","",BB25*BA25)</f>
        <v/>
      </c>
      <c r="BD25" s="165" t="str">
        <f t="shared" ref="BD25:BD30" si="81">+IF(BC25="","",BC25*AZ25)</f>
        <v/>
      </c>
      <c r="BE25" s="11"/>
      <c r="BH25" s="9"/>
      <c r="BI25" s="9"/>
      <c r="BJ25" s="10"/>
      <c r="BK25" s="166" t="str">
        <f t="shared" si="13"/>
        <v/>
      </c>
      <c r="BL25" s="167" t="str">
        <f t="shared" si="14"/>
        <v/>
      </c>
      <c r="BM25" s="165" t="str">
        <f t="shared" ref="BM25:BM30" si="82">+IF(BK25="","",BL25*BK25)</f>
        <v/>
      </c>
      <c r="BN25" s="165" t="str">
        <f t="shared" ref="BN25:BN30" si="83">+IF(BM25="","",BM25*BJ25)</f>
        <v/>
      </c>
      <c r="BO25" s="11"/>
      <c r="BR25" s="9"/>
      <c r="BS25" s="9"/>
      <c r="BT25" s="10"/>
      <c r="BU25" s="166" t="str">
        <f t="shared" si="15"/>
        <v/>
      </c>
      <c r="BV25" s="167" t="str">
        <f t="shared" si="16"/>
        <v/>
      </c>
      <c r="BW25" s="165" t="str">
        <f t="shared" ref="BW25:BW30" si="84">+IF(BU25="","",BV25*BU25)</f>
        <v/>
      </c>
      <c r="BX25" s="165" t="str">
        <f t="shared" ref="BX25:BX30" si="85">+IF(BW25="","",BW25*BT25)</f>
        <v/>
      </c>
      <c r="BY25" s="11"/>
      <c r="CB25" s="9"/>
      <c r="CC25" s="9"/>
      <c r="CD25" s="10"/>
      <c r="CE25" s="166" t="str">
        <f t="shared" si="17"/>
        <v/>
      </c>
      <c r="CF25" s="167" t="str">
        <f t="shared" si="18"/>
        <v/>
      </c>
      <c r="CG25" s="165" t="str">
        <f t="shared" ref="CG25:CG30" si="86">+IF(CE25="","",CF25*CE25)</f>
        <v/>
      </c>
      <c r="CH25" s="165" t="str">
        <f t="shared" ref="CH25:CH30" si="87">+IF(CG25="","",CG25*CD25)</f>
        <v/>
      </c>
      <c r="CI25" s="11"/>
      <c r="CL25" s="9"/>
      <c r="CM25" s="9"/>
      <c r="CN25" s="10"/>
      <c r="CO25" s="166" t="str">
        <f t="shared" si="19"/>
        <v/>
      </c>
      <c r="CP25" s="167" t="str">
        <f t="shared" si="20"/>
        <v/>
      </c>
      <c r="CQ25" s="165" t="str">
        <f t="shared" ref="CQ25:CQ30" si="88">+IF(CO25="","",CP25*CO25)</f>
        <v/>
      </c>
      <c r="CR25" s="165" t="str">
        <f t="shared" ref="CR25:CR30" si="89">+IF(CQ25="","",CQ25*CN25)</f>
        <v/>
      </c>
      <c r="CS25" s="11"/>
      <c r="CV25" s="9"/>
      <c r="CW25" s="9"/>
      <c r="CX25" s="10"/>
      <c r="CY25" s="166" t="str">
        <f t="shared" si="21"/>
        <v/>
      </c>
      <c r="CZ25" s="167" t="str">
        <f t="shared" si="22"/>
        <v/>
      </c>
      <c r="DA25" s="165" t="str">
        <f t="shared" ref="DA25:DA30" si="90">+IF(CY25="","",CZ25*CY25)</f>
        <v/>
      </c>
      <c r="DB25" s="165" t="str">
        <f t="shared" ref="DB25:DB30" si="91">+IF(DA25="","",DA25*CX25)</f>
        <v/>
      </c>
      <c r="DC25" s="11"/>
      <c r="DF25" s="9"/>
      <c r="DG25" s="9"/>
      <c r="DH25" s="10"/>
      <c r="DI25" s="166" t="str">
        <f t="shared" si="23"/>
        <v/>
      </c>
      <c r="DJ25" s="167" t="str">
        <f t="shared" si="24"/>
        <v/>
      </c>
      <c r="DK25" s="165" t="str">
        <f t="shared" ref="DK25:DK30" si="92">+IF(DI25="","",DJ25*DI25)</f>
        <v/>
      </c>
      <c r="DL25" s="165" t="str">
        <f t="shared" ref="DL25:DL30" si="93">+IF(DK25="","",DK25*DH25)</f>
        <v/>
      </c>
      <c r="DM25" s="11"/>
      <c r="DP25" s="9"/>
      <c r="DQ25" s="9"/>
      <c r="DR25" s="10"/>
      <c r="DS25" s="166" t="str">
        <f t="shared" si="25"/>
        <v/>
      </c>
      <c r="DT25" s="167" t="str">
        <f t="shared" si="26"/>
        <v/>
      </c>
      <c r="DU25" s="165" t="str">
        <f t="shared" ref="DU25:DU30" si="94">+IF(DS25="","",DT25*DS25)</f>
        <v/>
      </c>
      <c r="DV25" s="165" t="str">
        <f t="shared" ref="DV25:DV30" si="95">+IF(DU25="","",DU25*DR25)</f>
        <v/>
      </c>
      <c r="DW25" s="11"/>
      <c r="DZ25" s="9"/>
      <c r="EA25" s="9"/>
      <c r="EB25" s="10"/>
      <c r="EC25" s="166" t="str">
        <f t="shared" si="27"/>
        <v/>
      </c>
      <c r="ED25" s="167" t="str">
        <f t="shared" si="28"/>
        <v/>
      </c>
      <c r="EE25" s="165" t="str">
        <f t="shared" ref="EE25:EE30" si="96">+IF(EC25="","",ED25*EC25)</f>
        <v/>
      </c>
      <c r="EF25" s="165" t="str">
        <f t="shared" ref="EF25:EF30" si="97">+IF(EE25="","",EE25*EB25)</f>
        <v/>
      </c>
      <c r="EG25" s="11"/>
      <c r="EJ25" s="9"/>
      <c r="EK25" s="9"/>
      <c r="EL25" s="10"/>
      <c r="EM25" s="166" t="str">
        <f t="shared" si="29"/>
        <v/>
      </c>
      <c r="EN25" s="167" t="str">
        <f t="shared" si="30"/>
        <v/>
      </c>
      <c r="EO25" s="165" t="str">
        <f t="shared" ref="EO25:EO30" si="98">+IF(EM25="","",EN25*EM25)</f>
        <v/>
      </c>
      <c r="EP25" s="165" t="str">
        <f t="shared" ref="EP25:EP30" si="99">+IF(EO25="","",EO25*EL25)</f>
        <v/>
      </c>
      <c r="EQ25" s="11"/>
      <c r="ET25" s="9"/>
      <c r="EU25" s="9"/>
      <c r="EV25" s="10"/>
      <c r="EW25" s="166" t="str">
        <f t="shared" si="31"/>
        <v/>
      </c>
      <c r="EX25" s="167" t="str">
        <f t="shared" si="32"/>
        <v/>
      </c>
      <c r="EY25" s="165" t="str">
        <f t="shared" ref="EY25:EY30" si="100">+IF(EW25="","",EX25*EW25)</f>
        <v/>
      </c>
      <c r="EZ25" s="165" t="str">
        <f t="shared" ref="EZ25:EZ30" si="101">+IF(EY25="","",EY25*EV25)</f>
        <v/>
      </c>
      <c r="FA25" s="11"/>
      <c r="FD25" s="9"/>
      <c r="FE25" s="9"/>
      <c r="FF25" s="10"/>
      <c r="FG25" s="166" t="str">
        <f t="shared" si="33"/>
        <v/>
      </c>
      <c r="FH25" s="167" t="str">
        <f t="shared" si="34"/>
        <v/>
      </c>
      <c r="FI25" s="165" t="str">
        <f t="shared" ref="FI25:FI30" si="102">+IF(FG25="","",FH25*FG25)</f>
        <v/>
      </c>
      <c r="FJ25" s="165" t="str">
        <f t="shared" ref="FJ25:FJ30" si="103">+IF(FI25="","",FI25*FF25)</f>
        <v/>
      </c>
      <c r="FK25" s="11"/>
      <c r="FN25" s="9"/>
      <c r="FO25" s="9"/>
      <c r="FP25" s="10"/>
      <c r="FQ25" s="166" t="str">
        <f t="shared" si="35"/>
        <v/>
      </c>
      <c r="FR25" s="167" t="str">
        <f t="shared" si="36"/>
        <v/>
      </c>
      <c r="FS25" s="165" t="str">
        <f t="shared" ref="FS25:FS30" si="104">+IF(FQ25="","",FR25*FQ25)</f>
        <v/>
      </c>
      <c r="FT25" s="165" t="str">
        <f t="shared" ref="FT25:FT30" si="105">+IF(FS25="","",FS25*FP25)</f>
        <v/>
      </c>
      <c r="FU25" s="11"/>
    </row>
    <row r="26" spans="1:177" x14ac:dyDescent="0.3">
      <c r="A26" s="9"/>
      <c r="B26" s="9"/>
      <c r="C26" s="10"/>
      <c r="D26" s="166" t="str">
        <f t="shared" si="0"/>
        <v/>
      </c>
      <c r="E26" s="167" t="str">
        <f t="shared" si="1"/>
        <v/>
      </c>
      <c r="F26" s="165" t="str">
        <f t="shared" si="37"/>
        <v/>
      </c>
      <c r="G26" s="165" t="str">
        <f t="shared" si="2"/>
        <v/>
      </c>
      <c r="H26" s="11"/>
      <c r="K26" s="9"/>
      <c r="L26" s="9"/>
      <c r="M26" s="10"/>
      <c r="N26" s="166" t="str">
        <f t="shared" si="3"/>
        <v/>
      </c>
      <c r="O26" s="167" t="str">
        <f t="shared" si="4"/>
        <v/>
      </c>
      <c r="P26" s="165" t="str">
        <f t="shared" si="72"/>
        <v/>
      </c>
      <c r="Q26" s="136" t="str">
        <f t="shared" si="73"/>
        <v/>
      </c>
      <c r="R26" s="11"/>
      <c r="U26" s="9"/>
      <c r="V26" s="9"/>
      <c r="W26" s="10"/>
      <c r="X26" s="166" t="str">
        <f t="shared" si="5"/>
        <v/>
      </c>
      <c r="Y26" s="167" t="str">
        <f t="shared" si="6"/>
        <v/>
      </c>
      <c r="Z26" s="165" t="str">
        <f t="shared" si="74"/>
        <v/>
      </c>
      <c r="AA26" s="165" t="str">
        <f t="shared" si="75"/>
        <v/>
      </c>
      <c r="AB26" s="11"/>
      <c r="AD26" s="9"/>
      <c r="AE26" s="9"/>
      <c r="AF26" s="10"/>
      <c r="AG26" s="166" t="str">
        <f t="shared" si="7"/>
        <v/>
      </c>
      <c r="AH26" s="167" t="str">
        <f t="shared" si="8"/>
        <v/>
      </c>
      <c r="AI26" s="165" t="str">
        <f t="shared" si="76"/>
        <v/>
      </c>
      <c r="AJ26" s="165" t="str">
        <f t="shared" si="77"/>
        <v/>
      </c>
      <c r="AK26" s="11"/>
      <c r="AN26" s="9"/>
      <c r="AO26" s="9"/>
      <c r="AP26" s="10"/>
      <c r="AQ26" s="166" t="str">
        <f t="shared" si="9"/>
        <v/>
      </c>
      <c r="AR26" s="167" t="str">
        <f t="shared" si="10"/>
        <v/>
      </c>
      <c r="AS26" s="165" t="str">
        <f t="shared" si="78"/>
        <v/>
      </c>
      <c r="AT26" s="165" t="str">
        <f t="shared" si="79"/>
        <v/>
      </c>
      <c r="AU26" s="11"/>
      <c r="AX26" s="9"/>
      <c r="AY26" s="9"/>
      <c r="AZ26" s="10"/>
      <c r="BA26" s="166" t="str">
        <f t="shared" si="11"/>
        <v/>
      </c>
      <c r="BB26" s="167" t="str">
        <f t="shared" si="12"/>
        <v/>
      </c>
      <c r="BC26" s="165" t="str">
        <f t="shared" si="80"/>
        <v/>
      </c>
      <c r="BD26" s="165" t="str">
        <f t="shared" si="81"/>
        <v/>
      </c>
      <c r="BE26" s="11"/>
      <c r="BH26" s="9"/>
      <c r="BI26" s="9"/>
      <c r="BJ26" s="10"/>
      <c r="BK26" s="166" t="str">
        <f t="shared" si="13"/>
        <v/>
      </c>
      <c r="BL26" s="167" t="str">
        <f t="shared" si="14"/>
        <v/>
      </c>
      <c r="BM26" s="165" t="str">
        <f t="shared" si="82"/>
        <v/>
      </c>
      <c r="BN26" s="165" t="str">
        <f t="shared" si="83"/>
        <v/>
      </c>
      <c r="BO26" s="11"/>
      <c r="BR26" s="9"/>
      <c r="BS26" s="9"/>
      <c r="BT26" s="10"/>
      <c r="BU26" s="166" t="str">
        <f t="shared" si="15"/>
        <v/>
      </c>
      <c r="BV26" s="167" t="str">
        <f t="shared" si="16"/>
        <v/>
      </c>
      <c r="BW26" s="165" t="str">
        <f t="shared" si="84"/>
        <v/>
      </c>
      <c r="BX26" s="165" t="str">
        <f t="shared" si="85"/>
        <v/>
      </c>
      <c r="BY26" s="11"/>
      <c r="CB26" s="9"/>
      <c r="CC26" s="9"/>
      <c r="CD26" s="10"/>
      <c r="CE26" s="166" t="str">
        <f t="shared" si="17"/>
        <v/>
      </c>
      <c r="CF26" s="167" t="str">
        <f t="shared" si="18"/>
        <v/>
      </c>
      <c r="CG26" s="165" t="str">
        <f t="shared" si="86"/>
        <v/>
      </c>
      <c r="CH26" s="165" t="str">
        <f t="shared" si="87"/>
        <v/>
      </c>
      <c r="CI26" s="11"/>
      <c r="CL26" s="9"/>
      <c r="CM26" s="9"/>
      <c r="CN26" s="10"/>
      <c r="CO26" s="166" t="str">
        <f t="shared" si="19"/>
        <v/>
      </c>
      <c r="CP26" s="167" t="str">
        <f t="shared" si="20"/>
        <v/>
      </c>
      <c r="CQ26" s="165" t="str">
        <f t="shared" si="88"/>
        <v/>
      </c>
      <c r="CR26" s="165" t="str">
        <f t="shared" si="89"/>
        <v/>
      </c>
      <c r="CS26" s="11"/>
      <c r="CV26" s="9"/>
      <c r="CW26" s="9"/>
      <c r="CX26" s="10"/>
      <c r="CY26" s="166" t="str">
        <f t="shared" si="21"/>
        <v/>
      </c>
      <c r="CZ26" s="167" t="str">
        <f t="shared" si="22"/>
        <v/>
      </c>
      <c r="DA26" s="165" t="str">
        <f t="shared" si="90"/>
        <v/>
      </c>
      <c r="DB26" s="165" t="str">
        <f t="shared" si="91"/>
        <v/>
      </c>
      <c r="DC26" s="11"/>
      <c r="DF26" s="9"/>
      <c r="DG26" s="9"/>
      <c r="DH26" s="10"/>
      <c r="DI26" s="166" t="str">
        <f t="shared" si="23"/>
        <v/>
      </c>
      <c r="DJ26" s="167" t="str">
        <f t="shared" si="24"/>
        <v/>
      </c>
      <c r="DK26" s="165" t="str">
        <f t="shared" si="92"/>
        <v/>
      </c>
      <c r="DL26" s="165" t="str">
        <f t="shared" si="93"/>
        <v/>
      </c>
      <c r="DM26" s="11"/>
      <c r="DP26" s="9"/>
      <c r="DQ26" s="9"/>
      <c r="DR26" s="10"/>
      <c r="DS26" s="166" t="str">
        <f t="shared" si="25"/>
        <v/>
      </c>
      <c r="DT26" s="167" t="str">
        <f t="shared" si="26"/>
        <v/>
      </c>
      <c r="DU26" s="165" t="str">
        <f t="shared" si="94"/>
        <v/>
      </c>
      <c r="DV26" s="165" t="str">
        <f t="shared" si="95"/>
        <v/>
      </c>
      <c r="DW26" s="11"/>
      <c r="DZ26" s="9"/>
      <c r="EA26" s="9"/>
      <c r="EB26" s="10"/>
      <c r="EC26" s="166" t="str">
        <f t="shared" si="27"/>
        <v/>
      </c>
      <c r="ED26" s="167" t="str">
        <f t="shared" si="28"/>
        <v/>
      </c>
      <c r="EE26" s="165" t="str">
        <f t="shared" si="96"/>
        <v/>
      </c>
      <c r="EF26" s="165" t="str">
        <f t="shared" si="97"/>
        <v/>
      </c>
      <c r="EG26" s="11"/>
      <c r="EJ26" s="9"/>
      <c r="EK26" s="9"/>
      <c r="EL26" s="10"/>
      <c r="EM26" s="166" t="str">
        <f t="shared" si="29"/>
        <v/>
      </c>
      <c r="EN26" s="167" t="str">
        <f t="shared" si="30"/>
        <v/>
      </c>
      <c r="EO26" s="165" t="str">
        <f t="shared" si="98"/>
        <v/>
      </c>
      <c r="EP26" s="165" t="str">
        <f t="shared" si="99"/>
        <v/>
      </c>
      <c r="EQ26" s="11"/>
      <c r="ET26" s="9"/>
      <c r="EU26" s="9"/>
      <c r="EV26" s="10"/>
      <c r="EW26" s="166" t="str">
        <f t="shared" si="31"/>
        <v/>
      </c>
      <c r="EX26" s="167" t="str">
        <f t="shared" si="32"/>
        <v/>
      </c>
      <c r="EY26" s="165" t="str">
        <f t="shared" si="100"/>
        <v/>
      </c>
      <c r="EZ26" s="165" t="str">
        <f t="shared" si="101"/>
        <v/>
      </c>
      <c r="FA26" s="11"/>
      <c r="FD26" s="9"/>
      <c r="FE26" s="9"/>
      <c r="FF26" s="10"/>
      <c r="FG26" s="166" t="str">
        <f t="shared" si="33"/>
        <v/>
      </c>
      <c r="FH26" s="167" t="str">
        <f t="shared" si="34"/>
        <v/>
      </c>
      <c r="FI26" s="165" t="str">
        <f t="shared" si="102"/>
        <v/>
      </c>
      <c r="FJ26" s="165" t="str">
        <f t="shared" si="103"/>
        <v/>
      </c>
      <c r="FK26" s="11"/>
      <c r="FN26" s="9"/>
      <c r="FO26" s="9"/>
      <c r="FP26" s="10"/>
      <c r="FQ26" s="166" t="str">
        <f t="shared" si="35"/>
        <v/>
      </c>
      <c r="FR26" s="167" t="str">
        <f t="shared" si="36"/>
        <v/>
      </c>
      <c r="FS26" s="165" t="str">
        <f t="shared" si="104"/>
        <v/>
      </c>
      <c r="FT26" s="165" t="str">
        <f t="shared" si="105"/>
        <v/>
      </c>
      <c r="FU26" s="11"/>
    </row>
    <row r="27" spans="1:177" x14ac:dyDescent="0.3">
      <c r="A27" s="9"/>
      <c r="B27" s="9"/>
      <c r="C27" s="10"/>
      <c r="D27" s="166" t="str">
        <f t="shared" si="0"/>
        <v/>
      </c>
      <c r="E27" s="167" t="str">
        <f t="shared" si="1"/>
        <v/>
      </c>
      <c r="F27" s="165" t="str">
        <f t="shared" si="37"/>
        <v/>
      </c>
      <c r="G27" s="165" t="str">
        <f t="shared" si="2"/>
        <v/>
      </c>
      <c r="H27" s="11"/>
      <c r="K27" s="9"/>
      <c r="L27" s="9"/>
      <c r="M27" s="10"/>
      <c r="N27" s="166" t="str">
        <f t="shared" si="3"/>
        <v/>
      </c>
      <c r="O27" s="167" t="str">
        <f t="shared" si="4"/>
        <v/>
      </c>
      <c r="P27" s="165" t="str">
        <f t="shared" si="72"/>
        <v/>
      </c>
      <c r="Q27" s="136" t="str">
        <f t="shared" si="73"/>
        <v/>
      </c>
      <c r="R27" s="11"/>
      <c r="U27" s="9"/>
      <c r="V27" s="9"/>
      <c r="W27" s="10"/>
      <c r="X27" s="166" t="str">
        <f t="shared" si="5"/>
        <v/>
      </c>
      <c r="Y27" s="167" t="str">
        <f t="shared" si="6"/>
        <v/>
      </c>
      <c r="Z27" s="165" t="str">
        <f t="shared" si="74"/>
        <v/>
      </c>
      <c r="AA27" s="165" t="str">
        <f t="shared" si="75"/>
        <v/>
      </c>
      <c r="AB27" s="11"/>
      <c r="AD27" s="9"/>
      <c r="AE27" s="9"/>
      <c r="AF27" s="10"/>
      <c r="AG27" s="166" t="str">
        <f t="shared" si="7"/>
        <v/>
      </c>
      <c r="AH27" s="167" t="str">
        <f t="shared" si="8"/>
        <v/>
      </c>
      <c r="AI27" s="165" t="str">
        <f t="shared" si="76"/>
        <v/>
      </c>
      <c r="AJ27" s="165" t="str">
        <f t="shared" si="77"/>
        <v/>
      </c>
      <c r="AK27" s="11"/>
      <c r="AN27" s="9"/>
      <c r="AO27" s="9"/>
      <c r="AP27" s="10"/>
      <c r="AQ27" s="166" t="str">
        <f t="shared" si="9"/>
        <v/>
      </c>
      <c r="AR27" s="167" t="str">
        <f t="shared" si="10"/>
        <v/>
      </c>
      <c r="AS27" s="165" t="str">
        <f t="shared" si="78"/>
        <v/>
      </c>
      <c r="AT27" s="165" t="str">
        <f t="shared" si="79"/>
        <v/>
      </c>
      <c r="AU27" s="11"/>
      <c r="AX27" s="9"/>
      <c r="AY27" s="9"/>
      <c r="AZ27" s="10"/>
      <c r="BA27" s="166" t="str">
        <f t="shared" si="11"/>
        <v/>
      </c>
      <c r="BB27" s="167" t="str">
        <f t="shared" si="12"/>
        <v/>
      </c>
      <c r="BC27" s="165" t="str">
        <f t="shared" si="80"/>
        <v/>
      </c>
      <c r="BD27" s="165" t="str">
        <f t="shared" si="81"/>
        <v/>
      </c>
      <c r="BE27" s="11"/>
      <c r="BH27" s="9"/>
      <c r="BI27" s="9"/>
      <c r="BJ27" s="10"/>
      <c r="BK27" s="166" t="str">
        <f t="shared" si="13"/>
        <v/>
      </c>
      <c r="BL27" s="167" t="str">
        <f t="shared" si="14"/>
        <v/>
      </c>
      <c r="BM27" s="165" t="str">
        <f t="shared" si="82"/>
        <v/>
      </c>
      <c r="BN27" s="165" t="str">
        <f t="shared" si="83"/>
        <v/>
      </c>
      <c r="BO27" s="11"/>
      <c r="BR27" s="9"/>
      <c r="BS27" s="9"/>
      <c r="BT27" s="10"/>
      <c r="BU27" s="166" t="str">
        <f t="shared" si="15"/>
        <v/>
      </c>
      <c r="BV27" s="167" t="str">
        <f t="shared" si="16"/>
        <v/>
      </c>
      <c r="BW27" s="165" t="str">
        <f t="shared" si="84"/>
        <v/>
      </c>
      <c r="BX27" s="165" t="str">
        <f t="shared" si="85"/>
        <v/>
      </c>
      <c r="BY27" s="11"/>
      <c r="CB27" s="9"/>
      <c r="CC27" s="9"/>
      <c r="CD27" s="10"/>
      <c r="CE27" s="166" t="str">
        <f t="shared" si="17"/>
        <v/>
      </c>
      <c r="CF27" s="167" t="str">
        <f t="shared" si="18"/>
        <v/>
      </c>
      <c r="CG27" s="165" t="str">
        <f t="shared" si="86"/>
        <v/>
      </c>
      <c r="CH27" s="165" t="str">
        <f t="shared" si="87"/>
        <v/>
      </c>
      <c r="CI27" s="11"/>
      <c r="CL27" s="9"/>
      <c r="CM27" s="9"/>
      <c r="CN27" s="10"/>
      <c r="CO27" s="166" t="str">
        <f t="shared" si="19"/>
        <v/>
      </c>
      <c r="CP27" s="167" t="str">
        <f t="shared" si="20"/>
        <v/>
      </c>
      <c r="CQ27" s="165" t="str">
        <f t="shared" si="88"/>
        <v/>
      </c>
      <c r="CR27" s="165" t="str">
        <f t="shared" si="89"/>
        <v/>
      </c>
      <c r="CS27" s="11"/>
      <c r="CV27" s="9"/>
      <c r="CW27" s="9"/>
      <c r="CX27" s="10"/>
      <c r="CY27" s="166" t="str">
        <f t="shared" si="21"/>
        <v/>
      </c>
      <c r="CZ27" s="167" t="str">
        <f t="shared" si="22"/>
        <v/>
      </c>
      <c r="DA27" s="165" t="str">
        <f t="shared" si="90"/>
        <v/>
      </c>
      <c r="DB27" s="165" t="str">
        <f t="shared" si="91"/>
        <v/>
      </c>
      <c r="DC27" s="11"/>
      <c r="DF27" s="9"/>
      <c r="DG27" s="9"/>
      <c r="DH27" s="10"/>
      <c r="DI27" s="166" t="str">
        <f t="shared" si="23"/>
        <v/>
      </c>
      <c r="DJ27" s="167" t="str">
        <f t="shared" si="24"/>
        <v/>
      </c>
      <c r="DK27" s="165" t="str">
        <f t="shared" si="92"/>
        <v/>
      </c>
      <c r="DL27" s="165" t="str">
        <f t="shared" si="93"/>
        <v/>
      </c>
      <c r="DM27" s="11"/>
      <c r="DP27" s="9"/>
      <c r="DQ27" s="9"/>
      <c r="DR27" s="10"/>
      <c r="DS27" s="166" t="str">
        <f t="shared" si="25"/>
        <v/>
      </c>
      <c r="DT27" s="167" t="str">
        <f t="shared" si="26"/>
        <v/>
      </c>
      <c r="DU27" s="165" t="str">
        <f t="shared" si="94"/>
        <v/>
      </c>
      <c r="DV27" s="165" t="str">
        <f t="shared" si="95"/>
        <v/>
      </c>
      <c r="DW27" s="11"/>
      <c r="DZ27" s="9"/>
      <c r="EA27" s="9"/>
      <c r="EB27" s="10"/>
      <c r="EC27" s="166" t="str">
        <f t="shared" si="27"/>
        <v/>
      </c>
      <c r="ED27" s="167" t="str">
        <f t="shared" si="28"/>
        <v/>
      </c>
      <c r="EE27" s="165" t="str">
        <f t="shared" si="96"/>
        <v/>
      </c>
      <c r="EF27" s="165" t="str">
        <f t="shared" si="97"/>
        <v/>
      </c>
      <c r="EG27" s="11"/>
      <c r="EJ27" s="9"/>
      <c r="EK27" s="9"/>
      <c r="EL27" s="10"/>
      <c r="EM27" s="166" t="str">
        <f t="shared" si="29"/>
        <v/>
      </c>
      <c r="EN27" s="167" t="str">
        <f t="shared" si="30"/>
        <v/>
      </c>
      <c r="EO27" s="165" t="str">
        <f t="shared" si="98"/>
        <v/>
      </c>
      <c r="EP27" s="165" t="str">
        <f t="shared" si="99"/>
        <v/>
      </c>
      <c r="EQ27" s="11"/>
      <c r="ET27" s="9"/>
      <c r="EU27" s="9"/>
      <c r="EV27" s="10"/>
      <c r="EW27" s="166" t="str">
        <f t="shared" si="31"/>
        <v/>
      </c>
      <c r="EX27" s="167" t="str">
        <f t="shared" si="32"/>
        <v/>
      </c>
      <c r="EY27" s="165" t="str">
        <f t="shared" si="100"/>
        <v/>
      </c>
      <c r="EZ27" s="165" t="str">
        <f t="shared" si="101"/>
        <v/>
      </c>
      <c r="FA27" s="11"/>
      <c r="FD27" s="9"/>
      <c r="FE27" s="9"/>
      <c r="FF27" s="10"/>
      <c r="FG27" s="166" t="str">
        <f t="shared" si="33"/>
        <v/>
      </c>
      <c r="FH27" s="167" t="str">
        <f t="shared" si="34"/>
        <v/>
      </c>
      <c r="FI27" s="165" t="str">
        <f t="shared" si="102"/>
        <v/>
      </c>
      <c r="FJ27" s="165" t="str">
        <f t="shared" si="103"/>
        <v/>
      </c>
      <c r="FK27" s="11"/>
      <c r="FN27" s="9"/>
      <c r="FO27" s="9"/>
      <c r="FP27" s="10"/>
      <c r="FQ27" s="166" t="str">
        <f t="shared" si="35"/>
        <v/>
      </c>
      <c r="FR27" s="167" t="str">
        <f t="shared" si="36"/>
        <v/>
      </c>
      <c r="FS27" s="165" t="str">
        <f t="shared" si="104"/>
        <v/>
      </c>
      <c r="FT27" s="165" t="str">
        <f t="shared" si="105"/>
        <v/>
      </c>
      <c r="FU27" s="11"/>
    </row>
    <row r="28" spans="1:177" x14ac:dyDescent="0.3">
      <c r="A28" s="9"/>
      <c r="B28" s="9" t="s">
        <v>479</v>
      </c>
      <c r="C28" s="10">
        <v>1</v>
      </c>
      <c r="D28" s="166">
        <f t="shared" si="0"/>
        <v>4000000</v>
      </c>
      <c r="E28" s="167">
        <f t="shared" si="1"/>
        <v>2.0102000000000002</v>
      </c>
      <c r="F28" s="165">
        <f t="shared" si="37"/>
        <v>8040800.0000000009</v>
      </c>
      <c r="G28" s="165">
        <f t="shared" si="2"/>
        <v>8040800.0000000009</v>
      </c>
      <c r="H28" s="11"/>
      <c r="K28" s="9"/>
      <c r="L28" s="9" t="s">
        <v>479</v>
      </c>
      <c r="M28" s="10">
        <v>1</v>
      </c>
      <c r="N28" s="166">
        <f t="shared" si="3"/>
        <v>4000000</v>
      </c>
      <c r="O28" s="167">
        <f t="shared" si="4"/>
        <v>2.0102000000000002</v>
      </c>
      <c r="P28" s="165">
        <f t="shared" si="72"/>
        <v>8040800.0000000009</v>
      </c>
      <c r="Q28" s="136">
        <f t="shared" si="73"/>
        <v>8040800.0000000009</v>
      </c>
      <c r="R28" s="11"/>
      <c r="U28" s="9"/>
      <c r="V28" s="9" t="s">
        <v>479</v>
      </c>
      <c r="W28" s="10">
        <v>1</v>
      </c>
      <c r="X28" s="166">
        <f t="shared" si="5"/>
        <v>4000000</v>
      </c>
      <c r="Y28" s="167">
        <f t="shared" si="6"/>
        <v>2.0102000000000002</v>
      </c>
      <c r="Z28" s="165">
        <f t="shared" si="74"/>
        <v>8040800.0000000009</v>
      </c>
      <c r="AA28" s="165">
        <f t="shared" si="75"/>
        <v>8040800.0000000009</v>
      </c>
      <c r="AB28" s="11"/>
      <c r="AD28" s="9"/>
      <c r="AE28" s="9"/>
      <c r="AF28" s="10"/>
      <c r="AG28" s="166" t="str">
        <f t="shared" si="7"/>
        <v/>
      </c>
      <c r="AH28" s="167" t="str">
        <f t="shared" si="8"/>
        <v/>
      </c>
      <c r="AI28" s="165" t="str">
        <f t="shared" si="76"/>
        <v/>
      </c>
      <c r="AJ28" s="165" t="str">
        <f t="shared" si="77"/>
        <v/>
      </c>
      <c r="AK28" s="11"/>
      <c r="AN28" s="9"/>
      <c r="AO28" s="9"/>
      <c r="AP28" s="10"/>
      <c r="AQ28" s="166" t="str">
        <f t="shared" si="9"/>
        <v/>
      </c>
      <c r="AR28" s="167" t="str">
        <f t="shared" si="10"/>
        <v/>
      </c>
      <c r="AS28" s="165" t="str">
        <f t="shared" si="78"/>
        <v/>
      </c>
      <c r="AT28" s="165" t="str">
        <f t="shared" si="79"/>
        <v/>
      </c>
      <c r="AU28" s="11"/>
      <c r="AX28" s="9"/>
      <c r="AY28" s="9"/>
      <c r="AZ28" s="10"/>
      <c r="BA28" s="166" t="str">
        <f t="shared" si="11"/>
        <v/>
      </c>
      <c r="BB28" s="167" t="str">
        <f t="shared" si="12"/>
        <v/>
      </c>
      <c r="BC28" s="165" t="str">
        <f t="shared" si="80"/>
        <v/>
      </c>
      <c r="BD28" s="165" t="str">
        <f t="shared" si="81"/>
        <v/>
      </c>
      <c r="BE28" s="11"/>
      <c r="BH28" s="9"/>
      <c r="BI28" s="9"/>
      <c r="BJ28" s="10"/>
      <c r="BK28" s="166" t="str">
        <f t="shared" si="13"/>
        <v/>
      </c>
      <c r="BL28" s="167" t="str">
        <f t="shared" si="14"/>
        <v/>
      </c>
      <c r="BM28" s="165" t="str">
        <f t="shared" si="82"/>
        <v/>
      </c>
      <c r="BN28" s="165" t="str">
        <f t="shared" si="83"/>
        <v/>
      </c>
      <c r="BO28" s="11"/>
      <c r="BR28" s="9"/>
      <c r="BS28" s="9"/>
      <c r="BT28" s="10"/>
      <c r="BU28" s="166" t="str">
        <f t="shared" si="15"/>
        <v/>
      </c>
      <c r="BV28" s="167" t="str">
        <f t="shared" si="16"/>
        <v/>
      </c>
      <c r="BW28" s="165" t="str">
        <f t="shared" si="84"/>
        <v/>
      </c>
      <c r="BX28" s="165" t="str">
        <f t="shared" si="85"/>
        <v/>
      </c>
      <c r="BY28" s="11"/>
      <c r="CB28" s="9"/>
      <c r="CC28" s="9"/>
      <c r="CD28" s="10"/>
      <c r="CE28" s="166" t="str">
        <f t="shared" si="17"/>
        <v/>
      </c>
      <c r="CF28" s="167" t="str">
        <f t="shared" si="18"/>
        <v/>
      </c>
      <c r="CG28" s="165" t="str">
        <f t="shared" si="86"/>
        <v/>
      </c>
      <c r="CH28" s="165" t="str">
        <f t="shared" si="87"/>
        <v/>
      </c>
      <c r="CI28" s="11"/>
      <c r="CL28" s="9"/>
      <c r="CM28" s="9"/>
      <c r="CN28" s="10"/>
      <c r="CO28" s="166" t="str">
        <f t="shared" si="19"/>
        <v/>
      </c>
      <c r="CP28" s="167" t="str">
        <f t="shared" si="20"/>
        <v/>
      </c>
      <c r="CQ28" s="165" t="str">
        <f t="shared" si="88"/>
        <v/>
      </c>
      <c r="CR28" s="165" t="str">
        <f t="shared" si="89"/>
        <v/>
      </c>
      <c r="CS28" s="11"/>
      <c r="CV28" s="9"/>
      <c r="CW28" s="9"/>
      <c r="CX28" s="10"/>
      <c r="CY28" s="166" t="str">
        <f t="shared" si="21"/>
        <v/>
      </c>
      <c r="CZ28" s="167" t="str">
        <f t="shared" si="22"/>
        <v/>
      </c>
      <c r="DA28" s="165" t="str">
        <f t="shared" si="90"/>
        <v/>
      </c>
      <c r="DB28" s="165" t="str">
        <f t="shared" si="91"/>
        <v/>
      </c>
      <c r="DC28" s="11"/>
      <c r="DF28" s="9"/>
      <c r="DG28" s="9"/>
      <c r="DH28" s="10"/>
      <c r="DI28" s="166" t="str">
        <f t="shared" si="23"/>
        <v/>
      </c>
      <c r="DJ28" s="167" t="str">
        <f t="shared" si="24"/>
        <v/>
      </c>
      <c r="DK28" s="165" t="str">
        <f t="shared" si="92"/>
        <v/>
      </c>
      <c r="DL28" s="165" t="str">
        <f t="shared" si="93"/>
        <v/>
      </c>
      <c r="DM28" s="11"/>
      <c r="DP28" s="9"/>
      <c r="DQ28" s="9"/>
      <c r="DR28" s="10"/>
      <c r="DS28" s="166" t="str">
        <f t="shared" si="25"/>
        <v/>
      </c>
      <c r="DT28" s="167" t="str">
        <f t="shared" si="26"/>
        <v/>
      </c>
      <c r="DU28" s="165" t="str">
        <f t="shared" si="94"/>
        <v/>
      </c>
      <c r="DV28" s="165" t="str">
        <f t="shared" si="95"/>
        <v/>
      </c>
      <c r="DW28" s="11"/>
      <c r="DZ28" s="9"/>
      <c r="EA28" s="9"/>
      <c r="EB28" s="10"/>
      <c r="EC28" s="166" t="str">
        <f t="shared" si="27"/>
        <v/>
      </c>
      <c r="ED28" s="167" t="str">
        <f t="shared" si="28"/>
        <v/>
      </c>
      <c r="EE28" s="165" t="str">
        <f t="shared" si="96"/>
        <v/>
      </c>
      <c r="EF28" s="165" t="str">
        <f t="shared" si="97"/>
        <v/>
      </c>
      <c r="EG28" s="11"/>
      <c r="EJ28" s="9"/>
      <c r="EK28" s="9"/>
      <c r="EL28" s="10"/>
      <c r="EM28" s="166" t="str">
        <f t="shared" si="29"/>
        <v/>
      </c>
      <c r="EN28" s="167" t="str">
        <f t="shared" si="30"/>
        <v/>
      </c>
      <c r="EO28" s="165" t="str">
        <f t="shared" si="98"/>
        <v/>
      </c>
      <c r="EP28" s="165" t="str">
        <f t="shared" si="99"/>
        <v/>
      </c>
      <c r="EQ28" s="11"/>
      <c r="ET28" s="9"/>
      <c r="EU28" s="9"/>
      <c r="EV28" s="10"/>
      <c r="EW28" s="166" t="str">
        <f t="shared" si="31"/>
        <v/>
      </c>
      <c r="EX28" s="167" t="str">
        <f t="shared" si="32"/>
        <v/>
      </c>
      <c r="EY28" s="165" t="str">
        <f t="shared" si="100"/>
        <v/>
      </c>
      <c r="EZ28" s="165" t="str">
        <f t="shared" si="101"/>
        <v/>
      </c>
      <c r="FA28" s="11"/>
      <c r="FD28" s="9"/>
      <c r="FE28" s="9"/>
      <c r="FF28" s="10"/>
      <c r="FG28" s="166" t="str">
        <f t="shared" si="33"/>
        <v/>
      </c>
      <c r="FH28" s="167" t="str">
        <f t="shared" si="34"/>
        <v/>
      </c>
      <c r="FI28" s="165" t="str">
        <f t="shared" si="102"/>
        <v/>
      </c>
      <c r="FJ28" s="165" t="str">
        <f t="shared" si="103"/>
        <v/>
      </c>
      <c r="FK28" s="11"/>
      <c r="FN28" s="9"/>
      <c r="FO28" s="9"/>
      <c r="FP28" s="10"/>
      <c r="FQ28" s="166" t="str">
        <f t="shared" si="35"/>
        <v/>
      </c>
      <c r="FR28" s="167" t="str">
        <f t="shared" si="36"/>
        <v/>
      </c>
      <c r="FS28" s="165" t="str">
        <f t="shared" si="104"/>
        <v/>
      </c>
      <c r="FT28" s="165" t="str">
        <f t="shared" si="105"/>
        <v/>
      </c>
      <c r="FU28" s="11"/>
    </row>
    <row r="29" spans="1:177" x14ac:dyDescent="0.3">
      <c r="A29" s="9"/>
      <c r="B29" s="9" t="s">
        <v>480</v>
      </c>
      <c r="C29" s="10">
        <v>1</v>
      </c>
      <c r="D29" s="166">
        <f t="shared" si="0"/>
        <v>4000000</v>
      </c>
      <c r="E29" s="167">
        <f t="shared" si="1"/>
        <v>2.0102000000000002</v>
      </c>
      <c r="F29" s="165">
        <f t="shared" si="37"/>
        <v>8040800.0000000009</v>
      </c>
      <c r="G29" s="165">
        <f t="shared" si="2"/>
        <v>8040800.0000000009</v>
      </c>
      <c r="H29" s="11"/>
      <c r="K29" s="9"/>
      <c r="L29" s="9" t="s">
        <v>480</v>
      </c>
      <c r="M29" s="10">
        <v>1</v>
      </c>
      <c r="N29" s="166">
        <f t="shared" si="3"/>
        <v>4000000</v>
      </c>
      <c r="O29" s="167">
        <f t="shared" si="4"/>
        <v>2.0102000000000002</v>
      </c>
      <c r="P29" s="165">
        <f t="shared" si="72"/>
        <v>8040800.0000000009</v>
      </c>
      <c r="Q29" s="136">
        <f t="shared" si="73"/>
        <v>8040800.0000000009</v>
      </c>
      <c r="R29" s="11"/>
      <c r="U29" s="9"/>
      <c r="V29" s="9" t="s">
        <v>480</v>
      </c>
      <c r="W29" s="10">
        <v>1</v>
      </c>
      <c r="X29" s="166">
        <f t="shared" si="5"/>
        <v>4000000</v>
      </c>
      <c r="Y29" s="167">
        <f t="shared" si="6"/>
        <v>2.0102000000000002</v>
      </c>
      <c r="Z29" s="165">
        <f t="shared" si="74"/>
        <v>8040800.0000000009</v>
      </c>
      <c r="AA29" s="165">
        <f t="shared" si="75"/>
        <v>8040800.0000000009</v>
      </c>
      <c r="AB29" s="11"/>
      <c r="AD29" s="9"/>
      <c r="AE29" s="9"/>
      <c r="AF29" s="10"/>
      <c r="AG29" s="166" t="str">
        <f t="shared" si="7"/>
        <v/>
      </c>
      <c r="AH29" s="167" t="str">
        <f t="shared" si="8"/>
        <v/>
      </c>
      <c r="AI29" s="165" t="str">
        <f t="shared" si="76"/>
        <v/>
      </c>
      <c r="AJ29" s="165" t="str">
        <f t="shared" si="77"/>
        <v/>
      </c>
      <c r="AK29" s="11"/>
      <c r="AN29" s="9"/>
      <c r="AO29" s="9"/>
      <c r="AP29" s="10"/>
      <c r="AQ29" s="166" t="str">
        <f t="shared" si="9"/>
        <v/>
      </c>
      <c r="AR29" s="167" t="str">
        <f t="shared" si="10"/>
        <v/>
      </c>
      <c r="AS29" s="165" t="str">
        <f t="shared" si="78"/>
        <v/>
      </c>
      <c r="AT29" s="165" t="str">
        <f t="shared" si="79"/>
        <v/>
      </c>
      <c r="AU29" s="11"/>
      <c r="AX29" s="9"/>
      <c r="AY29" s="9"/>
      <c r="AZ29" s="10"/>
      <c r="BA29" s="166" t="str">
        <f t="shared" si="11"/>
        <v/>
      </c>
      <c r="BB29" s="167" t="str">
        <f t="shared" si="12"/>
        <v/>
      </c>
      <c r="BC29" s="165" t="str">
        <f t="shared" si="80"/>
        <v/>
      </c>
      <c r="BD29" s="165" t="str">
        <f t="shared" si="81"/>
        <v/>
      </c>
      <c r="BE29" s="11"/>
      <c r="BH29" s="9"/>
      <c r="BI29" s="9"/>
      <c r="BJ29" s="10"/>
      <c r="BK29" s="166" t="str">
        <f t="shared" si="13"/>
        <v/>
      </c>
      <c r="BL29" s="167" t="str">
        <f t="shared" si="14"/>
        <v/>
      </c>
      <c r="BM29" s="165" t="str">
        <f t="shared" si="82"/>
        <v/>
      </c>
      <c r="BN29" s="165" t="str">
        <f t="shared" si="83"/>
        <v/>
      </c>
      <c r="BO29" s="11"/>
      <c r="BR29" s="9"/>
      <c r="BS29" s="9"/>
      <c r="BT29" s="10"/>
      <c r="BU29" s="166" t="str">
        <f t="shared" si="15"/>
        <v/>
      </c>
      <c r="BV29" s="167" t="str">
        <f t="shared" si="16"/>
        <v/>
      </c>
      <c r="BW29" s="165" t="str">
        <f t="shared" si="84"/>
        <v/>
      </c>
      <c r="BX29" s="165" t="str">
        <f t="shared" si="85"/>
        <v/>
      </c>
      <c r="BY29" s="11"/>
      <c r="CB29" s="9"/>
      <c r="CC29" s="9"/>
      <c r="CD29" s="10"/>
      <c r="CE29" s="166" t="str">
        <f t="shared" si="17"/>
        <v/>
      </c>
      <c r="CF29" s="167" t="str">
        <f t="shared" si="18"/>
        <v/>
      </c>
      <c r="CG29" s="165" t="str">
        <f t="shared" si="86"/>
        <v/>
      </c>
      <c r="CH29" s="165" t="str">
        <f t="shared" si="87"/>
        <v/>
      </c>
      <c r="CI29" s="11"/>
      <c r="CL29" s="9"/>
      <c r="CM29" s="9"/>
      <c r="CN29" s="10"/>
      <c r="CO29" s="166" t="str">
        <f t="shared" si="19"/>
        <v/>
      </c>
      <c r="CP29" s="167" t="str">
        <f t="shared" si="20"/>
        <v/>
      </c>
      <c r="CQ29" s="165" t="str">
        <f t="shared" si="88"/>
        <v/>
      </c>
      <c r="CR29" s="165" t="str">
        <f t="shared" si="89"/>
        <v/>
      </c>
      <c r="CS29" s="11"/>
      <c r="CV29" s="9"/>
      <c r="CW29" s="9"/>
      <c r="CX29" s="10"/>
      <c r="CY29" s="166" t="str">
        <f t="shared" si="21"/>
        <v/>
      </c>
      <c r="CZ29" s="167" t="str">
        <f t="shared" si="22"/>
        <v/>
      </c>
      <c r="DA29" s="165" t="str">
        <f t="shared" si="90"/>
        <v/>
      </c>
      <c r="DB29" s="165" t="str">
        <f t="shared" si="91"/>
        <v/>
      </c>
      <c r="DC29" s="11"/>
      <c r="DF29" s="9"/>
      <c r="DG29" s="9"/>
      <c r="DH29" s="10"/>
      <c r="DI29" s="166" t="str">
        <f t="shared" si="23"/>
        <v/>
      </c>
      <c r="DJ29" s="167" t="str">
        <f t="shared" si="24"/>
        <v/>
      </c>
      <c r="DK29" s="165" t="str">
        <f t="shared" si="92"/>
        <v/>
      </c>
      <c r="DL29" s="165" t="str">
        <f t="shared" si="93"/>
        <v/>
      </c>
      <c r="DM29" s="11"/>
      <c r="DP29" s="9"/>
      <c r="DQ29" s="9"/>
      <c r="DR29" s="10"/>
      <c r="DS29" s="166" t="str">
        <f t="shared" si="25"/>
        <v/>
      </c>
      <c r="DT29" s="167" t="str">
        <f t="shared" si="26"/>
        <v/>
      </c>
      <c r="DU29" s="165" t="str">
        <f t="shared" si="94"/>
        <v/>
      </c>
      <c r="DV29" s="165" t="str">
        <f t="shared" si="95"/>
        <v/>
      </c>
      <c r="DW29" s="11"/>
      <c r="DZ29" s="9"/>
      <c r="EA29" s="9"/>
      <c r="EB29" s="10"/>
      <c r="EC29" s="166" t="str">
        <f t="shared" si="27"/>
        <v/>
      </c>
      <c r="ED29" s="167" t="str">
        <f t="shared" si="28"/>
        <v/>
      </c>
      <c r="EE29" s="165" t="str">
        <f t="shared" si="96"/>
        <v/>
      </c>
      <c r="EF29" s="165" t="str">
        <f t="shared" si="97"/>
        <v/>
      </c>
      <c r="EG29" s="11"/>
      <c r="EJ29" s="9"/>
      <c r="EK29" s="9"/>
      <c r="EL29" s="10"/>
      <c r="EM29" s="166" t="str">
        <f t="shared" si="29"/>
        <v/>
      </c>
      <c r="EN29" s="167" t="str">
        <f t="shared" si="30"/>
        <v/>
      </c>
      <c r="EO29" s="165" t="str">
        <f t="shared" si="98"/>
        <v/>
      </c>
      <c r="EP29" s="165" t="str">
        <f t="shared" si="99"/>
        <v/>
      </c>
      <c r="EQ29" s="11"/>
      <c r="ET29" s="9"/>
      <c r="EU29" s="9"/>
      <c r="EV29" s="10"/>
      <c r="EW29" s="166" t="str">
        <f t="shared" si="31"/>
        <v/>
      </c>
      <c r="EX29" s="167" t="str">
        <f t="shared" si="32"/>
        <v/>
      </c>
      <c r="EY29" s="165" t="str">
        <f t="shared" si="100"/>
        <v/>
      </c>
      <c r="EZ29" s="165" t="str">
        <f t="shared" si="101"/>
        <v/>
      </c>
      <c r="FA29" s="11"/>
      <c r="FD29" s="9"/>
      <c r="FE29" s="9"/>
      <c r="FF29" s="10"/>
      <c r="FG29" s="166" t="str">
        <f t="shared" si="33"/>
        <v/>
      </c>
      <c r="FH29" s="167" t="str">
        <f t="shared" si="34"/>
        <v/>
      </c>
      <c r="FI29" s="165" t="str">
        <f t="shared" si="102"/>
        <v/>
      </c>
      <c r="FJ29" s="165" t="str">
        <f t="shared" si="103"/>
        <v/>
      </c>
      <c r="FK29" s="11"/>
      <c r="FN29" s="9"/>
      <c r="FO29" s="9"/>
      <c r="FP29" s="10"/>
      <c r="FQ29" s="166" t="str">
        <f t="shared" si="35"/>
        <v/>
      </c>
      <c r="FR29" s="167" t="str">
        <f t="shared" si="36"/>
        <v/>
      </c>
      <c r="FS29" s="165" t="str">
        <f t="shared" si="104"/>
        <v/>
      </c>
      <c r="FT29" s="165" t="str">
        <f t="shared" si="105"/>
        <v/>
      </c>
      <c r="FU29" s="11"/>
    </row>
    <row r="30" spans="1:177" x14ac:dyDescent="0.3">
      <c r="A30" s="9"/>
      <c r="B30" s="9" t="s">
        <v>437</v>
      </c>
      <c r="C30" s="10">
        <v>1</v>
      </c>
      <c r="D30" s="166">
        <f t="shared" si="0"/>
        <v>3000000</v>
      </c>
      <c r="E30" s="167">
        <f t="shared" si="1"/>
        <v>2.1352000000000002</v>
      </c>
      <c r="F30" s="165">
        <f t="shared" si="37"/>
        <v>6405600.0000000009</v>
      </c>
      <c r="G30" s="165">
        <f t="shared" si="2"/>
        <v>6405600.0000000009</v>
      </c>
      <c r="H30" s="11"/>
      <c r="K30" s="9"/>
      <c r="L30" s="9" t="s">
        <v>437</v>
      </c>
      <c r="M30" s="10">
        <v>1</v>
      </c>
      <c r="N30" s="166">
        <f t="shared" si="3"/>
        <v>3000000</v>
      </c>
      <c r="O30" s="167">
        <f t="shared" si="4"/>
        <v>2.1352000000000002</v>
      </c>
      <c r="P30" s="165">
        <f t="shared" si="72"/>
        <v>6405600.0000000009</v>
      </c>
      <c r="Q30" s="136">
        <f t="shared" si="73"/>
        <v>6405600.0000000009</v>
      </c>
      <c r="R30" s="11"/>
      <c r="U30" s="9"/>
      <c r="V30" s="9" t="s">
        <v>437</v>
      </c>
      <c r="W30" s="10">
        <v>1</v>
      </c>
      <c r="X30" s="166">
        <f t="shared" si="5"/>
        <v>3000000</v>
      </c>
      <c r="Y30" s="167">
        <f t="shared" si="6"/>
        <v>2.1352000000000002</v>
      </c>
      <c r="Z30" s="165">
        <f t="shared" si="74"/>
        <v>6405600.0000000009</v>
      </c>
      <c r="AA30" s="165">
        <f t="shared" si="75"/>
        <v>6405600.0000000009</v>
      </c>
      <c r="AB30" s="11"/>
      <c r="AD30" s="9"/>
      <c r="AE30" s="9"/>
      <c r="AF30" s="10"/>
      <c r="AG30" s="166" t="str">
        <f t="shared" si="7"/>
        <v/>
      </c>
      <c r="AH30" s="167" t="str">
        <f t="shared" si="8"/>
        <v/>
      </c>
      <c r="AI30" s="165" t="str">
        <f t="shared" si="76"/>
        <v/>
      </c>
      <c r="AJ30" s="165" t="str">
        <f t="shared" si="77"/>
        <v/>
      </c>
      <c r="AK30" s="11"/>
      <c r="AN30" s="9"/>
      <c r="AO30" s="9"/>
      <c r="AP30" s="10"/>
      <c r="AQ30" s="166" t="str">
        <f t="shared" si="9"/>
        <v/>
      </c>
      <c r="AR30" s="167" t="str">
        <f t="shared" si="10"/>
        <v/>
      </c>
      <c r="AS30" s="165" t="str">
        <f t="shared" si="78"/>
        <v/>
      </c>
      <c r="AT30" s="165" t="str">
        <f t="shared" si="79"/>
        <v/>
      </c>
      <c r="AU30" s="11"/>
      <c r="AX30" s="9"/>
      <c r="AY30" s="9"/>
      <c r="AZ30" s="10"/>
      <c r="BA30" s="166" t="str">
        <f t="shared" si="11"/>
        <v/>
      </c>
      <c r="BB30" s="167" t="str">
        <f t="shared" si="12"/>
        <v/>
      </c>
      <c r="BC30" s="165" t="str">
        <f t="shared" si="80"/>
        <v/>
      </c>
      <c r="BD30" s="165" t="str">
        <f t="shared" si="81"/>
        <v/>
      </c>
      <c r="BE30" s="11"/>
      <c r="BH30" s="9"/>
      <c r="BI30" s="9"/>
      <c r="BJ30" s="10"/>
      <c r="BK30" s="166" t="str">
        <f t="shared" si="13"/>
        <v/>
      </c>
      <c r="BL30" s="167" t="str">
        <f t="shared" si="14"/>
        <v/>
      </c>
      <c r="BM30" s="165" t="str">
        <f t="shared" si="82"/>
        <v/>
      </c>
      <c r="BN30" s="165" t="str">
        <f t="shared" si="83"/>
        <v/>
      </c>
      <c r="BO30" s="11"/>
      <c r="BR30" s="9"/>
      <c r="BS30" s="9"/>
      <c r="BT30" s="10"/>
      <c r="BU30" s="166" t="str">
        <f t="shared" si="15"/>
        <v/>
      </c>
      <c r="BV30" s="167" t="str">
        <f t="shared" si="16"/>
        <v/>
      </c>
      <c r="BW30" s="165" t="str">
        <f t="shared" si="84"/>
        <v/>
      </c>
      <c r="BX30" s="165" t="str">
        <f t="shared" si="85"/>
        <v/>
      </c>
      <c r="BY30" s="11"/>
      <c r="CB30" s="9"/>
      <c r="CC30" s="9"/>
      <c r="CD30" s="10"/>
      <c r="CE30" s="166" t="str">
        <f t="shared" si="17"/>
        <v/>
      </c>
      <c r="CF30" s="167" t="str">
        <f t="shared" si="18"/>
        <v/>
      </c>
      <c r="CG30" s="165" t="str">
        <f t="shared" si="86"/>
        <v/>
      </c>
      <c r="CH30" s="165" t="str">
        <f t="shared" si="87"/>
        <v/>
      </c>
      <c r="CI30" s="11"/>
      <c r="CL30" s="9"/>
      <c r="CM30" s="9"/>
      <c r="CN30" s="10"/>
      <c r="CO30" s="166" t="str">
        <f t="shared" si="19"/>
        <v/>
      </c>
      <c r="CP30" s="167" t="str">
        <f t="shared" si="20"/>
        <v/>
      </c>
      <c r="CQ30" s="165" t="str">
        <f t="shared" si="88"/>
        <v/>
      </c>
      <c r="CR30" s="165" t="str">
        <f t="shared" si="89"/>
        <v/>
      </c>
      <c r="CS30" s="11"/>
      <c r="CV30" s="9"/>
      <c r="CW30" s="9"/>
      <c r="CX30" s="10"/>
      <c r="CY30" s="166" t="str">
        <f t="shared" si="21"/>
        <v/>
      </c>
      <c r="CZ30" s="167" t="str">
        <f t="shared" si="22"/>
        <v/>
      </c>
      <c r="DA30" s="165" t="str">
        <f t="shared" si="90"/>
        <v/>
      </c>
      <c r="DB30" s="165" t="str">
        <f t="shared" si="91"/>
        <v/>
      </c>
      <c r="DC30" s="11"/>
      <c r="DF30" s="9"/>
      <c r="DG30" s="9"/>
      <c r="DH30" s="10"/>
      <c r="DI30" s="166" t="str">
        <f t="shared" si="23"/>
        <v/>
      </c>
      <c r="DJ30" s="167" t="str">
        <f t="shared" si="24"/>
        <v/>
      </c>
      <c r="DK30" s="165" t="str">
        <f t="shared" si="92"/>
        <v/>
      </c>
      <c r="DL30" s="165" t="str">
        <f t="shared" si="93"/>
        <v/>
      </c>
      <c r="DM30" s="11"/>
      <c r="DP30" s="9"/>
      <c r="DQ30" s="9"/>
      <c r="DR30" s="10"/>
      <c r="DS30" s="166" t="str">
        <f t="shared" si="25"/>
        <v/>
      </c>
      <c r="DT30" s="167" t="str">
        <f t="shared" si="26"/>
        <v/>
      </c>
      <c r="DU30" s="165" t="str">
        <f t="shared" si="94"/>
        <v/>
      </c>
      <c r="DV30" s="165" t="str">
        <f t="shared" si="95"/>
        <v/>
      </c>
      <c r="DW30" s="11"/>
      <c r="DZ30" s="9"/>
      <c r="EA30" s="9"/>
      <c r="EB30" s="10"/>
      <c r="EC30" s="166" t="str">
        <f t="shared" si="27"/>
        <v/>
      </c>
      <c r="ED30" s="167" t="str">
        <f t="shared" si="28"/>
        <v/>
      </c>
      <c r="EE30" s="165" t="str">
        <f t="shared" si="96"/>
        <v/>
      </c>
      <c r="EF30" s="165" t="str">
        <f t="shared" si="97"/>
        <v/>
      </c>
      <c r="EG30" s="11"/>
      <c r="EJ30" s="9"/>
      <c r="EK30" s="9"/>
      <c r="EL30" s="10"/>
      <c r="EM30" s="166" t="str">
        <f t="shared" si="29"/>
        <v/>
      </c>
      <c r="EN30" s="167" t="str">
        <f t="shared" si="30"/>
        <v/>
      </c>
      <c r="EO30" s="165" t="str">
        <f t="shared" si="98"/>
        <v/>
      </c>
      <c r="EP30" s="165" t="str">
        <f t="shared" si="99"/>
        <v/>
      </c>
      <c r="EQ30" s="11"/>
      <c r="ET30" s="9"/>
      <c r="EU30" s="9"/>
      <c r="EV30" s="10"/>
      <c r="EW30" s="166" t="str">
        <f t="shared" si="31"/>
        <v/>
      </c>
      <c r="EX30" s="167" t="str">
        <f t="shared" si="32"/>
        <v/>
      </c>
      <c r="EY30" s="165" t="str">
        <f t="shared" si="100"/>
        <v/>
      </c>
      <c r="EZ30" s="165" t="str">
        <f t="shared" si="101"/>
        <v/>
      </c>
      <c r="FA30" s="11"/>
      <c r="FD30" s="9"/>
      <c r="FE30" s="9"/>
      <c r="FF30" s="10"/>
      <c r="FG30" s="166" t="str">
        <f t="shared" si="33"/>
        <v/>
      </c>
      <c r="FH30" s="167" t="str">
        <f t="shared" si="34"/>
        <v/>
      </c>
      <c r="FI30" s="165" t="str">
        <f t="shared" si="102"/>
        <v/>
      </c>
      <c r="FJ30" s="165" t="str">
        <f t="shared" si="103"/>
        <v/>
      </c>
      <c r="FK30" s="11"/>
      <c r="FN30" s="9"/>
      <c r="FO30" s="9"/>
      <c r="FP30" s="10"/>
      <c r="FQ30" s="166" t="str">
        <f t="shared" si="35"/>
        <v/>
      </c>
      <c r="FR30" s="167" t="str">
        <f t="shared" si="36"/>
        <v/>
      </c>
      <c r="FS30" s="165" t="str">
        <f t="shared" si="104"/>
        <v/>
      </c>
      <c r="FT30" s="165" t="str">
        <f t="shared" si="105"/>
        <v/>
      </c>
      <c r="FU30" s="11"/>
    </row>
    <row r="31" spans="1:177" x14ac:dyDescent="0.3">
      <c r="A31" s="9"/>
      <c r="B31" s="9"/>
      <c r="C31" s="10"/>
      <c r="D31" s="166" t="str">
        <f t="shared" si="0"/>
        <v/>
      </c>
      <c r="E31" s="167" t="str">
        <f t="shared" si="1"/>
        <v/>
      </c>
      <c r="F31" s="165" t="str">
        <f>+IF(D31="","",E31*D31)</f>
        <v/>
      </c>
      <c r="G31" s="165" t="str">
        <f t="shared" si="2"/>
        <v/>
      </c>
      <c r="K31" s="9"/>
      <c r="L31" s="9"/>
      <c r="M31" s="10"/>
      <c r="N31" s="1" t="str">
        <f>+IF(L31="","",INDEX(V_MANODEOBRA_MENSUAL,MATCH(L31,L_PERSONAL,0)))</f>
        <v/>
      </c>
      <c r="O31" s="167" t="str">
        <f>+IF(N31="","",INDEX(F_PRESTACIONAL,MATCH(L31,L_PERSONAL,0)))</f>
        <v/>
      </c>
      <c r="P31" s="136" t="str">
        <f>+IF(N31="","",O31*N31)</f>
        <v/>
      </c>
      <c r="Q31" s="136" t="str">
        <f>+IF(P31="","",P31*M31)</f>
        <v/>
      </c>
      <c r="U31" s="9"/>
      <c r="V31" s="9"/>
      <c r="W31" s="10"/>
      <c r="X31" s="166" t="str">
        <f>+IF(V31="","",INDEX(V_MANODEOBRA_MENSUAL,MATCH(V31,L_PERSONAL,0)))</f>
        <v/>
      </c>
      <c r="Y31" s="167" t="str">
        <f>+IF(X31="","",INDEX(F_PRESTACIONAL,MATCH(V31,L_PERSONAL,0)))</f>
        <v/>
      </c>
      <c r="Z31" s="165" t="str">
        <f>+IF(X31="","",Y31*X31)</f>
        <v/>
      </c>
      <c r="AA31" s="165" t="str">
        <f>+IF(Z31="","",Z31*W31)</f>
        <v/>
      </c>
      <c r="AD31" s="9"/>
      <c r="AE31" s="9"/>
      <c r="AF31" s="10"/>
      <c r="AG31" s="166" t="str">
        <f>+IF(AE31="","",INDEX(V_MANODEOBRA_MENSUAL,MATCH(AE31,L_PERSONAL,0)))</f>
        <v/>
      </c>
      <c r="AH31" s="167" t="str">
        <f>+IF(AG31="","",INDEX(F_PRESTACIONAL,MATCH(AE31,L_PERSONAL,0)))</f>
        <v/>
      </c>
      <c r="AI31" s="165" t="str">
        <f>+IF(AG31="","",AH31*AG31)</f>
        <v/>
      </c>
      <c r="AJ31" s="165" t="str">
        <f>+IF(AI31="","",AI31*AF31)</f>
        <v/>
      </c>
      <c r="AN31" s="9"/>
      <c r="AO31" s="9"/>
      <c r="AP31" s="10"/>
      <c r="AQ31" s="166"/>
      <c r="AR31" s="167"/>
      <c r="AS31" s="165"/>
      <c r="AT31" s="165"/>
      <c r="AX31" s="9"/>
      <c r="AY31" s="9"/>
      <c r="AZ31" s="10"/>
      <c r="BA31" s="166"/>
      <c r="BB31" s="167"/>
      <c r="BC31" s="165"/>
      <c r="BD31" s="165"/>
      <c r="BH31" s="9"/>
      <c r="BI31" s="9"/>
      <c r="BJ31" s="10"/>
      <c r="BK31" s="166"/>
      <c r="BL31" s="167"/>
      <c r="BM31" s="165"/>
      <c r="BN31" s="165"/>
      <c r="BR31" s="9"/>
      <c r="BS31" s="9"/>
      <c r="BT31" s="10"/>
      <c r="BU31" s="166"/>
      <c r="BV31" s="167"/>
      <c r="BW31" s="165"/>
      <c r="BX31" s="165"/>
      <c r="CB31" s="9"/>
      <c r="CC31" s="9"/>
      <c r="CD31" s="10"/>
      <c r="CE31" s="166"/>
      <c r="CF31" s="167"/>
      <c r="CG31" s="165"/>
      <c r="CH31" s="165"/>
      <c r="CL31" s="9"/>
      <c r="CM31" s="9"/>
      <c r="CN31" s="10"/>
      <c r="CO31" s="166"/>
      <c r="CP31" s="167"/>
      <c r="CQ31" s="165"/>
      <c r="CR31" s="165"/>
      <c r="CV31" s="9"/>
      <c r="CW31" s="9"/>
      <c r="CX31" s="10"/>
      <c r="CY31" s="166"/>
      <c r="CZ31" s="167"/>
      <c r="DA31" s="165"/>
      <c r="DB31" s="165"/>
      <c r="DF31" s="9"/>
      <c r="DG31" s="9"/>
      <c r="DH31" s="10"/>
      <c r="DI31" s="166"/>
      <c r="DJ31" s="167"/>
      <c r="DK31" s="165"/>
      <c r="DL31" s="165"/>
      <c r="DP31" s="9"/>
      <c r="DQ31" s="9"/>
      <c r="DR31" s="10"/>
      <c r="DS31" s="166"/>
      <c r="DT31" s="167"/>
      <c r="DU31" s="165"/>
      <c r="DV31" s="165"/>
      <c r="DZ31" s="9"/>
      <c r="EA31" s="9"/>
      <c r="EB31" s="10"/>
      <c r="EC31" s="166"/>
      <c r="ED31" s="167"/>
      <c r="EE31" s="165"/>
      <c r="EF31" s="165"/>
      <c r="EJ31" s="9"/>
      <c r="EK31" s="9"/>
      <c r="EL31" s="10"/>
      <c r="EM31" s="166"/>
      <c r="EN31" s="167"/>
      <c r="EO31" s="165"/>
      <c r="EP31" s="165"/>
      <c r="ET31" s="9"/>
      <c r="EU31" s="9"/>
      <c r="EV31" s="10"/>
      <c r="EW31" s="166"/>
      <c r="EX31" s="167"/>
      <c r="EY31" s="165"/>
      <c r="EZ31" s="165"/>
      <c r="FD31" s="9"/>
      <c r="FE31" s="9"/>
      <c r="FF31" s="10"/>
      <c r="FG31" s="166"/>
      <c r="FH31" s="167"/>
      <c r="FI31" s="165"/>
      <c r="FJ31" s="165"/>
      <c r="FN31" s="9"/>
      <c r="FO31" s="9"/>
      <c r="FP31" s="10"/>
      <c r="FQ31" s="166"/>
      <c r="FR31" s="167"/>
      <c r="FS31" s="165"/>
      <c r="FT31" s="165"/>
    </row>
    <row r="32" spans="1:177" x14ac:dyDescent="0.3">
      <c r="A32" s="9"/>
      <c r="B32" s="9" t="s">
        <v>515</v>
      </c>
      <c r="C32" s="10">
        <v>1</v>
      </c>
      <c r="D32" s="166">
        <f t="shared" si="0"/>
        <v>4000000</v>
      </c>
      <c r="E32" s="167">
        <f t="shared" si="1"/>
        <v>2.0102000000000002</v>
      </c>
      <c r="F32" s="165">
        <f>+IF(D32="","",E32*D32)</f>
        <v>8040800.0000000009</v>
      </c>
      <c r="G32" s="165">
        <f t="shared" si="2"/>
        <v>8040800.0000000009</v>
      </c>
      <c r="K32" s="9"/>
      <c r="L32" s="9" t="s">
        <v>515</v>
      </c>
      <c r="M32" s="10">
        <v>1</v>
      </c>
      <c r="N32" s="1">
        <f>+IF(L32="","",INDEX(V_MANODEOBRA_MENSUAL,MATCH(L32,L_PERSONAL,0)))</f>
        <v>4000000</v>
      </c>
      <c r="O32" s="167">
        <f>+IF(N32="","",INDEX(F_PRESTACIONAL,MATCH(L32,L_PERSONAL,0)))</f>
        <v>2.0102000000000002</v>
      </c>
      <c r="P32" s="136">
        <f>+IF(N32="","",O32*N32)</f>
        <v>8040800.0000000009</v>
      </c>
      <c r="Q32" s="136">
        <f>+IF(P32="","",P32*M32)</f>
        <v>8040800.0000000009</v>
      </c>
      <c r="U32" s="9"/>
      <c r="V32" s="9" t="s">
        <v>515</v>
      </c>
      <c r="W32" s="10">
        <v>1</v>
      </c>
      <c r="X32" s="166">
        <f>+IF(V32="","",INDEX(V_MANODEOBRA_MENSUAL,MATCH(V32,L_PERSONAL,0)))</f>
        <v>4000000</v>
      </c>
      <c r="Y32" s="167">
        <f>+IF(X32="","",INDEX(F_PRESTACIONAL,MATCH(V32,L_PERSONAL,0)))</f>
        <v>2.0102000000000002</v>
      </c>
      <c r="Z32" s="165">
        <f>+IF(X32="","",Y32*X32)</f>
        <v>8040800.0000000009</v>
      </c>
      <c r="AA32" s="165">
        <f>+IF(Z32="","",Z32*W32)</f>
        <v>8040800.0000000009</v>
      </c>
      <c r="AD32" s="9"/>
      <c r="AE32" s="9"/>
      <c r="AF32" s="10"/>
      <c r="AG32" s="166" t="str">
        <f>+IF(AE32="","",INDEX(V_MANODEOBRA_MENSUAL,MATCH(AE32,L_PERSONAL,0)))</f>
        <v/>
      </c>
      <c r="AH32" s="167" t="str">
        <f>+IF(AG32="","",INDEX(F_PRESTACIONAL,MATCH(AE32,L_PERSONAL,0)))</f>
        <v/>
      </c>
      <c r="AI32" s="165" t="str">
        <f>+IF(AG32="","",AH32*AG32)</f>
        <v/>
      </c>
      <c r="AJ32" s="165" t="str">
        <f>+IF(AI32="","",AI32*AF32)</f>
        <v/>
      </c>
      <c r="AN32" s="9"/>
      <c r="AO32" s="9"/>
      <c r="AP32" s="10"/>
      <c r="AQ32" s="166"/>
      <c r="AR32" s="167"/>
      <c r="AS32" s="165"/>
      <c r="AT32" s="165"/>
      <c r="AX32" s="9"/>
      <c r="AY32" s="9"/>
      <c r="AZ32" s="10"/>
      <c r="BA32" s="166"/>
      <c r="BB32" s="167"/>
      <c r="BC32" s="165"/>
      <c r="BD32" s="165"/>
      <c r="BH32" s="9"/>
      <c r="BI32" s="9"/>
      <c r="BJ32" s="10"/>
      <c r="BK32" s="166"/>
      <c r="BL32" s="167"/>
      <c r="BM32" s="165"/>
      <c r="BN32" s="165"/>
      <c r="BR32" s="9"/>
      <c r="BS32" s="9"/>
      <c r="BT32" s="10"/>
      <c r="BU32" s="166"/>
      <c r="BV32" s="167"/>
      <c r="BW32" s="165"/>
      <c r="BX32" s="165"/>
      <c r="CB32" s="9"/>
      <c r="CC32" s="9"/>
      <c r="CD32" s="10"/>
      <c r="CE32" s="166"/>
      <c r="CF32" s="167"/>
      <c r="CG32" s="165"/>
      <c r="CH32" s="165"/>
      <c r="CL32" s="9"/>
      <c r="CM32" s="9"/>
      <c r="CN32" s="10"/>
      <c r="CO32" s="166"/>
      <c r="CP32" s="167"/>
      <c r="CQ32" s="165"/>
      <c r="CR32" s="165"/>
      <c r="CV32" s="9"/>
      <c r="CW32" s="9"/>
      <c r="CX32" s="10"/>
      <c r="CY32" s="166"/>
      <c r="CZ32" s="167"/>
      <c r="DA32" s="165"/>
      <c r="DB32" s="165"/>
      <c r="DF32" s="9"/>
      <c r="DG32" s="9"/>
      <c r="DH32" s="10"/>
      <c r="DI32" s="166"/>
      <c r="DJ32" s="167"/>
      <c r="DK32" s="165"/>
      <c r="DL32" s="165"/>
      <c r="DP32" s="9"/>
      <c r="DQ32" s="9"/>
      <c r="DR32" s="10"/>
      <c r="DS32" s="166"/>
      <c r="DT32" s="167"/>
      <c r="DU32" s="165"/>
      <c r="DV32" s="165"/>
      <c r="DZ32" s="9"/>
      <c r="EA32" s="9"/>
      <c r="EB32" s="10"/>
      <c r="EC32" s="166"/>
      <c r="ED32" s="167"/>
      <c r="EE32" s="165"/>
      <c r="EF32" s="165"/>
      <c r="EJ32" s="9"/>
      <c r="EK32" s="9"/>
      <c r="EL32" s="10"/>
      <c r="EM32" s="166"/>
      <c r="EN32" s="167"/>
      <c r="EO32" s="165"/>
      <c r="EP32" s="165"/>
      <c r="ET32" s="9"/>
      <c r="EU32" s="9"/>
      <c r="EV32" s="10"/>
      <c r="EW32" s="166"/>
      <c r="EX32" s="167"/>
      <c r="EY32" s="165"/>
      <c r="EZ32" s="165"/>
      <c r="FD32" s="9"/>
      <c r="FE32" s="9"/>
      <c r="FF32" s="10"/>
      <c r="FG32" s="166"/>
      <c r="FH32" s="167"/>
      <c r="FI32" s="165"/>
      <c r="FJ32" s="165"/>
      <c r="FN32" s="9"/>
      <c r="FO32" s="9"/>
      <c r="FP32" s="10"/>
      <c r="FQ32" s="166"/>
      <c r="FR32" s="167"/>
      <c r="FS32" s="165"/>
      <c r="FT32" s="165"/>
    </row>
    <row r="33" spans="1:177" x14ac:dyDescent="0.3">
      <c r="A33" s="9"/>
      <c r="B33" s="9" t="s">
        <v>589</v>
      </c>
      <c r="C33" s="10">
        <v>1</v>
      </c>
      <c r="D33" s="166">
        <f t="shared" si="0"/>
        <v>4000000</v>
      </c>
      <c r="E33" s="167">
        <f t="shared" si="1"/>
        <v>1.6352</v>
      </c>
      <c r="F33" s="165">
        <f>+IF(D33="","",E33*D33)</f>
        <v>6540800</v>
      </c>
      <c r="G33" s="165">
        <f t="shared" si="2"/>
        <v>6540800</v>
      </c>
      <c r="K33" s="9"/>
      <c r="L33" s="9" t="s">
        <v>589</v>
      </c>
      <c r="M33" s="10">
        <v>1</v>
      </c>
      <c r="N33" s="1">
        <f>+IF(L33="","",INDEX(V_MANODEOBRA_MENSUAL,MATCH(L33,L_PERSONAL,0)))</f>
        <v>4000000</v>
      </c>
      <c r="O33" s="167">
        <f>+IF(N33="","",INDEX(F_PRESTACIONAL,MATCH(L33,L_PERSONAL,0)))</f>
        <v>1.6352</v>
      </c>
      <c r="P33" s="136">
        <f>+IF(N33="","",O33*N33)</f>
        <v>6540800</v>
      </c>
      <c r="Q33" s="136">
        <f>+IF(P33="","",P33*M33)</f>
        <v>6540800</v>
      </c>
      <c r="U33" s="9"/>
      <c r="V33" s="9" t="s">
        <v>589</v>
      </c>
      <c r="W33" s="10">
        <v>1</v>
      </c>
      <c r="X33" s="166">
        <f>+IF(V33="","",INDEX(V_MANODEOBRA_MENSUAL,MATCH(V33,L_PERSONAL,0)))</f>
        <v>4000000</v>
      </c>
      <c r="Y33" s="167">
        <f>+IF(X33="","",INDEX(F_PRESTACIONAL,MATCH(V33,L_PERSONAL,0)))</f>
        <v>1.6352</v>
      </c>
      <c r="Z33" s="165">
        <f>+IF(X33="","",Y33*X33)</f>
        <v>6540800</v>
      </c>
      <c r="AA33" s="165">
        <f>+IF(Z33="","",Z33*W33)</f>
        <v>6540800</v>
      </c>
      <c r="AD33" s="9"/>
      <c r="AE33" s="9"/>
      <c r="AF33" s="10"/>
      <c r="AG33" s="166" t="str">
        <f>+IF(AE33="","",INDEX(V_MANODEOBRA_MENSUAL,MATCH(AE33,L_PERSONAL,0)))</f>
        <v/>
      </c>
      <c r="AH33" s="167" t="str">
        <f>+IF(AG33="","",INDEX(F_PRESTACIONAL,MATCH(AE33,L_PERSONAL,0)))</f>
        <v/>
      </c>
      <c r="AI33" s="165" t="str">
        <f>+IF(AG33="","",AH33*AG33)</f>
        <v/>
      </c>
      <c r="AJ33" s="165" t="str">
        <f>+IF(AI33="","",AI33*AF33)</f>
        <v/>
      </c>
      <c r="AN33" s="9"/>
      <c r="AO33" s="9"/>
      <c r="AP33" s="10"/>
      <c r="AQ33" s="166"/>
      <c r="AR33" s="167"/>
      <c r="AS33" s="165"/>
      <c r="AT33" s="165"/>
      <c r="AX33" s="9"/>
      <c r="AY33" s="9"/>
      <c r="AZ33" s="10"/>
      <c r="BA33" s="166"/>
      <c r="BB33" s="167"/>
      <c r="BC33" s="165"/>
      <c r="BD33" s="165"/>
      <c r="BH33" s="9"/>
      <c r="BI33" s="9"/>
      <c r="BJ33" s="10"/>
      <c r="BK33" s="166"/>
      <c r="BL33" s="167"/>
      <c r="BM33" s="165"/>
      <c r="BN33" s="165"/>
      <c r="BR33" s="9"/>
      <c r="BS33" s="9"/>
      <c r="BT33" s="10"/>
      <c r="BU33" s="166"/>
      <c r="BV33" s="167"/>
      <c r="BW33" s="165"/>
      <c r="BX33" s="165"/>
      <c r="CB33" s="9"/>
      <c r="CC33" s="9"/>
      <c r="CD33" s="10"/>
      <c r="CE33" s="166"/>
      <c r="CF33" s="167"/>
      <c r="CG33" s="165"/>
      <c r="CH33" s="165"/>
      <c r="CL33" s="9"/>
      <c r="CM33" s="9"/>
      <c r="CN33" s="10"/>
      <c r="CO33" s="166"/>
      <c r="CP33" s="167"/>
      <c r="CQ33" s="165"/>
      <c r="CR33" s="165"/>
      <c r="CV33" s="9"/>
      <c r="CW33" s="9"/>
      <c r="CX33" s="10"/>
      <c r="CY33" s="166"/>
      <c r="CZ33" s="167"/>
      <c r="DA33" s="165"/>
      <c r="DB33" s="165"/>
      <c r="DF33" s="9"/>
      <c r="DG33" s="9"/>
      <c r="DH33" s="10"/>
      <c r="DI33" s="166"/>
      <c r="DJ33" s="167"/>
      <c r="DK33" s="165"/>
      <c r="DL33" s="165"/>
      <c r="DP33" s="9"/>
      <c r="DQ33" s="9"/>
      <c r="DR33" s="10"/>
      <c r="DS33" s="166"/>
      <c r="DT33" s="167"/>
      <c r="DU33" s="165"/>
      <c r="DV33" s="165"/>
      <c r="DZ33" s="9"/>
      <c r="EA33" s="9"/>
      <c r="EB33" s="10"/>
      <c r="EC33" s="166"/>
      <c r="ED33" s="167"/>
      <c r="EE33" s="165"/>
      <c r="EF33" s="165"/>
      <c r="EJ33" s="9"/>
      <c r="EK33" s="9"/>
      <c r="EL33" s="10"/>
      <c r="EM33" s="166"/>
      <c r="EN33" s="167"/>
      <c r="EO33" s="165"/>
      <c r="EP33" s="165"/>
      <c r="ET33" s="9"/>
      <c r="EU33" s="9"/>
      <c r="EV33" s="10"/>
      <c r="EW33" s="166"/>
      <c r="EX33" s="167"/>
      <c r="EY33" s="165"/>
      <c r="EZ33" s="165"/>
      <c r="FD33" s="9"/>
      <c r="FE33" s="9"/>
      <c r="FF33" s="10"/>
      <c r="FG33" s="166"/>
      <c r="FH33" s="167"/>
      <c r="FI33" s="165"/>
      <c r="FJ33" s="165"/>
      <c r="FN33" s="9"/>
      <c r="FO33" s="9"/>
      <c r="FP33" s="10"/>
      <c r="FQ33" s="166"/>
      <c r="FR33" s="167"/>
      <c r="FS33" s="165"/>
      <c r="FT33" s="165"/>
    </row>
    <row r="34" spans="1:177" x14ac:dyDescent="0.3">
      <c r="A34" s="9"/>
      <c r="B34" s="9"/>
      <c r="C34" s="10">
        <f>SUM(C13:C33)</f>
        <v>14</v>
      </c>
      <c r="D34" s="166" t="str">
        <f t="shared" si="0"/>
        <v/>
      </c>
      <c r="E34" s="167" t="str">
        <f t="shared" si="1"/>
        <v/>
      </c>
      <c r="F34" s="165" t="str">
        <f>+IF(D34="","",E34*D34)</f>
        <v/>
      </c>
      <c r="G34" s="165" t="str">
        <f t="shared" si="2"/>
        <v/>
      </c>
      <c r="K34" s="9"/>
      <c r="L34" s="9"/>
      <c r="M34" s="10"/>
      <c r="N34" s="1" t="str">
        <f>+IF(L34="","",INDEX(V_MANODEOBRA_MENSUAL,MATCH(L34,L_PERSONAL,0)))</f>
        <v/>
      </c>
      <c r="O34" s="167" t="str">
        <f>+IF(N34="","",INDEX(F_PRESTACIONAL,MATCH(L34,L_PERSONAL,0)))</f>
        <v/>
      </c>
      <c r="P34" s="136" t="str">
        <f>+IF(N34="","",O34*N34)</f>
        <v/>
      </c>
      <c r="Q34" s="136" t="str">
        <f>+IF(P34="","",P34*M34)</f>
        <v/>
      </c>
      <c r="U34" s="9"/>
      <c r="V34" s="9"/>
      <c r="W34" s="10"/>
      <c r="X34" s="166" t="str">
        <f>+IF(V34="","",INDEX(V_MANODEOBRA_MENSUAL,MATCH(V34,L_PERSONAL,0)))</f>
        <v/>
      </c>
      <c r="Y34" s="167" t="str">
        <f>+IF(X34="","",INDEX(F_PRESTACIONAL,MATCH(V34,L_PERSONAL,0)))</f>
        <v/>
      </c>
      <c r="Z34" s="165" t="str">
        <f>+IF(X34="","",Y34*X34)</f>
        <v/>
      </c>
      <c r="AA34" s="165" t="str">
        <f>+IF(Z34="","",Z34*W34)</f>
        <v/>
      </c>
      <c r="AD34" s="9"/>
      <c r="AE34" s="9"/>
      <c r="AF34" s="10"/>
      <c r="AG34" s="166" t="str">
        <f>+IF(AE34="","",INDEX(V_MANODEOBRA_MENSUAL,MATCH(AE34,L_PERSONAL,0)))</f>
        <v/>
      </c>
      <c r="AH34" s="167" t="str">
        <f>+IF(AG34="","",INDEX(F_PRESTACIONAL,MATCH(AE34,L_PERSONAL,0)))</f>
        <v/>
      </c>
      <c r="AI34" s="165" t="str">
        <f>+IF(AG34="","",AH34*AG34)</f>
        <v/>
      </c>
      <c r="AJ34" s="165" t="str">
        <f>+IF(AI34="","",AI34*AF34)</f>
        <v/>
      </c>
      <c r="AN34" s="9"/>
      <c r="AO34" s="9"/>
      <c r="AP34" s="10"/>
      <c r="AQ34" s="166"/>
      <c r="AR34" s="167"/>
      <c r="AS34" s="165"/>
      <c r="AT34" s="165"/>
      <c r="AX34" s="9"/>
      <c r="AY34" s="9"/>
      <c r="AZ34" s="10"/>
      <c r="BA34" s="166"/>
      <c r="BB34" s="167"/>
      <c r="BC34" s="165"/>
      <c r="BD34" s="165"/>
      <c r="BH34" s="9"/>
      <c r="BI34" s="9"/>
      <c r="BJ34" s="10"/>
      <c r="BK34" s="166"/>
      <c r="BL34" s="167"/>
      <c r="BM34" s="165"/>
      <c r="BN34" s="165"/>
      <c r="BR34" s="9"/>
      <c r="BS34" s="9"/>
      <c r="BT34" s="10"/>
      <c r="BU34" s="166"/>
      <c r="BV34" s="167"/>
      <c r="BW34" s="165"/>
      <c r="BX34" s="165"/>
      <c r="CB34" s="9"/>
      <c r="CC34" s="9"/>
      <c r="CD34" s="10"/>
      <c r="CE34" s="166"/>
      <c r="CF34" s="167"/>
      <c r="CG34" s="165"/>
      <c r="CH34" s="165"/>
      <c r="CL34" s="9"/>
      <c r="CM34" s="9"/>
      <c r="CN34" s="10"/>
      <c r="CO34" s="166"/>
      <c r="CP34" s="167"/>
      <c r="CQ34" s="165"/>
      <c r="CR34" s="165"/>
      <c r="CV34" s="9"/>
      <c r="CW34" s="9"/>
      <c r="CX34" s="10"/>
      <c r="CY34" s="166"/>
      <c r="CZ34" s="167"/>
      <c r="DA34" s="165"/>
      <c r="DB34" s="165"/>
      <c r="DF34" s="9"/>
      <c r="DG34" s="9"/>
      <c r="DH34" s="10"/>
      <c r="DI34" s="166"/>
      <c r="DJ34" s="167"/>
      <c r="DK34" s="165"/>
      <c r="DL34" s="165"/>
      <c r="DP34" s="9"/>
      <c r="DQ34" s="9"/>
      <c r="DR34" s="10"/>
      <c r="DS34" s="166"/>
      <c r="DT34" s="167"/>
      <c r="DU34" s="165"/>
      <c r="DV34" s="165"/>
      <c r="DZ34" s="9"/>
      <c r="EA34" s="9"/>
      <c r="EB34" s="10"/>
      <c r="EC34" s="166"/>
      <c r="ED34" s="167"/>
      <c r="EE34" s="165"/>
      <c r="EF34" s="165"/>
      <c r="EJ34" s="9"/>
      <c r="EK34" s="9"/>
      <c r="EL34" s="10"/>
      <c r="EM34" s="166"/>
      <c r="EN34" s="167"/>
      <c r="EO34" s="165"/>
      <c r="EP34" s="165"/>
      <c r="ET34" s="9"/>
      <c r="EU34" s="9"/>
      <c r="EV34" s="10"/>
      <c r="EW34" s="166"/>
      <c r="EX34" s="167"/>
      <c r="EY34" s="165"/>
      <c r="EZ34" s="165"/>
      <c r="FD34" s="9"/>
      <c r="FE34" s="9"/>
      <c r="FF34" s="10"/>
      <c r="FG34" s="166"/>
      <c r="FH34" s="167"/>
      <c r="FI34" s="165"/>
      <c r="FJ34" s="165"/>
      <c r="FN34" s="9"/>
      <c r="FO34" s="9"/>
      <c r="FP34" s="10"/>
      <c r="FQ34" s="166"/>
      <c r="FR34" s="167"/>
      <c r="FS34" s="165"/>
      <c r="FT34" s="165"/>
    </row>
    <row r="35" spans="1:177" x14ac:dyDescent="0.3">
      <c r="A35" s="9"/>
      <c r="B35" s="39" t="s">
        <v>29</v>
      </c>
      <c r="C35" s="40"/>
      <c r="D35" s="40"/>
      <c r="E35" s="40"/>
      <c r="F35" s="41"/>
      <c r="G35" s="5">
        <f>IF(G10&gt;$B$3,0,SUBTOTAL(109,Tabla3[Subtotal Mensual]))</f>
        <v>107936000</v>
      </c>
      <c r="H35" s="17"/>
      <c r="I35" s="9"/>
      <c r="K35" s="9"/>
      <c r="L35" s="551" t="s">
        <v>29</v>
      </c>
      <c r="M35" s="552"/>
      <c r="N35" s="552"/>
      <c r="O35" s="552"/>
      <c r="P35" s="553"/>
      <c r="Q35" s="5">
        <f>IF(Q10&gt;$B$3,0,SUBTOTAL(109,Tabla347[Valor mensual]))</f>
        <v>107936000</v>
      </c>
      <c r="R35" s="17"/>
      <c r="U35" s="9"/>
      <c r="V35" s="551" t="s">
        <v>29</v>
      </c>
      <c r="W35" s="552"/>
      <c r="X35" s="552"/>
      <c r="Y35" s="552"/>
      <c r="Z35" s="553"/>
      <c r="AA35" s="5">
        <f>IF(AA10&gt;$B$3,0,SUBTOTAL(109,Tabla350[Valor mensual]))</f>
        <v>107936000</v>
      </c>
      <c r="AB35" s="17"/>
      <c r="AD35" s="9"/>
      <c r="AE35" s="551" t="s">
        <v>29</v>
      </c>
      <c r="AF35" s="552"/>
      <c r="AG35" s="552"/>
      <c r="AH35" s="552"/>
      <c r="AI35" s="553"/>
      <c r="AJ35" s="5">
        <f>IF(AJ10&gt;$B$3,0,SUBTOTAL(109,Tabla353[Valor mensual]))</f>
        <v>0</v>
      </c>
      <c r="AK35" s="17"/>
      <c r="AN35" s="9"/>
      <c r="AO35" s="551" t="s">
        <v>29</v>
      </c>
      <c r="AP35" s="552"/>
      <c r="AQ35" s="552"/>
      <c r="AR35" s="552"/>
      <c r="AS35" s="553"/>
      <c r="AT35" s="5">
        <f>IF(AT10&gt;$B$3,0,SUBTOTAL(109,Tabla356[Valor mensual]))</f>
        <v>0</v>
      </c>
      <c r="AU35" s="17"/>
      <c r="AX35" s="9"/>
      <c r="AY35" s="551" t="s">
        <v>29</v>
      </c>
      <c r="AZ35" s="552"/>
      <c r="BA35" s="552"/>
      <c r="BB35" s="552"/>
      <c r="BC35" s="553"/>
      <c r="BD35" s="5">
        <f>IF(BD10&gt;$B$3,0,SUBTOTAL(109,Tabla359[Valor mensual]))</f>
        <v>0</v>
      </c>
      <c r="BE35" s="17"/>
      <c r="BH35" s="9"/>
      <c r="BI35" s="551" t="s">
        <v>29</v>
      </c>
      <c r="BJ35" s="552"/>
      <c r="BK35" s="552"/>
      <c r="BL35" s="552"/>
      <c r="BM35" s="553"/>
      <c r="BN35" s="5">
        <f>SUBTOTAL(109,Tabla362[Valor mensual])</f>
        <v>0</v>
      </c>
      <c r="BO35" s="17"/>
      <c r="BR35" s="9"/>
      <c r="BS35" s="551" t="s">
        <v>29</v>
      </c>
      <c r="BT35" s="552"/>
      <c r="BU35" s="552"/>
      <c r="BV35" s="552"/>
      <c r="BW35" s="553"/>
      <c r="BX35" s="5">
        <f>SUBTOTAL(109,Tabla365[Valor mensual])</f>
        <v>0</v>
      </c>
      <c r="BY35" s="17"/>
      <c r="CB35" s="9"/>
      <c r="CC35" s="551" t="s">
        <v>29</v>
      </c>
      <c r="CD35" s="552"/>
      <c r="CE35" s="552"/>
      <c r="CF35" s="552"/>
      <c r="CG35" s="553"/>
      <c r="CH35" s="5">
        <f>SUBTOTAL(109,Tabla368[Valor mensual])</f>
        <v>0</v>
      </c>
      <c r="CI35" s="17"/>
      <c r="CL35" s="9"/>
      <c r="CM35" s="551" t="s">
        <v>29</v>
      </c>
      <c r="CN35" s="552"/>
      <c r="CO35" s="552"/>
      <c r="CP35" s="552"/>
      <c r="CQ35" s="553"/>
      <c r="CR35" s="5">
        <f>SUBTOTAL(109,Tabla371[Valor mensual])</f>
        <v>0</v>
      </c>
      <c r="CS35" s="17"/>
      <c r="CV35" s="9"/>
      <c r="CW35" s="551" t="s">
        <v>29</v>
      </c>
      <c r="CX35" s="552"/>
      <c r="CY35" s="552"/>
      <c r="CZ35" s="552"/>
      <c r="DA35" s="553"/>
      <c r="DB35" s="5">
        <f>SUBTOTAL(109,Tabla374[Valor mensual])</f>
        <v>0</v>
      </c>
      <c r="DC35" s="17"/>
      <c r="DF35" s="9"/>
      <c r="DG35" s="551" t="s">
        <v>29</v>
      </c>
      <c r="DH35" s="552"/>
      <c r="DI35" s="552"/>
      <c r="DJ35" s="552"/>
      <c r="DK35" s="553"/>
      <c r="DL35" s="5">
        <f>SUBTOTAL(109,Tabla377[Valor mensual])</f>
        <v>0</v>
      </c>
      <c r="DM35" s="17"/>
      <c r="DP35" s="9"/>
      <c r="DQ35" s="551" t="s">
        <v>29</v>
      </c>
      <c r="DR35" s="552"/>
      <c r="DS35" s="552"/>
      <c r="DT35" s="552"/>
      <c r="DU35" s="553"/>
      <c r="DV35" s="5">
        <f>SUBTOTAL(109,Tabla380[Valor mensual])</f>
        <v>0</v>
      </c>
      <c r="DW35" s="17"/>
      <c r="DZ35" s="9"/>
      <c r="EA35" s="551" t="s">
        <v>29</v>
      </c>
      <c r="EB35" s="552"/>
      <c r="EC35" s="552"/>
      <c r="ED35" s="552"/>
      <c r="EE35" s="553"/>
      <c r="EF35" s="5">
        <f>SUBTOTAL(109,Tabla383[Valor mensual])</f>
        <v>0</v>
      </c>
      <c r="EG35" s="17"/>
      <c r="EJ35" s="9"/>
      <c r="EK35" s="551" t="s">
        <v>29</v>
      </c>
      <c r="EL35" s="552"/>
      <c r="EM35" s="552"/>
      <c r="EN35" s="552"/>
      <c r="EO35" s="553"/>
      <c r="EP35" s="5">
        <f>SUBTOTAL(109,Tabla386[Valor mensual])</f>
        <v>0</v>
      </c>
      <c r="EQ35" s="17"/>
      <c r="ET35" s="9"/>
      <c r="EU35" s="551" t="s">
        <v>29</v>
      </c>
      <c r="EV35" s="552"/>
      <c r="EW35" s="552"/>
      <c r="EX35" s="552"/>
      <c r="EY35" s="553"/>
      <c r="EZ35" s="5">
        <f>SUBTOTAL(109,Tabla389[Valor mensual])</f>
        <v>0</v>
      </c>
      <c r="FA35" s="17"/>
      <c r="FD35" s="9"/>
      <c r="FE35" s="551" t="s">
        <v>29</v>
      </c>
      <c r="FF35" s="552"/>
      <c r="FG35" s="552"/>
      <c r="FH35" s="552"/>
      <c r="FI35" s="553"/>
      <c r="FJ35" s="5">
        <f>SUBTOTAL(109,Tabla392[Valor mensual])</f>
        <v>0</v>
      </c>
      <c r="FK35" s="17"/>
      <c r="FN35" s="9"/>
      <c r="FO35" s="551" t="s">
        <v>29</v>
      </c>
      <c r="FP35" s="552"/>
      <c r="FQ35" s="552"/>
      <c r="FR35" s="552"/>
      <c r="FS35" s="553"/>
      <c r="FT35" s="5">
        <f>SUBTOTAL(109,Tabla395[Valor mensual])</f>
        <v>0</v>
      </c>
      <c r="FU35" s="17"/>
    </row>
    <row r="36" spans="1:177" x14ac:dyDescent="0.3">
      <c r="A36" s="9"/>
      <c r="H36" s="11"/>
      <c r="K36" s="9"/>
      <c r="R36" s="11"/>
      <c r="U36" s="9"/>
      <c r="AB36" s="11"/>
      <c r="AD36" s="9"/>
      <c r="AK36" s="11"/>
      <c r="AN36" s="9"/>
      <c r="AU36" s="11"/>
      <c r="AX36" s="9"/>
      <c r="BE36" s="11"/>
      <c r="BH36" s="9"/>
      <c r="BO36" s="11"/>
      <c r="BR36" s="9"/>
      <c r="BY36" s="11"/>
      <c r="CB36" s="9"/>
      <c r="CI36" s="11"/>
      <c r="CL36" s="9"/>
      <c r="CS36" s="11"/>
      <c r="CV36" s="9"/>
      <c r="DC36" s="11"/>
      <c r="DF36" s="9"/>
      <c r="DM36" s="11"/>
      <c r="DP36" s="9"/>
      <c r="DW36" s="11"/>
      <c r="DZ36" s="9"/>
      <c r="EG36" s="11"/>
      <c r="EJ36" s="9"/>
      <c r="EQ36" s="11"/>
      <c r="ET36" s="9"/>
      <c r="FA36" s="11"/>
      <c r="FD36" s="9"/>
      <c r="FK36" s="11"/>
      <c r="FN36" s="9"/>
      <c r="FU36" s="11"/>
    </row>
    <row r="37" spans="1:177" x14ac:dyDescent="0.3">
      <c r="A37" s="9"/>
      <c r="H37" s="11"/>
      <c r="K37" s="9"/>
      <c r="R37" s="11"/>
      <c r="U37" s="9"/>
      <c r="AB37" s="11"/>
      <c r="AD37" s="9"/>
      <c r="AK37" s="11"/>
      <c r="AN37" s="9"/>
      <c r="AU37" s="11"/>
      <c r="AX37" s="9"/>
      <c r="BE37" s="11"/>
      <c r="BH37" s="9"/>
      <c r="BO37" s="11"/>
      <c r="BR37" s="9"/>
      <c r="BY37" s="11"/>
      <c r="CB37" s="9"/>
      <c r="CI37" s="11"/>
      <c r="CL37" s="9"/>
      <c r="CS37" s="11"/>
      <c r="CV37" s="9"/>
      <c r="DC37" s="11"/>
      <c r="DF37" s="9"/>
      <c r="DM37" s="11"/>
      <c r="DP37" s="9"/>
      <c r="DW37" s="11"/>
      <c r="DZ37" s="9"/>
      <c r="EG37" s="11"/>
      <c r="EJ37" s="9"/>
      <c r="EQ37" s="11"/>
      <c r="ET37" s="9"/>
      <c r="FA37" s="11"/>
      <c r="FD37" s="9"/>
      <c r="FK37" s="11"/>
      <c r="FN37" s="9"/>
      <c r="FU37" s="11"/>
    </row>
    <row r="38" spans="1:177" ht="17.25" thickBot="1" x14ac:dyDescent="0.35">
      <c r="A38" s="9"/>
      <c r="H38" s="11"/>
      <c r="K38" s="9"/>
      <c r="R38" s="11"/>
      <c r="U38" s="9"/>
      <c r="AB38" s="11"/>
      <c r="AD38" s="9"/>
      <c r="AK38" s="11"/>
      <c r="AN38" s="9"/>
      <c r="AU38" s="11"/>
      <c r="AX38" s="9"/>
      <c r="BE38" s="11"/>
      <c r="BH38" s="9"/>
      <c r="BO38" s="11"/>
      <c r="BR38" s="9"/>
      <c r="BY38" s="11"/>
      <c r="CB38" s="9"/>
      <c r="CI38" s="11"/>
      <c r="CL38" s="9"/>
      <c r="CS38" s="11"/>
      <c r="CV38" s="9"/>
      <c r="DC38" s="11"/>
      <c r="DF38" s="9"/>
      <c r="DM38" s="11"/>
      <c r="DP38" s="9"/>
      <c r="DW38" s="11"/>
      <c r="DZ38" s="9"/>
      <c r="EG38" s="11"/>
      <c r="EJ38" s="9"/>
      <c r="EQ38" s="11"/>
      <c r="ET38" s="9"/>
      <c r="FA38" s="11"/>
      <c r="FD38" s="9"/>
      <c r="FK38" s="11"/>
      <c r="FN38" s="9"/>
      <c r="FU38" s="11"/>
    </row>
    <row r="39" spans="1:177" x14ac:dyDescent="0.3">
      <c r="A39" s="6" t="s">
        <v>30</v>
      </c>
      <c r="B39" s="7" t="s">
        <v>24</v>
      </c>
      <c r="C39" s="7" t="s">
        <v>28</v>
      </c>
      <c r="D39" s="7" t="s">
        <v>34</v>
      </c>
      <c r="E39" s="7" t="s">
        <v>35</v>
      </c>
      <c r="F39" s="7" t="s">
        <v>31</v>
      </c>
      <c r="G39" s="7" t="s">
        <v>32</v>
      </c>
      <c r="H39" s="8" t="s">
        <v>212</v>
      </c>
      <c r="K39" s="6" t="s">
        <v>30</v>
      </c>
      <c r="L39" s="7" t="s">
        <v>24</v>
      </c>
      <c r="M39" s="7" t="s">
        <v>28</v>
      </c>
      <c r="N39" s="7" t="s">
        <v>34</v>
      </c>
      <c r="O39" s="7" t="s">
        <v>35</v>
      </c>
      <c r="P39" s="7" t="s">
        <v>31</v>
      </c>
      <c r="Q39" s="7" t="s">
        <v>32</v>
      </c>
      <c r="R39" s="8" t="s">
        <v>33</v>
      </c>
      <c r="U39" s="6" t="s">
        <v>30</v>
      </c>
      <c r="V39" s="7" t="s">
        <v>24</v>
      </c>
      <c r="W39" s="7" t="s">
        <v>28</v>
      </c>
      <c r="X39" s="7" t="s">
        <v>34</v>
      </c>
      <c r="Y39" s="7" t="s">
        <v>35</v>
      </c>
      <c r="Z39" s="7" t="s">
        <v>31</v>
      </c>
      <c r="AA39" s="7" t="s">
        <v>32</v>
      </c>
      <c r="AB39" s="8" t="s">
        <v>33</v>
      </c>
      <c r="AD39" s="6" t="s">
        <v>30</v>
      </c>
      <c r="AE39" s="7" t="s">
        <v>24</v>
      </c>
      <c r="AF39" s="7" t="s">
        <v>28</v>
      </c>
      <c r="AG39" s="7" t="s">
        <v>34</v>
      </c>
      <c r="AH39" s="7" t="s">
        <v>35</v>
      </c>
      <c r="AI39" s="7" t="s">
        <v>31</v>
      </c>
      <c r="AJ39" s="7" t="s">
        <v>32</v>
      </c>
      <c r="AK39" s="8" t="s">
        <v>33</v>
      </c>
      <c r="AN39" s="6" t="s">
        <v>30</v>
      </c>
      <c r="AO39" s="7" t="s">
        <v>24</v>
      </c>
      <c r="AP39" s="7" t="s">
        <v>28</v>
      </c>
      <c r="AQ39" s="7" t="s">
        <v>34</v>
      </c>
      <c r="AR39" s="7" t="s">
        <v>35</v>
      </c>
      <c r="AS39" s="7" t="s">
        <v>31</v>
      </c>
      <c r="AT39" s="7" t="s">
        <v>32</v>
      </c>
      <c r="AU39" s="8" t="s">
        <v>33</v>
      </c>
      <c r="AX39" s="6" t="s">
        <v>30</v>
      </c>
      <c r="AY39" s="7" t="s">
        <v>24</v>
      </c>
      <c r="AZ39" s="7" t="s">
        <v>28</v>
      </c>
      <c r="BA39" s="7" t="s">
        <v>34</v>
      </c>
      <c r="BB39" s="7" t="s">
        <v>35</v>
      </c>
      <c r="BC39" s="7" t="s">
        <v>31</v>
      </c>
      <c r="BD39" s="7" t="s">
        <v>32</v>
      </c>
      <c r="BE39" s="8" t="s">
        <v>33</v>
      </c>
      <c r="BH39" s="6" t="s">
        <v>30</v>
      </c>
      <c r="BI39" s="7" t="s">
        <v>24</v>
      </c>
      <c r="BJ39" s="7" t="s">
        <v>28</v>
      </c>
      <c r="BK39" s="7" t="s">
        <v>34</v>
      </c>
      <c r="BL39" s="7" t="s">
        <v>35</v>
      </c>
      <c r="BM39" s="7" t="s">
        <v>31</v>
      </c>
      <c r="BN39" s="7" t="s">
        <v>32</v>
      </c>
      <c r="BO39" s="8" t="s">
        <v>33</v>
      </c>
      <c r="BR39" s="6" t="s">
        <v>30</v>
      </c>
      <c r="BS39" s="7" t="s">
        <v>24</v>
      </c>
      <c r="BT39" s="7" t="s">
        <v>28</v>
      </c>
      <c r="BU39" s="7" t="s">
        <v>34</v>
      </c>
      <c r="BV39" s="7" t="s">
        <v>35</v>
      </c>
      <c r="BW39" s="7" t="s">
        <v>31</v>
      </c>
      <c r="BX39" s="7" t="s">
        <v>32</v>
      </c>
      <c r="BY39" s="8" t="s">
        <v>33</v>
      </c>
      <c r="CB39" s="6" t="s">
        <v>30</v>
      </c>
      <c r="CC39" s="7" t="s">
        <v>24</v>
      </c>
      <c r="CD39" s="7" t="s">
        <v>28</v>
      </c>
      <c r="CE39" s="7" t="s">
        <v>34</v>
      </c>
      <c r="CF39" s="7" t="s">
        <v>35</v>
      </c>
      <c r="CG39" s="7" t="s">
        <v>31</v>
      </c>
      <c r="CH39" s="7" t="s">
        <v>32</v>
      </c>
      <c r="CI39" s="8" t="s">
        <v>33</v>
      </c>
      <c r="CL39" s="6" t="s">
        <v>30</v>
      </c>
      <c r="CM39" s="7" t="s">
        <v>24</v>
      </c>
      <c r="CN39" s="7" t="s">
        <v>28</v>
      </c>
      <c r="CO39" s="7" t="s">
        <v>34</v>
      </c>
      <c r="CP39" s="7" t="s">
        <v>35</v>
      </c>
      <c r="CQ39" s="7" t="s">
        <v>31</v>
      </c>
      <c r="CR39" s="7" t="s">
        <v>32</v>
      </c>
      <c r="CS39" s="8" t="s">
        <v>33</v>
      </c>
      <c r="CV39" s="6" t="s">
        <v>30</v>
      </c>
      <c r="CW39" s="7" t="s">
        <v>24</v>
      </c>
      <c r="CX39" s="7" t="s">
        <v>28</v>
      </c>
      <c r="CY39" s="7" t="s">
        <v>34</v>
      </c>
      <c r="CZ39" s="7" t="s">
        <v>35</v>
      </c>
      <c r="DA39" s="7" t="s">
        <v>31</v>
      </c>
      <c r="DB39" s="7" t="s">
        <v>32</v>
      </c>
      <c r="DC39" s="8" t="s">
        <v>33</v>
      </c>
      <c r="DF39" s="6" t="s">
        <v>30</v>
      </c>
      <c r="DG39" s="7" t="s">
        <v>24</v>
      </c>
      <c r="DH39" s="7" t="s">
        <v>28</v>
      </c>
      <c r="DI39" s="7" t="s">
        <v>34</v>
      </c>
      <c r="DJ39" s="7" t="s">
        <v>35</v>
      </c>
      <c r="DK39" s="7" t="s">
        <v>31</v>
      </c>
      <c r="DL39" s="7" t="s">
        <v>32</v>
      </c>
      <c r="DM39" s="8" t="s">
        <v>33</v>
      </c>
      <c r="DP39" s="6" t="s">
        <v>30</v>
      </c>
      <c r="DQ39" s="7" t="s">
        <v>24</v>
      </c>
      <c r="DR39" s="7" t="s">
        <v>28</v>
      </c>
      <c r="DS39" s="7" t="s">
        <v>34</v>
      </c>
      <c r="DT39" s="7" t="s">
        <v>35</v>
      </c>
      <c r="DU39" s="7" t="s">
        <v>31</v>
      </c>
      <c r="DV39" s="7" t="s">
        <v>32</v>
      </c>
      <c r="DW39" s="8" t="s">
        <v>33</v>
      </c>
      <c r="DZ39" s="6" t="s">
        <v>30</v>
      </c>
      <c r="EA39" s="7" t="s">
        <v>24</v>
      </c>
      <c r="EB39" s="7" t="s">
        <v>28</v>
      </c>
      <c r="EC39" s="7" t="s">
        <v>34</v>
      </c>
      <c r="ED39" s="7" t="s">
        <v>35</v>
      </c>
      <c r="EE39" s="7" t="s">
        <v>31</v>
      </c>
      <c r="EF39" s="7" t="s">
        <v>32</v>
      </c>
      <c r="EG39" s="8" t="s">
        <v>33</v>
      </c>
      <c r="EJ39" s="6" t="s">
        <v>30</v>
      </c>
      <c r="EK39" s="7" t="s">
        <v>24</v>
      </c>
      <c r="EL39" s="7" t="s">
        <v>28</v>
      </c>
      <c r="EM39" s="7" t="s">
        <v>34</v>
      </c>
      <c r="EN39" s="7" t="s">
        <v>35</v>
      </c>
      <c r="EO39" s="7" t="s">
        <v>31</v>
      </c>
      <c r="EP39" s="7" t="s">
        <v>32</v>
      </c>
      <c r="EQ39" s="8" t="s">
        <v>33</v>
      </c>
      <c r="ET39" s="6" t="s">
        <v>30</v>
      </c>
      <c r="EU39" s="7" t="s">
        <v>24</v>
      </c>
      <c r="EV39" s="7" t="s">
        <v>28</v>
      </c>
      <c r="EW39" s="7" t="s">
        <v>34</v>
      </c>
      <c r="EX39" s="7" t="s">
        <v>35</v>
      </c>
      <c r="EY39" s="7" t="s">
        <v>31</v>
      </c>
      <c r="EZ39" s="7" t="s">
        <v>32</v>
      </c>
      <c r="FA39" s="8" t="s">
        <v>33</v>
      </c>
      <c r="FD39" s="6" t="s">
        <v>30</v>
      </c>
      <c r="FE39" s="7" t="s">
        <v>24</v>
      </c>
      <c r="FF39" s="7" t="s">
        <v>28</v>
      </c>
      <c r="FG39" s="7" t="s">
        <v>34</v>
      </c>
      <c r="FH39" s="7" t="s">
        <v>35</v>
      </c>
      <c r="FI39" s="7" t="s">
        <v>31</v>
      </c>
      <c r="FJ39" s="7" t="s">
        <v>32</v>
      </c>
      <c r="FK39" s="8" t="s">
        <v>33</v>
      </c>
      <c r="FN39" s="6" t="s">
        <v>30</v>
      </c>
      <c r="FO39" s="7" t="s">
        <v>24</v>
      </c>
      <c r="FP39" s="7" t="s">
        <v>28</v>
      </c>
      <c r="FQ39" s="7" t="s">
        <v>34</v>
      </c>
      <c r="FR39" s="7" t="s">
        <v>35</v>
      </c>
      <c r="FS39" s="7" t="s">
        <v>31</v>
      </c>
      <c r="FT39" s="7" t="s">
        <v>32</v>
      </c>
      <c r="FU39" s="8" t="s">
        <v>33</v>
      </c>
    </row>
    <row r="40" spans="1:177" x14ac:dyDescent="0.3">
      <c r="A40" s="9" t="s">
        <v>493</v>
      </c>
      <c r="B40" s="10">
        <v>1</v>
      </c>
      <c r="C40" s="165">
        <f>IF(Tabla5[[#This Row],[Equipo ]]="","",INDEX(V_MENSUAL,MATCH(Tabla5[[#This Row],[Equipo ]],LISTA_MAQUINARIA,0)))</f>
        <v>5000000</v>
      </c>
      <c r="D40" s="12">
        <f>IF(Tabla5[[#This Row],[Equipo ]]="","",INDEX(CONSUMO_COMBUSTIBLE_H,MATCH(Tabla5[[#This Row],[Equipo ]],LISTA_MAQUINARIA,0)))</f>
        <v>0</v>
      </c>
      <c r="E40" s="166">
        <f>IF(Tabla5[[#This Row],[Equipo ]]="","",INDEX(V_GALON,MATCH(Tabla5[[#This Row],[Equipo ]],LISTA_MAQUINARIA,0)))</f>
        <v>10800</v>
      </c>
      <c r="F40" s="10"/>
      <c r="G40" s="165">
        <f>IF(Tabla5[[#This Row],[Equipo ]]="","",Tabla5[[#This Row],[Valor mensual]]+Tabla5[[#This Row],[Combustible Hora ]]*Tabla5[[#This Row],[Valor galon]]*Tabla5[[#This Row],[Horas mes]])</f>
        <v>5000000</v>
      </c>
      <c r="H40" s="168">
        <f>IF(Tabla5[[#This Row],[Valor mensual + Combustible]]="","",Tabla5[[#This Row],[Valor mensual + Combustible]]*Tabla5[[#This Row],[Cantidad]])</f>
        <v>5000000</v>
      </c>
      <c r="K40" s="9" t="s">
        <v>493</v>
      </c>
      <c r="L40" s="10">
        <v>1</v>
      </c>
      <c r="M40" s="165" cm="1">
        <f t="array" ref="M40">IF(Tabla548[[#This Row],[Equipo ]]="","",INDEX(V_MENSUAL,MATCH(Tabla548[[#This Row],[Equipo ]],LISTA_MAQUINARIA,0)))</f>
        <v>5000000</v>
      </c>
      <c r="N40" s="12">
        <f>IF(Tabla548[[#This Row],[Equipo ]]="","",INDEX(CONSUMO_COMBUSTIBLE_H,MATCH(Tabla548[[#This Row],[Equipo ]],LISTA_MAQUINARIA,0)))</f>
        <v>0</v>
      </c>
      <c r="O40" s="166">
        <f>IF(Tabla548[[#This Row],[Equipo ]]="","",INDEX(V_GALON,MATCH(Tabla548[[#This Row],[Equipo ]],LISTA_MAQUINARIA,0)))</f>
        <v>10800</v>
      </c>
      <c r="P40" s="10"/>
      <c r="Q40" s="165">
        <f>IF(Tabla548[[#This Row],[Equipo ]]="","",Tabla548[[#This Row],[Valor mensual]]+Tabla548[[#This Row],[Combustible Hora ]]*Tabla548[[#This Row],[Valor galon]]*Tabla548[[#This Row],[Horas mes]])</f>
        <v>5000000</v>
      </c>
      <c r="R40" s="168">
        <f>IF(Tabla548[[#This Row],[Valor mensual + Combustible]]="","",Tabla548[[#This Row],[Valor mensual + Combustible]]*Tabla548[[#This Row],[Cantidad]])</f>
        <v>5000000</v>
      </c>
      <c r="U40" s="9" t="s">
        <v>493</v>
      </c>
      <c r="V40" s="10">
        <v>1</v>
      </c>
      <c r="W40" s="165">
        <f>IF(Tabla551[[#This Row],[Equipo ]]="","",INDEX(V_MENSUAL,MATCH(Tabla551[[#This Row],[Equipo ]],LISTA_MAQUINARIA,0)))</f>
        <v>5000000</v>
      </c>
      <c r="X40" s="12">
        <f>IF(Tabla551[[#This Row],[Equipo ]]="","",INDEX(CONSUMO_COMBUSTIBLE_H,MATCH(Tabla551[[#This Row],[Equipo ]],LISTA_MAQUINARIA,0)))</f>
        <v>0</v>
      </c>
      <c r="Y40" s="166">
        <f>IF(Tabla551[[#This Row],[Equipo ]]="","",INDEX(V_GALON,MATCH(Tabla551[[#This Row],[Equipo ]],LISTA_MAQUINARIA,0)))</f>
        <v>10800</v>
      </c>
      <c r="Z40" s="10"/>
      <c r="AA40" s="165">
        <f>IF(Tabla551[[#This Row],[Equipo ]]="","",Tabla551[[#This Row],[Valor mensual]]+Tabla551[[#This Row],[Combustible Hora ]]*Tabla551[[#This Row],[Valor galon]]*Tabla551[[#This Row],[Horas mes]])</f>
        <v>5000000</v>
      </c>
      <c r="AB40" s="168">
        <f>IF(Tabla551[[#This Row],[Valor mensual + Combustible]]="","",Tabla551[[#This Row],[Valor mensual + Combustible]]*Tabla551[[#This Row],[Cantidad]])</f>
        <v>5000000</v>
      </c>
      <c r="AD40" s="9"/>
      <c r="AE40" s="10"/>
      <c r="AF40" s="165" t="str">
        <f>IF(Tabla554[[#This Row],[Equipo ]]="","",INDEX(V_MENSUAL,MATCH(Tabla554[[#This Row],[Equipo ]],LISTA_MAQUINARIA,0)))</f>
        <v/>
      </c>
      <c r="AG40" s="12" t="str">
        <f>IF(Tabla554[[#This Row],[Equipo ]]="","",INDEX(CONSUMO_COMBUSTIBLE_H,MATCH(Tabla554[[#This Row],[Equipo ]],LISTA_MAQUINARIA,0)))</f>
        <v/>
      </c>
      <c r="AH40" s="166" t="str">
        <f>IF(Tabla554[[#This Row],[Equipo ]]="","",INDEX(V_GALON,MATCH(Tabla554[[#This Row],[Equipo ]],LISTA_MAQUINARIA,0)))</f>
        <v/>
      </c>
      <c r="AI40" s="10"/>
      <c r="AJ40" s="165" t="str">
        <f>IF(Tabla554[[#This Row],[Equipo ]]="","",Tabla554[[#This Row],[Valor mensual]]+Tabla554[[#This Row],[Combustible Hora ]]*Tabla554[[#This Row],[Valor galon]]*Tabla554[[#This Row],[Horas mes]])</f>
        <v/>
      </c>
      <c r="AK40" s="168" t="str">
        <f>IF(Tabla554[[#This Row],[Valor mensual + Combustible]]="","",Tabla554[[#This Row],[Valor mensual + Combustible]]*Tabla554[[#This Row],[Cantidad]])</f>
        <v/>
      </c>
      <c r="AN40" s="9"/>
      <c r="AO40" s="10"/>
      <c r="AP40" s="165" t="str">
        <f>IF(Tabla557[[#This Row],[Equipo ]]="","",INDEX(V_MENSUAL,MATCH(Tabla557[[#This Row],[Equipo ]],LISTA_MAQUINARIA,0)))</f>
        <v/>
      </c>
      <c r="AQ40" s="12" t="str">
        <f>IF(Tabla557[[#This Row],[Equipo ]]="","",INDEX(CONSUMO_COMBUSTIBLE_H,MATCH(Tabla557[[#This Row],[Equipo ]],LISTA_MAQUINARIA,0)))</f>
        <v/>
      </c>
      <c r="AR40" s="166" t="str">
        <f>IF(Tabla557[[#This Row],[Equipo ]]="","",INDEX(V_GALON,MATCH(Tabla557[[#This Row],[Equipo ]],LISTA_MAQUINARIA,0)))</f>
        <v/>
      </c>
      <c r="AS40" s="10"/>
      <c r="AT40" s="165" t="str">
        <f>IF(Tabla557[[#This Row],[Equipo ]]="","",Tabla557[[#This Row],[Valor mensual]]+Tabla557[[#This Row],[Combustible Hora ]]*Tabla557[[#This Row],[Valor galon]]*Tabla557[[#This Row],[Horas mes]])</f>
        <v/>
      </c>
      <c r="AU40" s="168" t="str">
        <f>IF(Tabla557[[#This Row],[Valor mensual + Combustible]]="","",Tabla557[[#This Row],[Valor mensual + Combustible]]*Tabla557[[#This Row],[Cantidad]])</f>
        <v/>
      </c>
      <c r="AX40" s="9"/>
      <c r="AY40" s="10"/>
      <c r="AZ40" s="165" t="str">
        <f>IF(Tabla560[[#This Row],[Equipo ]]="","",INDEX(V_MENSUAL,MATCH(Tabla560[[#This Row],[Equipo ]],LISTA_MAQUINARIA,0)))</f>
        <v/>
      </c>
      <c r="BA40" s="12" t="str">
        <f>IF(Tabla560[[#This Row],[Equipo ]]="","",INDEX(CONSUMO_COMBUSTIBLE_H,MATCH(Tabla560[[#This Row],[Equipo ]],LISTA_MAQUINARIA,0)))</f>
        <v/>
      </c>
      <c r="BB40" s="166" t="str">
        <f>IF(Tabla560[[#This Row],[Equipo ]]="","",INDEX(V_GALON,MATCH(Tabla560[[#This Row],[Equipo ]],LISTA_MAQUINARIA,0)))</f>
        <v/>
      </c>
      <c r="BC40" s="10"/>
      <c r="BD40" s="165" t="str">
        <f>IF(Tabla560[[#This Row],[Equipo ]]="","",Tabla560[[#This Row],[Valor mensual]]+Tabla560[[#This Row],[Combustible Hora ]]*Tabla560[[#This Row],[Valor galon]]*Tabla560[[#This Row],[Horas mes]])</f>
        <v/>
      </c>
      <c r="BE40" s="168" t="str">
        <f>IF(Tabla560[[#This Row],[Valor mensual + Combustible]]="","",Tabla560[[#This Row],[Valor mensual + Combustible]]*Tabla560[[#This Row],[Cantidad]])</f>
        <v/>
      </c>
      <c r="BH40" s="9"/>
      <c r="BI40" s="10"/>
      <c r="BJ40" s="165" t="str">
        <f>IF(Tabla563[[#This Row],[Equipo ]]="","",INDEX(V_MENSUAL,MATCH(Tabla563[[#This Row],[Equipo ]],LISTA_MAQUINARIA,0)))</f>
        <v/>
      </c>
      <c r="BK40" s="12" t="str">
        <f>IF(Tabla563[[#This Row],[Equipo ]]="","",INDEX(CONSUMO_COMBUSTIBLE_H,MATCH(Tabla563[[#This Row],[Equipo ]],LISTA_MAQUINARIA,0)))</f>
        <v/>
      </c>
      <c r="BL40" s="166" t="str">
        <f>IF(Tabla563[[#This Row],[Equipo ]]="","",INDEX(V_GALON,MATCH(Tabla563[[#This Row],[Equipo ]],LISTA_MAQUINARIA,0)))</f>
        <v/>
      </c>
      <c r="BM40" s="10"/>
      <c r="BN40" s="165" t="str">
        <f>IF(Tabla563[[#This Row],[Equipo ]]="","",Tabla563[[#This Row],[Valor mensual]]+Tabla563[[#This Row],[Combustible Hora ]]*Tabla563[[#This Row],[Valor galon]]*Tabla563[[#This Row],[Horas mes]])</f>
        <v/>
      </c>
      <c r="BO40" s="168" t="str">
        <f>IF(Tabla563[[#This Row],[Valor mensual + Combustible]]="","",Tabla563[[#This Row],[Valor mensual + Combustible]]*Tabla563[[#This Row],[Cantidad]])</f>
        <v/>
      </c>
      <c r="BR40" s="9"/>
      <c r="BS40" s="10"/>
      <c r="BT40" s="165" t="str">
        <f>IF(Tabla566[[#This Row],[Equipo ]]="","",INDEX(V_MENSUAL,MATCH(Tabla566[[#This Row],[Equipo ]],LISTA_MAQUINARIA,0)))</f>
        <v/>
      </c>
      <c r="BU40" s="12" t="str">
        <f>IF(Tabla566[[#This Row],[Equipo ]]="","",INDEX(CONSUMO_COMBUSTIBLE_H,MATCH(Tabla566[[#This Row],[Equipo ]],LISTA_MAQUINARIA,0)))</f>
        <v/>
      </c>
      <c r="BV40" s="166" t="str">
        <f>IF(Tabla566[[#This Row],[Equipo ]]="","",INDEX(V_GALON,MATCH(Tabla566[[#This Row],[Equipo ]],LISTA_MAQUINARIA,0)))</f>
        <v/>
      </c>
      <c r="BW40" s="10"/>
      <c r="BX40" s="165" t="str">
        <f>IF(Tabla566[[#This Row],[Equipo ]]="","",Tabla566[[#This Row],[Valor mensual]]+Tabla566[[#This Row],[Combustible Hora ]]*Tabla566[[#This Row],[Valor galon]]*Tabla566[[#This Row],[Horas mes]])</f>
        <v/>
      </c>
      <c r="BY40" s="168" t="str">
        <f>IF(Tabla566[[#This Row],[Valor mensual + Combustible]]="","",Tabla566[[#This Row],[Valor mensual + Combustible]]*Tabla566[[#This Row],[Cantidad]])</f>
        <v/>
      </c>
      <c r="CB40" s="9"/>
      <c r="CC40" s="10"/>
      <c r="CD40" s="165" t="str">
        <f>IF(Tabla569[[#This Row],[Equipo ]]="","",INDEX(V_MENSUAL,MATCH(Tabla569[[#This Row],[Equipo ]],LISTA_MAQUINARIA,0)))</f>
        <v/>
      </c>
      <c r="CE40" s="12" t="str">
        <f>IF(Tabla569[[#This Row],[Equipo ]]="","",INDEX(CONSUMO_COMBUSTIBLE_H,MATCH(Tabla569[[#This Row],[Equipo ]],LISTA_MAQUINARIA,0)))</f>
        <v/>
      </c>
      <c r="CF40" s="166" t="str">
        <f>IF(Tabla569[[#This Row],[Equipo ]]="","",INDEX(V_GALON,MATCH(Tabla569[[#This Row],[Equipo ]],LISTA_MAQUINARIA,0)))</f>
        <v/>
      </c>
      <c r="CG40" s="10"/>
      <c r="CH40" s="165" t="str">
        <f>IF(Tabla569[[#This Row],[Equipo ]]="","",Tabla569[[#This Row],[Valor mensual]]+Tabla569[[#This Row],[Combustible Hora ]]*Tabla569[[#This Row],[Valor galon]]*Tabla569[[#This Row],[Horas mes]])</f>
        <v/>
      </c>
      <c r="CI40" s="168" t="str">
        <f>IF(Tabla569[[#This Row],[Valor mensual + Combustible]]="","",Tabla569[[#This Row],[Valor mensual + Combustible]]*Tabla569[[#This Row],[Cantidad]])</f>
        <v/>
      </c>
      <c r="CL40" s="9"/>
      <c r="CM40" s="10"/>
      <c r="CN40" s="165" t="str">
        <f>IF(Tabla572[[#This Row],[Equipo ]]="","",INDEX(V_MENSUAL,MATCH(Tabla572[[#This Row],[Equipo ]],LISTA_MAQUINARIA,0)))</f>
        <v/>
      </c>
      <c r="CO40" s="12" t="str">
        <f>IF(Tabla572[[#This Row],[Equipo ]]="","",INDEX(CONSUMO_COMBUSTIBLE_H,MATCH(Tabla572[[#This Row],[Equipo ]],LISTA_MAQUINARIA,0)))</f>
        <v/>
      </c>
      <c r="CP40" s="166" t="str">
        <f>IF(Tabla572[[#This Row],[Equipo ]]="","",INDEX(V_GALON,MATCH(Tabla572[[#This Row],[Equipo ]],LISTA_MAQUINARIA,0)))</f>
        <v/>
      </c>
      <c r="CQ40" s="10"/>
      <c r="CR40" s="165" t="str">
        <f>IF(Tabla572[[#This Row],[Equipo ]]="","",Tabla572[[#This Row],[Valor mensual]]+Tabla572[[#This Row],[Combustible Hora ]]*Tabla572[[#This Row],[Valor galon]]*Tabla572[[#This Row],[Horas mes]])</f>
        <v/>
      </c>
      <c r="CS40" s="168" t="str">
        <f>IF(Tabla572[[#This Row],[Valor mensual + Combustible]]="","",Tabla572[[#This Row],[Valor mensual + Combustible]]*Tabla572[[#This Row],[Cantidad]])</f>
        <v/>
      </c>
      <c r="CV40" s="9"/>
      <c r="CW40" s="10"/>
      <c r="CX40" s="165" t="str">
        <f>IF(Tabla575[[#This Row],[Equipo ]]="","",INDEX(V_MENSUAL,MATCH(Tabla575[[#This Row],[Equipo ]],LISTA_MAQUINARIA,0)))</f>
        <v/>
      </c>
      <c r="CY40" s="12" t="str">
        <f>IF(Tabla575[[#This Row],[Equipo ]]="","",INDEX(CONSUMO_COMBUSTIBLE_H,MATCH(Tabla575[[#This Row],[Equipo ]],LISTA_MAQUINARIA,0)))</f>
        <v/>
      </c>
      <c r="CZ40" s="166" t="str">
        <f>IF(Tabla575[[#This Row],[Equipo ]]="","",INDEX(V_GALON,MATCH(Tabla575[[#This Row],[Equipo ]],LISTA_MAQUINARIA,0)))</f>
        <v/>
      </c>
      <c r="DA40" s="10"/>
      <c r="DB40" s="165" t="str">
        <f>IF(Tabla575[[#This Row],[Equipo ]]="","",Tabla575[[#This Row],[Valor mensual]]+Tabla575[[#This Row],[Combustible Hora ]]*Tabla575[[#This Row],[Valor galon]]*Tabla575[[#This Row],[Horas mes]])</f>
        <v/>
      </c>
      <c r="DC40" s="168" t="str">
        <f>IF(Tabla575[[#This Row],[Valor mensual + Combustible]]="","",Tabla575[[#This Row],[Valor mensual + Combustible]]*Tabla575[[#This Row],[Cantidad]])</f>
        <v/>
      </c>
      <c r="DF40" s="9"/>
      <c r="DG40" s="10"/>
      <c r="DH40" s="165" t="str">
        <f>IF(Tabla578[[#This Row],[Equipo ]]="","",INDEX(V_MENSUAL,MATCH(Tabla578[[#This Row],[Equipo ]],LISTA_MAQUINARIA,0)))</f>
        <v/>
      </c>
      <c r="DI40" s="12" t="str">
        <f>IF(Tabla578[[#This Row],[Equipo ]]="","",INDEX(CONSUMO_COMBUSTIBLE_H,MATCH(Tabla578[[#This Row],[Equipo ]],LISTA_MAQUINARIA,0)))</f>
        <v/>
      </c>
      <c r="DJ40" s="166" t="str">
        <f>IF(Tabla578[[#This Row],[Equipo ]]="","",INDEX(V_GALON,MATCH(Tabla578[[#This Row],[Equipo ]],LISTA_MAQUINARIA,0)))</f>
        <v/>
      </c>
      <c r="DK40" s="10"/>
      <c r="DL40" s="165" t="str">
        <f>IF(Tabla578[[#This Row],[Equipo ]]="","",Tabla578[[#This Row],[Valor mensual]]+Tabla578[[#This Row],[Combustible Hora ]]*Tabla578[[#This Row],[Valor galon]]*Tabla578[[#This Row],[Horas mes]])</f>
        <v/>
      </c>
      <c r="DM40" s="168" t="str">
        <f>IF(Tabla578[[#This Row],[Valor mensual + Combustible]]="","",Tabla578[[#This Row],[Valor mensual + Combustible]]*Tabla578[[#This Row],[Cantidad]])</f>
        <v/>
      </c>
      <c r="DP40" s="9"/>
      <c r="DQ40" s="10"/>
      <c r="DR40" s="165" t="str">
        <f>IF(Tabla581[[#This Row],[Equipo ]]="","",INDEX(V_MENSUAL,MATCH(Tabla581[[#This Row],[Equipo ]],LISTA_MAQUINARIA,0)))</f>
        <v/>
      </c>
      <c r="DS40" s="12" t="str">
        <f>IF(Tabla581[[#This Row],[Equipo ]]="","",INDEX(CONSUMO_COMBUSTIBLE_H,MATCH(Tabla581[[#This Row],[Equipo ]],LISTA_MAQUINARIA,0)))</f>
        <v/>
      </c>
      <c r="DT40" s="166" t="str">
        <f>IF(Tabla581[[#This Row],[Equipo ]]="","",INDEX(V_GALON,MATCH(Tabla581[[#This Row],[Equipo ]],LISTA_MAQUINARIA,0)))</f>
        <v/>
      </c>
      <c r="DU40" s="10"/>
      <c r="DV40" s="165" t="str">
        <f>IF(Tabla581[[#This Row],[Equipo ]]="","",Tabla581[[#This Row],[Valor mensual]]+Tabla581[[#This Row],[Combustible Hora ]]*Tabla581[[#This Row],[Valor galon]]*Tabla581[[#This Row],[Horas mes]])</f>
        <v/>
      </c>
      <c r="DW40" s="168" t="str">
        <f>IF(Tabla581[[#This Row],[Valor mensual + Combustible]]="","",Tabla581[[#This Row],[Valor mensual + Combustible]]*Tabla581[[#This Row],[Cantidad]])</f>
        <v/>
      </c>
      <c r="DZ40" s="9"/>
      <c r="EA40" s="10"/>
      <c r="EB40" s="165" t="str">
        <f>IF(Tabla584[[#This Row],[Equipo ]]="","",INDEX(V_MENSUAL,MATCH(Tabla584[[#This Row],[Equipo ]],LISTA_MAQUINARIA,0)))</f>
        <v/>
      </c>
      <c r="EC40" s="12" t="str">
        <f>IF(Tabla584[[#This Row],[Equipo ]]="","",INDEX(CONSUMO_COMBUSTIBLE_H,MATCH(Tabla584[[#This Row],[Equipo ]],LISTA_MAQUINARIA,0)))</f>
        <v/>
      </c>
      <c r="ED40" s="166" t="str">
        <f>IF(Tabla584[[#This Row],[Equipo ]]="","",INDEX(V_GALON,MATCH(Tabla584[[#This Row],[Equipo ]],LISTA_MAQUINARIA,0)))</f>
        <v/>
      </c>
      <c r="EE40" s="10"/>
      <c r="EF40" s="165" t="str">
        <f>IF(Tabla584[[#This Row],[Equipo ]]="","",Tabla584[[#This Row],[Valor mensual]]+Tabla584[[#This Row],[Combustible Hora ]]*Tabla584[[#This Row],[Valor galon]]*Tabla584[[#This Row],[Horas mes]])</f>
        <v/>
      </c>
      <c r="EG40" s="168" t="str">
        <f>IF(Tabla584[[#This Row],[Valor mensual + Combustible]]="","",Tabla584[[#This Row],[Valor mensual + Combustible]]*Tabla584[[#This Row],[Cantidad]])</f>
        <v/>
      </c>
      <c r="EJ40" s="9"/>
      <c r="EK40" s="10"/>
      <c r="EL40" s="165" t="str">
        <f>IF(Tabla587[[#This Row],[Equipo ]]="","",INDEX(V_MENSUAL,MATCH(Tabla587[[#This Row],[Equipo ]],LISTA_MAQUINARIA,0)))</f>
        <v/>
      </c>
      <c r="EM40" s="12" t="str">
        <f>IF(Tabla587[[#This Row],[Equipo ]]="","",INDEX(CONSUMO_COMBUSTIBLE_H,MATCH(Tabla587[[#This Row],[Equipo ]],LISTA_MAQUINARIA,0)))</f>
        <v/>
      </c>
      <c r="EN40" s="166" t="str">
        <f>IF(Tabla587[[#This Row],[Equipo ]]="","",INDEX(V_GALON,MATCH(Tabla587[[#This Row],[Equipo ]],LISTA_MAQUINARIA,0)))</f>
        <v/>
      </c>
      <c r="EO40" s="10"/>
      <c r="EP40" s="165" t="str">
        <f>IF(Tabla587[[#This Row],[Equipo ]]="","",Tabla587[[#This Row],[Valor mensual]]+Tabla587[[#This Row],[Combustible Hora ]]*Tabla587[[#This Row],[Valor galon]]*Tabla587[[#This Row],[Horas mes]])</f>
        <v/>
      </c>
      <c r="EQ40" s="168" t="str">
        <f>IF(Tabla587[[#This Row],[Valor mensual + Combustible]]="","",Tabla587[[#This Row],[Valor mensual + Combustible]]*Tabla587[[#This Row],[Cantidad]])</f>
        <v/>
      </c>
      <c r="ET40" s="9"/>
      <c r="EU40" s="10"/>
      <c r="EV40" s="165" t="str">
        <f>IF(Tabla590[[#This Row],[Equipo ]]="","",INDEX(V_MENSUAL,MATCH(Tabla590[[#This Row],[Equipo ]],LISTA_MAQUINARIA,0)))</f>
        <v/>
      </c>
      <c r="EW40" s="12" t="str">
        <f>IF(Tabla590[[#This Row],[Equipo ]]="","",INDEX(CONSUMO_COMBUSTIBLE_H,MATCH(Tabla590[[#This Row],[Equipo ]],LISTA_MAQUINARIA,0)))</f>
        <v/>
      </c>
      <c r="EX40" s="166" t="str">
        <f>IF(Tabla590[[#This Row],[Equipo ]]="","",INDEX(V_GALON,MATCH(Tabla590[[#This Row],[Equipo ]],LISTA_MAQUINARIA,0)))</f>
        <v/>
      </c>
      <c r="EY40" s="10"/>
      <c r="EZ40" s="165" t="str">
        <f>IF(Tabla590[[#This Row],[Equipo ]]="","",Tabla590[[#This Row],[Valor mensual]]+Tabla590[[#This Row],[Combustible Hora ]]*Tabla590[[#This Row],[Valor galon]]*Tabla590[[#This Row],[Horas mes]])</f>
        <v/>
      </c>
      <c r="FA40" s="168" t="str">
        <f>IF(Tabla590[[#This Row],[Valor mensual + Combustible]]="","",Tabla590[[#This Row],[Valor mensual + Combustible]]*Tabla590[[#This Row],[Cantidad]])</f>
        <v/>
      </c>
      <c r="FD40" s="9"/>
      <c r="FE40" s="10"/>
      <c r="FF40" s="165" t="str">
        <f>IF(Tabla593[[#This Row],[Equipo ]]="","",INDEX(V_MENSUAL,MATCH(Tabla593[[#This Row],[Equipo ]],LISTA_MAQUINARIA,0)))</f>
        <v/>
      </c>
      <c r="FG40" s="12" t="str">
        <f>IF(Tabla593[[#This Row],[Equipo ]]="","",INDEX(CONSUMO_COMBUSTIBLE_H,MATCH(Tabla593[[#This Row],[Equipo ]],LISTA_MAQUINARIA,0)))</f>
        <v/>
      </c>
      <c r="FH40" s="166" t="str">
        <f>IF(Tabla593[[#This Row],[Equipo ]]="","",INDEX(V_GALON,MATCH(Tabla593[[#This Row],[Equipo ]],LISTA_MAQUINARIA,0)))</f>
        <v/>
      </c>
      <c r="FI40" s="10"/>
      <c r="FJ40" s="165" t="str">
        <f>IF(Tabla593[[#This Row],[Equipo ]]="","",Tabla593[[#This Row],[Valor mensual]]+Tabla593[[#This Row],[Combustible Hora ]]*Tabla593[[#This Row],[Valor galon]]*Tabla593[[#This Row],[Horas mes]])</f>
        <v/>
      </c>
      <c r="FK40" s="168" t="str">
        <f>IF(Tabla593[[#This Row],[Valor mensual + Combustible]]="","",Tabla593[[#This Row],[Valor mensual + Combustible]]*Tabla593[[#This Row],[Cantidad]])</f>
        <v/>
      </c>
      <c r="FN40" s="9"/>
      <c r="FO40" s="10"/>
      <c r="FP40" s="165" t="str">
        <f>IF(Tabla596[[#This Row],[Equipo ]]="","",INDEX(V_MENSUAL,MATCH(Tabla596[[#This Row],[Equipo ]],LISTA_MAQUINARIA,0)))</f>
        <v/>
      </c>
      <c r="FQ40" s="12" t="str">
        <f>IF(Tabla596[[#This Row],[Equipo ]]="","",INDEX(CONSUMO_COMBUSTIBLE_H,MATCH(Tabla596[[#This Row],[Equipo ]],LISTA_MAQUINARIA,0)))</f>
        <v/>
      </c>
      <c r="FR40" s="166" t="str">
        <f>IF(Tabla596[[#This Row],[Equipo ]]="","",INDEX(V_GALON,MATCH(Tabla596[[#This Row],[Equipo ]],LISTA_MAQUINARIA,0)))</f>
        <v/>
      </c>
      <c r="FS40" s="10"/>
      <c r="FT40" s="165" t="str">
        <f>IF(Tabla596[[#This Row],[Equipo ]]="","",Tabla596[[#This Row],[Valor mensual]]+Tabla596[[#This Row],[Combustible Hora ]]*Tabla596[[#This Row],[Valor galon]]*Tabla596[[#This Row],[Horas mes]])</f>
        <v/>
      </c>
      <c r="FU40" s="168" t="str">
        <f>IF(Tabla596[[#This Row],[Valor mensual + Combustible]]="","",Tabla596[[#This Row],[Valor mensual + Combustible]]*Tabla596[[#This Row],[Cantidad]])</f>
        <v/>
      </c>
    </row>
    <row r="41" spans="1:177" x14ac:dyDescent="0.3">
      <c r="A41" s="9" t="s">
        <v>494</v>
      </c>
      <c r="B41" s="10">
        <v>1</v>
      </c>
      <c r="C41" s="165">
        <f>IF(Tabla5[[#This Row],[Equipo ]]="","",INDEX(V_MENSUAL,MATCH(Tabla5[[#This Row],[Equipo ]],LISTA_MAQUINARIA,0)))</f>
        <v>3000000</v>
      </c>
      <c r="D41" s="12">
        <f>IF(Tabla5[[#This Row],[Equipo ]]="","",INDEX(CONSUMO_COMBUSTIBLE_H,MATCH(Tabla5[[#This Row],[Equipo ]],LISTA_MAQUINARIA,0)))</f>
        <v>0</v>
      </c>
      <c r="E41" s="166">
        <f>IF(Tabla5[[#This Row],[Equipo ]]="","",INDEX(V_GALON,MATCH(Tabla5[[#This Row],[Equipo ]],LISTA_MAQUINARIA,0)))</f>
        <v>10800</v>
      </c>
      <c r="F41" s="10"/>
      <c r="G41" s="165">
        <f>IF(Tabla5[[#This Row],[Equipo ]]="","",Tabla5[[#This Row],[Valor mensual]]+Tabla5[[#This Row],[Combustible Hora ]]*Tabla5[[#This Row],[Valor galon]]*Tabla5[[#This Row],[Horas mes]])</f>
        <v>3000000</v>
      </c>
      <c r="H41" s="168">
        <f>IF(Tabla5[[#This Row],[Valor mensual + Combustible]]="","",Tabla5[[#This Row],[Valor mensual + Combustible]]*Tabla5[[#This Row],[Cantidad]])</f>
        <v>3000000</v>
      </c>
      <c r="K41" s="9" t="s">
        <v>494</v>
      </c>
      <c r="L41" s="10">
        <v>1</v>
      </c>
      <c r="M41" s="165" cm="1">
        <f t="array" ref="M41">IF(Tabla548[[#This Row],[Equipo ]]="","",INDEX(V_MENSUAL,MATCH(Tabla548[[#This Row],[Equipo ]],LISTA_MAQUINARIA,0)))</f>
        <v>3000000</v>
      </c>
      <c r="N41" s="12">
        <f>IF(Tabla548[[#This Row],[Equipo ]]="","",INDEX(CONSUMO_COMBUSTIBLE_H,MATCH(Tabla548[[#This Row],[Equipo ]],LISTA_MAQUINARIA,0)))</f>
        <v>0</v>
      </c>
      <c r="O41" s="166">
        <f>IF(Tabla548[[#This Row],[Equipo ]]="","",INDEX(V_GALON,MATCH(Tabla548[[#This Row],[Equipo ]],LISTA_MAQUINARIA,0)))</f>
        <v>10800</v>
      </c>
      <c r="P41" s="10"/>
      <c r="Q41" s="165">
        <f>IF(Tabla548[[#This Row],[Equipo ]]="","",Tabla548[[#This Row],[Valor mensual]]+Tabla548[[#This Row],[Combustible Hora ]]*Tabla548[[#This Row],[Valor galon]]*Tabla548[[#This Row],[Horas mes]])</f>
        <v>3000000</v>
      </c>
      <c r="R41" s="168">
        <f>IF(Tabla548[[#This Row],[Valor mensual + Combustible]]="","",Tabla548[[#This Row],[Valor mensual + Combustible]]*Tabla548[[#This Row],[Cantidad]])</f>
        <v>3000000</v>
      </c>
      <c r="U41" s="9" t="s">
        <v>494</v>
      </c>
      <c r="V41" s="10">
        <v>1</v>
      </c>
      <c r="W41" s="165">
        <f>IF(Tabla551[[#This Row],[Equipo ]]="","",INDEX(V_MENSUAL,MATCH(Tabla551[[#This Row],[Equipo ]],LISTA_MAQUINARIA,0)))</f>
        <v>3000000</v>
      </c>
      <c r="X41" s="12">
        <f>IF(Tabla551[[#This Row],[Equipo ]]="","",INDEX(CONSUMO_COMBUSTIBLE_H,MATCH(Tabla551[[#This Row],[Equipo ]],LISTA_MAQUINARIA,0)))</f>
        <v>0</v>
      </c>
      <c r="Y41" s="166">
        <f>IF(Tabla551[[#This Row],[Equipo ]]="","",INDEX(V_GALON,MATCH(Tabla551[[#This Row],[Equipo ]],LISTA_MAQUINARIA,0)))</f>
        <v>10800</v>
      </c>
      <c r="Z41" s="10"/>
      <c r="AA41" s="165">
        <f>IF(Tabla551[[#This Row],[Equipo ]]="","",Tabla551[[#This Row],[Valor mensual]]+Tabla551[[#This Row],[Combustible Hora ]]*Tabla551[[#This Row],[Valor galon]]*Tabla551[[#This Row],[Horas mes]])</f>
        <v>3000000</v>
      </c>
      <c r="AB41" s="168">
        <f>IF(Tabla551[[#This Row],[Valor mensual + Combustible]]="","",Tabla551[[#This Row],[Valor mensual + Combustible]]*Tabla551[[#This Row],[Cantidad]])</f>
        <v>3000000</v>
      </c>
      <c r="AD41" s="9"/>
      <c r="AE41" s="10"/>
      <c r="AF41" s="165" t="str">
        <f>IF(Tabla554[[#This Row],[Equipo ]]="","",INDEX(V_MENSUAL,MATCH(Tabla554[[#This Row],[Equipo ]],LISTA_MAQUINARIA,0)))</f>
        <v/>
      </c>
      <c r="AG41" s="12" t="str">
        <f>IF(Tabla554[[#This Row],[Equipo ]]="","",INDEX(CONSUMO_COMBUSTIBLE_H,MATCH(Tabla554[[#This Row],[Equipo ]],LISTA_MAQUINARIA,0)))</f>
        <v/>
      </c>
      <c r="AH41" s="166" t="str">
        <f>IF(Tabla554[[#This Row],[Equipo ]]="","",INDEX(V_GALON,MATCH(Tabla554[[#This Row],[Equipo ]],LISTA_MAQUINARIA,0)))</f>
        <v/>
      </c>
      <c r="AI41" s="10"/>
      <c r="AJ41" s="165" t="str">
        <f>IF(Tabla554[[#This Row],[Equipo ]]="","",Tabla554[[#This Row],[Valor mensual]]+Tabla554[[#This Row],[Combustible Hora ]]*Tabla554[[#This Row],[Valor galon]]*Tabla554[[#This Row],[Horas mes]])</f>
        <v/>
      </c>
      <c r="AK41" s="168" t="str">
        <f>IF(Tabla554[[#This Row],[Valor mensual + Combustible]]="","",Tabla554[[#This Row],[Valor mensual + Combustible]]*Tabla554[[#This Row],[Cantidad]])</f>
        <v/>
      </c>
      <c r="AN41" s="9"/>
      <c r="AO41" s="10"/>
      <c r="AP41" s="165" t="str">
        <f>IF(Tabla557[[#This Row],[Equipo ]]="","",INDEX(V_MENSUAL,MATCH(Tabla557[[#This Row],[Equipo ]],LISTA_MAQUINARIA,0)))</f>
        <v/>
      </c>
      <c r="AQ41" s="12" t="str">
        <f>IF(Tabla557[[#This Row],[Equipo ]]="","",INDEX(CONSUMO_COMBUSTIBLE_H,MATCH(Tabla557[[#This Row],[Equipo ]],LISTA_MAQUINARIA,0)))</f>
        <v/>
      </c>
      <c r="AR41" s="166" t="str">
        <f>IF(Tabla557[[#This Row],[Equipo ]]="","",INDEX(V_GALON,MATCH(Tabla557[[#This Row],[Equipo ]],LISTA_MAQUINARIA,0)))</f>
        <v/>
      </c>
      <c r="AS41" s="10"/>
      <c r="AT41" s="165" t="str">
        <f>IF(Tabla557[[#This Row],[Equipo ]]="","",Tabla557[[#This Row],[Valor mensual]]+Tabla557[[#This Row],[Combustible Hora ]]*Tabla557[[#This Row],[Valor galon]]*Tabla557[[#This Row],[Horas mes]])</f>
        <v/>
      </c>
      <c r="AU41" s="168" t="str">
        <f>IF(Tabla557[[#This Row],[Valor mensual + Combustible]]="","",Tabla557[[#This Row],[Valor mensual + Combustible]]*Tabla557[[#This Row],[Cantidad]])</f>
        <v/>
      </c>
      <c r="AX41" s="9"/>
      <c r="AY41" s="10"/>
      <c r="AZ41" s="165" t="str">
        <f>IF(Tabla560[[#This Row],[Equipo ]]="","",INDEX(V_MENSUAL,MATCH(Tabla560[[#This Row],[Equipo ]],LISTA_MAQUINARIA,0)))</f>
        <v/>
      </c>
      <c r="BA41" s="12" t="str">
        <f>IF(Tabla560[[#This Row],[Equipo ]]="","",INDEX(CONSUMO_COMBUSTIBLE_H,MATCH(Tabla560[[#This Row],[Equipo ]],LISTA_MAQUINARIA,0)))</f>
        <v/>
      </c>
      <c r="BB41" s="166" t="str">
        <f>IF(Tabla560[[#This Row],[Equipo ]]="","",INDEX(V_GALON,MATCH(Tabla560[[#This Row],[Equipo ]],LISTA_MAQUINARIA,0)))</f>
        <v/>
      </c>
      <c r="BC41" s="10"/>
      <c r="BD41" s="165" t="str">
        <f>IF(Tabla560[[#This Row],[Equipo ]]="","",Tabla560[[#This Row],[Valor mensual]]+Tabla560[[#This Row],[Combustible Hora ]]*Tabla560[[#This Row],[Valor galon]]*Tabla560[[#This Row],[Horas mes]])</f>
        <v/>
      </c>
      <c r="BE41" s="168" t="str">
        <f>IF(Tabla560[[#This Row],[Valor mensual + Combustible]]="","",Tabla560[[#This Row],[Valor mensual + Combustible]]*Tabla560[[#This Row],[Cantidad]])</f>
        <v/>
      </c>
      <c r="BH41" s="9"/>
      <c r="BI41" s="10"/>
      <c r="BJ41" s="165" t="str">
        <f>IF(Tabla563[[#This Row],[Equipo ]]="","",INDEX(V_MENSUAL,MATCH(Tabla563[[#This Row],[Equipo ]],LISTA_MAQUINARIA,0)))</f>
        <v/>
      </c>
      <c r="BK41" s="12" t="str">
        <f>IF(Tabla563[[#This Row],[Equipo ]]="","",INDEX(CONSUMO_COMBUSTIBLE_H,MATCH(Tabla563[[#This Row],[Equipo ]],LISTA_MAQUINARIA,0)))</f>
        <v/>
      </c>
      <c r="BL41" s="166" t="str">
        <f>IF(Tabla563[[#This Row],[Equipo ]]="","",INDEX(V_GALON,MATCH(Tabla563[[#This Row],[Equipo ]],LISTA_MAQUINARIA,0)))</f>
        <v/>
      </c>
      <c r="BM41" s="10"/>
      <c r="BN41" s="165" t="str">
        <f>IF(Tabla563[[#This Row],[Equipo ]]="","",Tabla563[[#This Row],[Valor mensual]]+Tabla563[[#This Row],[Combustible Hora ]]*Tabla563[[#This Row],[Valor galon]]*Tabla563[[#This Row],[Horas mes]])</f>
        <v/>
      </c>
      <c r="BO41" s="168" t="str">
        <f>IF(Tabla563[[#This Row],[Valor mensual + Combustible]]="","",Tabla563[[#This Row],[Valor mensual + Combustible]]*Tabla563[[#This Row],[Cantidad]])</f>
        <v/>
      </c>
      <c r="BR41" s="9"/>
      <c r="BS41" s="10"/>
      <c r="BT41" s="165" t="str">
        <f>IF(Tabla566[[#This Row],[Equipo ]]="","",INDEX(V_MENSUAL,MATCH(Tabla566[[#This Row],[Equipo ]],LISTA_MAQUINARIA,0)))</f>
        <v/>
      </c>
      <c r="BU41" s="12" t="str">
        <f>IF(Tabla566[[#This Row],[Equipo ]]="","",INDEX(CONSUMO_COMBUSTIBLE_H,MATCH(Tabla566[[#This Row],[Equipo ]],LISTA_MAQUINARIA,0)))</f>
        <v/>
      </c>
      <c r="BV41" s="166" t="str">
        <f>IF(Tabla566[[#This Row],[Equipo ]]="","",INDEX(V_GALON,MATCH(Tabla566[[#This Row],[Equipo ]],LISTA_MAQUINARIA,0)))</f>
        <v/>
      </c>
      <c r="BW41" s="10"/>
      <c r="BX41" s="165" t="str">
        <f>IF(Tabla566[[#This Row],[Equipo ]]="","",Tabla566[[#This Row],[Valor mensual]]+Tabla566[[#This Row],[Combustible Hora ]]*Tabla566[[#This Row],[Valor galon]]*Tabla566[[#This Row],[Horas mes]])</f>
        <v/>
      </c>
      <c r="BY41" s="168" t="str">
        <f>IF(Tabla566[[#This Row],[Valor mensual + Combustible]]="","",Tabla566[[#This Row],[Valor mensual + Combustible]]*Tabla566[[#This Row],[Cantidad]])</f>
        <v/>
      </c>
      <c r="CB41" s="9"/>
      <c r="CC41" s="10"/>
      <c r="CD41" s="165" t="str">
        <f>IF(Tabla569[[#This Row],[Equipo ]]="","",INDEX(V_MENSUAL,MATCH(Tabla569[[#This Row],[Equipo ]],LISTA_MAQUINARIA,0)))</f>
        <v/>
      </c>
      <c r="CE41" s="12" t="str">
        <f>IF(Tabla569[[#This Row],[Equipo ]]="","",INDEX(CONSUMO_COMBUSTIBLE_H,MATCH(Tabla569[[#This Row],[Equipo ]],LISTA_MAQUINARIA,0)))</f>
        <v/>
      </c>
      <c r="CF41" s="166" t="str">
        <f>IF(Tabla569[[#This Row],[Equipo ]]="","",INDEX(V_GALON,MATCH(Tabla569[[#This Row],[Equipo ]],LISTA_MAQUINARIA,0)))</f>
        <v/>
      </c>
      <c r="CG41" s="10"/>
      <c r="CH41" s="165" t="str">
        <f>IF(Tabla569[[#This Row],[Equipo ]]="","",Tabla569[[#This Row],[Valor mensual]]+Tabla569[[#This Row],[Combustible Hora ]]*Tabla569[[#This Row],[Valor galon]]*Tabla569[[#This Row],[Horas mes]])</f>
        <v/>
      </c>
      <c r="CI41" s="168" t="str">
        <f>IF(Tabla569[[#This Row],[Valor mensual + Combustible]]="","",Tabla569[[#This Row],[Valor mensual + Combustible]]*Tabla569[[#This Row],[Cantidad]])</f>
        <v/>
      </c>
      <c r="CL41" s="9"/>
      <c r="CM41" s="10"/>
      <c r="CN41" s="165" t="str">
        <f>IF(Tabla572[[#This Row],[Equipo ]]="","",INDEX(V_MENSUAL,MATCH(Tabla572[[#This Row],[Equipo ]],LISTA_MAQUINARIA,0)))</f>
        <v/>
      </c>
      <c r="CO41" s="12" t="str">
        <f>IF(Tabla572[[#This Row],[Equipo ]]="","",INDEX(CONSUMO_COMBUSTIBLE_H,MATCH(Tabla572[[#This Row],[Equipo ]],LISTA_MAQUINARIA,0)))</f>
        <v/>
      </c>
      <c r="CP41" s="166" t="str">
        <f>IF(Tabla572[[#This Row],[Equipo ]]="","",INDEX(V_GALON,MATCH(Tabla572[[#This Row],[Equipo ]],LISTA_MAQUINARIA,0)))</f>
        <v/>
      </c>
      <c r="CQ41" s="10"/>
      <c r="CR41" s="165" t="str">
        <f>IF(Tabla572[[#This Row],[Equipo ]]="","",Tabla572[[#This Row],[Valor mensual]]+Tabla572[[#This Row],[Combustible Hora ]]*Tabla572[[#This Row],[Valor galon]]*Tabla572[[#This Row],[Horas mes]])</f>
        <v/>
      </c>
      <c r="CS41" s="168" t="str">
        <f>IF(Tabla572[[#This Row],[Valor mensual + Combustible]]="","",Tabla572[[#This Row],[Valor mensual + Combustible]]*Tabla572[[#This Row],[Cantidad]])</f>
        <v/>
      </c>
      <c r="CV41" s="9"/>
      <c r="CW41" s="10"/>
      <c r="CX41" s="165" t="str">
        <f>IF(Tabla575[[#This Row],[Equipo ]]="","",INDEX(V_MENSUAL,MATCH(Tabla575[[#This Row],[Equipo ]],LISTA_MAQUINARIA,0)))</f>
        <v/>
      </c>
      <c r="CY41" s="12" t="str">
        <f>IF(Tabla575[[#This Row],[Equipo ]]="","",INDEX(CONSUMO_COMBUSTIBLE_H,MATCH(Tabla575[[#This Row],[Equipo ]],LISTA_MAQUINARIA,0)))</f>
        <v/>
      </c>
      <c r="CZ41" s="166" t="str">
        <f>IF(Tabla575[[#This Row],[Equipo ]]="","",INDEX(V_GALON,MATCH(Tabla575[[#This Row],[Equipo ]],LISTA_MAQUINARIA,0)))</f>
        <v/>
      </c>
      <c r="DA41" s="10"/>
      <c r="DB41" s="165" t="str">
        <f>IF(Tabla575[[#This Row],[Equipo ]]="","",Tabla575[[#This Row],[Valor mensual]]+Tabla575[[#This Row],[Combustible Hora ]]*Tabla575[[#This Row],[Valor galon]]*Tabla575[[#This Row],[Horas mes]])</f>
        <v/>
      </c>
      <c r="DC41" s="168" t="str">
        <f>IF(Tabla575[[#This Row],[Valor mensual + Combustible]]="","",Tabla575[[#This Row],[Valor mensual + Combustible]]*Tabla575[[#This Row],[Cantidad]])</f>
        <v/>
      </c>
      <c r="DF41" s="9"/>
      <c r="DG41" s="10"/>
      <c r="DH41" s="165" t="str">
        <f>IF(Tabla578[[#This Row],[Equipo ]]="","",INDEX(V_MENSUAL,MATCH(Tabla578[[#This Row],[Equipo ]],LISTA_MAQUINARIA,0)))</f>
        <v/>
      </c>
      <c r="DI41" s="12" t="str">
        <f>IF(Tabla578[[#This Row],[Equipo ]]="","",INDEX(CONSUMO_COMBUSTIBLE_H,MATCH(Tabla578[[#This Row],[Equipo ]],LISTA_MAQUINARIA,0)))</f>
        <v/>
      </c>
      <c r="DJ41" s="166" t="str">
        <f>IF(Tabla578[[#This Row],[Equipo ]]="","",INDEX(V_GALON,MATCH(Tabla578[[#This Row],[Equipo ]],LISTA_MAQUINARIA,0)))</f>
        <v/>
      </c>
      <c r="DK41" s="10"/>
      <c r="DL41" s="165" t="str">
        <f>IF(Tabla578[[#This Row],[Equipo ]]="","",Tabla578[[#This Row],[Valor mensual]]+Tabla578[[#This Row],[Combustible Hora ]]*Tabla578[[#This Row],[Valor galon]]*Tabla578[[#This Row],[Horas mes]])</f>
        <v/>
      </c>
      <c r="DM41" s="168" t="str">
        <f>IF(Tabla578[[#This Row],[Valor mensual + Combustible]]="","",Tabla578[[#This Row],[Valor mensual + Combustible]]*Tabla578[[#This Row],[Cantidad]])</f>
        <v/>
      </c>
      <c r="DP41" s="9"/>
      <c r="DQ41" s="10"/>
      <c r="DR41" s="165" t="str">
        <f>IF(Tabla581[[#This Row],[Equipo ]]="","",INDEX(V_MENSUAL,MATCH(Tabla581[[#This Row],[Equipo ]],LISTA_MAQUINARIA,0)))</f>
        <v/>
      </c>
      <c r="DS41" s="12" t="str">
        <f>IF(Tabla581[[#This Row],[Equipo ]]="","",INDEX(CONSUMO_COMBUSTIBLE_H,MATCH(Tabla581[[#This Row],[Equipo ]],LISTA_MAQUINARIA,0)))</f>
        <v/>
      </c>
      <c r="DT41" s="166" t="str">
        <f>IF(Tabla581[[#This Row],[Equipo ]]="","",INDEX(V_GALON,MATCH(Tabla581[[#This Row],[Equipo ]],LISTA_MAQUINARIA,0)))</f>
        <v/>
      </c>
      <c r="DU41" s="10"/>
      <c r="DV41" s="165" t="str">
        <f>IF(Tabla581[[#This Row],[Equipo ]]="","",Tabla581[[#This Row],[Valor mensual]]+Tabla581[[#This Row],[Combustible Hora ]]*Tabla581[[#This Row],[Valor galon]]*Tabla581[[#This Row],[Horas mes]])</f>
        <v/>
      </c>
      <c r="DW41" s="168" t="str">
        <f>IF(Tabla581[[#This Row],[Valor mensual + Combustible]]="","",Tabla581[[#This Row],[Valor mensual + Combustible]]*Tabla581[[#This Row],[Cantidad]])</f>
        <v/>
      </c>
      <c r="DZ41" s="9"/>
      <c r="EA41" s="10"/>
      <c r="EB41" s="165" t="str">
        <f>IF(Tabla584[[#This Row],[Equipo ]]="","",INDEX(V_MENSUAL,MATCH(Tabla584[[#This Row],[Equipo ]],LISTA_MAQUINARIA,0)))</f>
        <v/>
      </c>
      <c r="EC41" s="12" t="str">
        <f>IF(Tabla584[[#This Row],[Equipo ]]="","",INDEX(CONSUMO_COMBUSTIBLE_H,MATCH(Tabla584[[#This Row],[Equipo ]],LISTA_MAQUINARIA,0)))</f>
        <v/>
      </c>
      <c r="ED41" s="166" t="str">
        <f>IF(Tabla584[[#This Row],[Equipo ]]="","",INDEX(V_GALON,MATCH(Tabla584[[#This Row],[Equipo ]],LISTA_MAQUINARIA,0)))</f>
        <v/>
      </c>
      <c r="EE41" s="10"/>
      <c r="EF41" s="165" t="str">
        <f>IF(Tabla584[[#This Row],[Equipo ]]="","",Tabla584[[#This Row],[Valor mensual]]+Tabla584[[#This Row],[Combustible Hora ]]*Tabla584[[#This Row],[Valor galon]]*Tabla584[[#This Row],[Horas mes]])</f>
        <v/>
      </c>
      <c r="EG41" s="168" t="str">
        <f>IF(Tabla584[[#This Row],[Valor mensual + Combustible]]="","",Tabla584[[#This Row],[Valor mensual + Combustible]]*Tabla584[[#This Row],[Cantidad]])</f>
        <v/>
      </c>
      <c r="EJ41" s="9"/>
      <c r="EK41" s="10"/>
      <c r="EL41" s="165" t="str">
        <f>IF(Tabla587[[#This Row],[Equipo ]]="","",INDEX(V_MENSUAL,MATCH(Tabla587[[#This Row],[Equipo ]],LISTA_MAQUINARIA,0)))</f>
        <v/>
      </c>
      <c r="EM41" s="12" t="str">
        <f>IF(Tabla587[[#This Row],[Equipo ]]="","",INDEX(CONSUMO_COMBUSTIBLE_H,MATCH(Tabla587[[#This Row],[Equipo ]],LISTA_MAQUINARIA,0)))</f>
        <v/>
      </c>
      <c r="EN41" s="166" t="str">
        <f>IF(Tabla587[[#This Row],[Equipo ]]="","",INDEX(V_GALON,MATCH(Tabla587[[#This Row],[Equipo ]],LISTA_MAQUINARIA,0)))</f>
        <v/>
      </c>
      <c r="EO41" s="10"/>
      <c r="EP41" s="165" t="str">
        <f>IF(Tabla587[[#This Row],[Equipo ]]="","",Tabla587[[#This Row],[Valor mensual]]+Tabla587[[#This Row],[Combustible Hora ]]*Tabla587[[#This Row],[Valor galon]]*Tabla587[[#This Row],[Horas mes]])</f>
        <v/>
      </c>
      <c r="EQ41" s="168" t="str">
        <f>IF(Tabla587[[#This Row],[Valor mensual + Combustible]]="","",Tabla587[[#This Row],[Valor mensual + Combustible]]*Tabla587[[#This Row],[Cantidad]])</f>
        <v/>
      </c>
      <c r="ET41" s="9"/>
      <c r="EU41" s="10"/>
      <c r="EV41" s="165" t="str">
        <f>IF(Tabla590[[#This Row],[Equipo ]]="","",INDEX(V_MENSUAL,MATCH(Tabla590[[#This Row],[Equipo ]],LISTA_MAQUINARIA,0)))</f>
        <v/>
      </c>
      <c r="EW41" s="12" t="str">
        <f>IF(Tabla590[[#This Row],[Equipo ]]="","",INDEX(CONSUMO_COMBUSTIBLE_H,MATCH(Tabla590[[#This Row],[Equipo ]],LISTA_MAQUINARIA,0)))</f>
        <v/>
      </c>
      <c r="EX41" s="166" t="str">
        <f>IF(Tabla590[[#This Row],[Equipo ]]="","",INDEX(V_GALON,MATCH(Tabla590[[#This Row],[Equipo ]],LISTA_MAQUINARIA,0)))</f>
        <v/>
      </c>
      <c r="EY41" s="10"/>
      <c r="EZ41" s="165" t="str">
        <f>IF(Tabla590[[#This Row],[Equipo ]]="","",Tabla590[[#This Row],[Valor mensual]]+Tabla590[[#This Row],[Combustible Hora ]]*Tabla590[[#This Row],[Valor galon]]*Tabla590[[#This Row],[Horas mes]])</f>
        <v/>
      </c>
      <c r="FA41" s="168" t="str">
        <f>IF(Tabla590[[#This Row],[Valor mensual + Combustible]]="","",Tabla590[[#This Row],[Valor mensual + Combustible]]*Tabla590[[#This Row],[Cantidad]])</f>
        <v/>
      </c>
      <c r="FD41" s="9"/>
      <c r="FE41" s="10"/>
      <c r="FF41" s="165" t="str">
        <f>IF(Tabla593[[#This Row],[Equipo ]]="","",INDEX(V_MENSUAL,MATCH(Tabla593[[#This Row],[Equipo ]],LISTA_MAQUINARIA,0)))</f>
        <v/>
      </c>
      <c r="FG41" s="12" t="str">
        <f>IF(Tabla593[[#This Row],[Equipo ]]="","",INDEX(CONSUMO_COMBUSTIBLE_H,MATCH(Tabla593[[#This Row],[Equipo ]],LISTA_MAQUINARIA,0)))</f>
        <v/>
      </c>
      <c r="FH41" s="166" t="str">
        <f>IF(Tabla593[[#This Row],[Equipo ]]="","",INDEX(V_GALON,MATCH(Tabla593[[#This Row],[Equipo ]],LISTA_MAQUINARIA,0)))</f>
        <v/>
      </c>
      <c r="FI41" s="10"/>
      <c r="FJ41" s="165" t="str">
        <f>IF(Tabla593[[#This Row],[Equipo ]]="","",Tabla593[[#This Row],[Valor mensual]]+Tabla593[[#This Row],[Combustible Hora ]]*Tabla593[[#This Row],[Valor galon]]*Tabla593[[#This Row],[Horas mes]])</f>
        <v/>
      </c>
      <c r="FK41" s="168" t="str">
        <f>IF(Tabla593[[#This Row],[Valor mensual + Combustible]]="","",Tabla593[[#This Row],[Valor mensual + Combustible]]*Tabla593[[#This Row],[Cantidad]])</f>
        <v/>
      </c>
      <c r="FN41" s="9"/>
      <c r="FO41" s="10"/>
      <c r="FP41" s="165" t="str">
        <f>IF(Tabla596[[#This Row],[Equipo ]]="","",INDEX(V_MENSUAL,MATCH(Tabla596[[#This Row],[Equipo ]],LISTA_MAQUINARIA,0)))</f>
        <v/>
      </c>
      <c r="FQ41" s="12" t="str">
        <f>IF(Tabla596[[#This Row],[Equipo ]]="","",INDEX(CONSUMO_COMBUSTIBLE_H,MATCH(Tabla596[[#This Row],[Equipo ]],LISTA_MAQUINARIA,0)))</f>
        <v/>
      </c>
      <c r="FR41" s="166" t="str">
        <f>IF(Tabla596[[#This Row],[Equipo ]]="","",INDEX(V_GALON,MATCH(Tabla596[[#This Row],[Equipo ]],LISTA_MAQUINARIA,0)))</f>
        <v/>
      </c>
      <c r="FS41" s="10"/>
      <c r="FT41" s="165" t="str">
        <f>IF(Tabla596[[#This Row],[Equipo ]]="","",Tabla596[[#This Row],[Valor mensual]]+Tabla596[[#This Row],[Combustible Hora ]]*Tabla596[[#This Row],[Valor galon]]*Tabla596[[#This Row],[Horas mes]])</f>
        <v/>
      </c>
      <c r="FU41" s="168" t="str">
        <f>IF(Tabla596[[#This Row],[Valor mensual + Combustible]]="","",Tabla596[[#This Row],[Valor mensual + Combustible]]*Tabla596[[#This Row],[Cantidad]])</f>
        <v/>
      </c>
    </row>
    <row r="42" spans="1:177" x14ac:dyDescent="0.3">
      <c r="A42" s="9" t="s">
        <v>594</v>
      </c>
      <c r="B42" s="10">
        <v>1</v>
      </c>
      <c r="C42" s="165">
        <f>IF(Tabla5[[#This Row],[Equipo ]]="","",INDEX(V_MENSUAL,MATCH(Tabla5[[#This Row],[Equipo ]],LISTA_MAQUINARIA,0)))</f>
        <v>3000000</v>
      </c>
      <c r="D42" s="12">
        <f>IF(Tabla5[[#This Row],[Equipo ]]="","",INDEX(CONSUMO_COMBUSTIBLE_H,MATCH(Tabla5[[#This Row],[Equipo ]],LISTA_MAQUINARIA,0)))</f>
        <v>0</v>
      </c>
      <c r="E42" s="166">
        <f>IF(Tabla5[[#This Row],[Equipo ]]="","",INDEX(V_GALON,MATCH(Tabla5[[#This Row],[Equipo ]],LISTA_MAQUINARIA,0)))</f>
        <v>10800</v>
      </c>
      <c r="F42" s="10"/>
      <c r="G42" s="165">
        <f>IF(Tabla5[[#This Row],[Equipo ]]="","",Tabla5[[#This Row],[Valor mensual]]+Tabla5[[#This Row],[Combustible Hora ]]*Tabla5[[#This Row],[Valor galon]]*Tabla5[[#This Row],[Horas mes]])</f>
        <v>3000000</v>
      </c>
      <c r="H42" s="168">
        <f>IF(Tabla5[[#This Row],[Valor mensual + Combustible]]="","",Tabla5[[#This Row],[Valor mensual + Combustible]]*Tabla5[[#This Row],[Cantidad]])</f>
        <v>3000000</v>
      </c>
      <c r="K42" s="9" t="s">
        <v>594</v>
      </c>
      <c r="L42" s="10">
        <v>1</v>
      </c>
      <c r="M42" s="165" cm="1">
        <f t="array" ref="M42">IF(Tabla548[[#This Row],[Equipo ]]="","",INDEX(V_MENSUAL,MATCH(Tabla548[[#This Row],[Equipo ]],LISTA_MAQUINARIA,0)))</f>
        <v>3000000</v>
      </c>
      <c r="N42" s="12">
        <f>IF(Tabla548[[#This Row],[Equipo ]]="","",INDEX(CONSUMO_COMBUSTIBLE_H,MATCH(Tabla548[[#This Row],[Equipo ]],LISTA_MAQUINARIA,0)))</f>
        <v>0</v>
      </c>
      <c r="O42" s="166">
        <f>IF(Tabla548[[#This Row],[Equipo ]]="","",INDEX(V_GALON,MATCH(Tabla548[[#This Row],[Equipo ]],LISTA_MAQUINARIA,0)))</f>
        <v>10800</v>
      </c>
      <c r="P42" s="10"/>
      <c r="Q42" s="165">
        <f>IF(Tabla548[[#This Row],[Equipo ]]="","",Tabla548[[#This Row],[Valor mensual]]+Tabla548[[#This Row],[Combustible Hora ]]*Tabla548[[#This Row],[Valor galon]]*Tabla548[[#This Row],[Horas mes]])</f>
        <v>3000000</v>
      </c>
      <c r="R42" s="168">
        <f>IF(Tabla548[[#This Row],[Valor mensual + Combustible]]="","",Tabla548[[#This Row],[Valor mensual + Combustible]]*Tabla548[[#This Row],[Cantidad]])</f>
        <v>3000000</v>
      </c>
      <c r="U42" s="9" t="s">
        <v>594</v>
      </c>
      <c r="V42" s="10">
        <v>1</v>
      </c>
      <c r="W42" s="165">
        <f>IF(Tabla551[[#This Row],[Equipo ]]="","",INDEX(V_MENSUAL,MATCH(Tabla551[[#This Row],[Equipo ]],LISTA_MAQUINARIA,0)))</f>
        <v>3000000</v>
      </c>
      <c r="X42" s="12">
        <f>IF(Tabla551[[#This Row],[Equipo ]]="","",INDEX(CONSUMO_COMBUSTIBLE_H,MATCH(Tabla551[[#This Row],[Equipo ]],LISTA_MAQUINARIA,0)))</f>
        <v>0</v>
      </c>
      <c r="Y42" s="166">
        <f>IF(Tabla551[[#This Row],[Equipo ]]="","",INDEX(V_GALON,MATCH(Tabla551[[#This Row],[Equipo ]],LISTA_MAQUINARIA,0)))</f>
        <v>10800</v>
      </c>
      <c r="Z42" s="10"/>
      <c r="AA42" s="165">
        <f>IF(Tabla551[[#This Row],[Equipo ]]="","",Tabla551[[#This Row],[Valor mensual]]+Tabla551[[#This Row],[Combustible Hora ]]*Tabla551[[#This Row],[Valor galon]]*Tabla551[[#This Row],[Horas mes]])</f>
        <v>3000000</v>
      </c>
      <c r="AB42" s="168">
        <f>IF(Tabla551[[#This Row],[Valor mensual + Combustible]]="","",Tabla551[[#This Row],[Valor mensual + Combustible]]*Tabla551[[#This Row],[Cantidad]])</f>
        <v>3000000</v>
      </c>
      <c r="AD42" s="9"/>
      <c r="AE42" s="10"/>
      <c r="AF42" s="165" t="str">
        <f>IF(Tabla554[[#This Row],[Equipo ]]="","",INDEX(V_MENSUAL,MATCH(Tabla554[[#This Row],[Equipo ]],LISTA_MAQUINARIA,0)))</f>
        <v/>
      </c>
      <c r="AG42" s="12" t="str">
        <f>IF(Tabla554[[#This Row],[Equipo ]]="","",INDEX(CONSUMO_COMBUSTIBLE_H,MATCH(Tabla554[[#This Row],[Equipo ]],LISTA_MAQUINARIA,0)))</f>
        <v/>
      </c>
      <c r="AH42" s="166" t="str">
        <f>IF(Tabla554[[#This Row],[Equipo ]]="","",INDEX(V_GALON,MATCH(Tabla554[[#This Row],[Equipo ]],LISTA_MAQUINARIA,0)))</f>
        <v/>
      </c>
      <c r="AI42" s="10"/>
      <c r="AJ42" s="165" t="str">
        <f>IF(Tabla554[[#This Row],[Equipo ]]="","",Tabla554[[#This Row],[Valor mensual]]+Tabla554[[#This Row],[Combustible Hora ]]*Tabla554[[#This Row],[Valor galon]]*Tabla554[[#This Row],[Horas mes]])</f>
        <v/>
      </c>
      <c r="AK42" s="168" t="str">
        <f>IF(Tabla554[[#This Row],[Valor mensual + Combustible]]="","",Tabla554[[#This Row],[Valor mensual + Combustible]]*Tabla554[[#This Row],[Cantidad]])</f>
        <v/>
      </c>
      <c r="AN42" s="9"/>
      <c r="AO42" s="10"/>
      <c r="AP42" s="165" t="str">
        <f>IF(Tabla557[[#This Row],[Equipo ]]="","",INDEX(V_MENSUAL,MATCH(Tabla557[[#This Row],[Equipo ]],LISTA_MAQUINARIA,0)))</f>
        <v/>
      </c>
      <c r="AQ42" s="12" t="str">
        <f>IF(Tabla557[[#This Row],[Equipo ]]="","",INDEX(CONSUMO_COMBUSTIBLE_H,MATCH(Tabla557[[#This Row],[Equipo ]],LISTA_MAQUINARIA,0)))</f>
        <v/>
      </c>
      <c r="AR42" s="166" t="str">
        <f>IF(Tabla557[[#This Row],[Equipo ]]="","",INDEX(V_GALON,MATCH(Tabla557[[#This Row],[Equipo ]],LISTA_MAQUINARIA,0)))</f>
        <v/>
      </c>
      <c r="AS42" s="10"/>
      <c r="AT42" s="165" t="str">
        <f>IF(Tabla557[[#This Row],[Equipo ]]="","",Tabla557[[#This Row],[Valor mensual]]+Tabla557[[#This Row],[Combustible Hora ]]*Tabla557[[#This Row],[Valor galon]]*Tabla557[[#This Row],[Horas mes]])</f>
        <v/>
      </c>
      <c r="AU42" s="168" t="str">
        <f>IF(Tabla557[[#This Row],[Valor mensual + Combustible]]="","",Tabla557[[#This Row],[Valor mensual + Combustible]]*Tabla557[[#This Row],[Cantidad]])</f>
        <v/>
      </c>
      <c r="AX42" s="9"/>
      <c r="AY42" s="10"/>
      <c r="AZ42" s="165" t="str">
        <f>IF(Tabla560[[#This Row],[Equipo ]]="","",INDEX(V_MENSUAL,MATCH(Tabla560[[#This Row],[Equipo ]],LISTA_MAQUINARIA,0)))</f>
        <v/>
      </c>
      <c r="BA42" s="12" t="str">
        <f>IF(Tabla560[[#This Row],[Equipo ]]="","",INDEX(CONSUMO_COMBUSTIBLE_H,MATCH(Tabla560[[#This Row],[Equipo ]],LISTA_MAQUINARIA,0)))</f>
        <v/>
      </c>
      <c r="BB42" s="166" t="str">
        <f>IF(Tabla560[[#This Row],[Equipo ]]="","",INDEX(V_GALON,MATCH(Tabla560[[#This Row],[Equipo ]],LISTA_MAQUINARIA,0)))</f>
        <v/>
      </c>
      <c r="BC42" s="10"/>
      <c r="BD42" s="165" t="str">
        <f>IF(Tabla560[[#This Row],[Equipo ]]="","",Tabla560[[#This Row],[Valor mensual]]+Tabla560[[#This Row],[Combustible Hora ]]*Tabla560[[#This Row],[Valor galon]]*Tabla560[[#This Row],[Horas mes]])</f>
        <v/>
      </c>
      <c r="BE42" s="168" t="str">
        <f>IF(Tabla560[[#This Row],[Valor mensual + Combustible]]="","",Tabla560[[#This Row],[Valor mensual + Combustible]]*Tabla560[[#This Row],[Cantidad]])</f>
        <v/>
      </c>
      <c r="BH42" s="9"/>
      <c r="BI42" s="10"/>
      <c r="BJ42" s="165" t="str">
        <f>IF(Tabla563[[#This Row],[Equipo ]]="","",INDEX(V_MENSUAL,MATCH(Tabla563[[#This Row],[Equipo ]],LISTA_MAQUINARIA,0)))</f>
        <v/>
      </c>
      <c r="BK42" s="12" t="str">
        <f>IF(Tabla563[[#This Row],[Equipo ]]="","",INDEX(CONSUMO_COMBUSTIBLE_H,MATCH(Tabla563[[#This Row],[Equipo ]],LISTA_MAQUINARIA,0)))</f>
        <v/>
      </c>
      <c r="BL42" s="166" t="str">
        <f>IF(Tabla563[[#This Row],[Equipo ]]="","",INDEX(V_GALON,MATCH(Tabla563[[#This Row],[Equipo ]],LISTA_MAQUINARIA,0)))</f>
        <v/>
      </c>
      <c r="BM42" s="10"/>
      <c r="BN42" s="165" t="str">
        <f>IF(Tabla563[[#This Row],[Equipo ]]="","",Tabla563[[#This Row],[Valor mensual]]+Tabla563[[#This Row],[Combustible Hora ]]*Tabla563[[#This Row],[Valor galon]]*Tabla563[[#This Row],[Horas mes]])</f>
        <v/>
      </c>
      <c r="BO42" s="168" t="str">
        <f>IF(Tabla563[[#This Row],[Valor mensual + Combustible]]="","",Tabla563[[#This Row],[Valor mensual + Combustible]]*Tabla563[[#This Row],[Cantidad]])</f>
        <v/>
      </c>
      <c r="BR42" s="9"/>
      <c r="BS42" s="10"/>
      <c r="BT42" s="165" t="str">
        <f>IF(Tabla566[[#This Row],[Equipo ]]="","",INDEX(V_MENSUAL,MATCH(Tabla566[[#This Row],[Equipo ]],LISTA_MAQUINARIA,0)))</f>
        <v/>
      </c>
      <c r="BU42" s="12" t="str">
        <f>IF(Tabla566[[#This Row],[Equipo ]]="","",INDEX(CONSUMO_COMBUSTIBLE_H,MATCH(Tabla566[[#This Row],[Equipo ]],LISTA_MAQUINARIA,0)))</f>
        <v/>
      </c>
      <c r="BV42" s="166" t="str">
        <f>IF(Tabla566[[#This Row],[Equipo ]]="","",INDEX(V_GALON,MATCH(Tabla566[[#This Row],[Equipo ]],LISTA_MAQUINARIA,0)))</f>
        <v/>
      </c>
      <c r="BW42" s="10"/>
      <c r="BX42" s="165" t="str">
        <f>IF(Tabla566[[#This Row],[Equipo ]]="","",Tabla566[[#This Row],[Valor mensual]]+Tabla566[[#This Row],[Combustible Hora ]]*Tabla566[[#This Row],[Valor galon]]*Tabla566[[#This Row],[Horas mes]])</f>
        <v/>
      </c>
      <c r="BY42" s="168" t="str">
        <f>IF(Tabla566[[#This Row],[Valor mensual + Combustible]]="","",Tabla566[[#This Row],[Valor mensual + Combustible]]*Tabla566[[#This Row],[Cantidad]])</f>
        <v/>
      </c>
      <c r="CB42" s="9"/>
      <c r="CC42" s="10"/>
      <c r="CD42" s="165" t="str">
        <f>IF(Tabla569[[#This Row],[Equipo ]]="","",INDEX(V_MENSUAL,MATCH(Tabla569[[#This Row],[Equipo ]],LISTA_MAQUINARIA,0)))</f>
        <v/>
      </c>
      <c r="CE42" s="12" t="str">
        <f>IF(Tabla569[[#This Row],[Equipo ]]="","",INDEX(CONSUMO_COMBUSTIBLE_H,MATCH(Tabla569[[#This Row],[Equipo ]],LISTA_MAQUINARIA,0)))</f>
        <v/>
      </c>
      <c r="CF42" s="166" t="str">
        <f>IF(Tabla569[[#This Row],[Equipo ]]="","",INDEX(V_GALON,MATCH(Tabla569[[#This Row],[Equipo ]],LISTA_MAQUINARIA,0)))</f>
        <v/>
      </c>
      <c r="CG42" s="10"/>
      <c r="CH42" s="165" t="str">
        <f>IF(Tabla569[[#This Row],[Equipo ]]="","",Tabla569[[#This Row],[Valor mensual]]+Tabla569[[#This Row],[Combustible Hora ]]*Tabla569[[#This Row],[Valor galon]]*Tabla569[[#This Row],[Horas mes]])</f>
        <v/>
      </c>
      <c r="CI42" s="168" t="str">
        <f>IF(Tabla569[[#This Row],[Valor mensual + Combustible]]="","",Tabla569[[#This Row],[Valor mensual + Combustible]]*Tabla569[[#This Row],[Cantidad]])</f>
        <v/>
      </c>
      <c r="CL42" s="9"/>
      <c r="CM42" s="10"/>
      <c r="CN42" s="165" t="str">
        <f>IF(Tabla572[[#This Row],[Equipo ]]="","",INDEX(V_MENSUAL,MATCH(Tabla572[[#This Row],[Equipo ]],LISTA_MAQUINARIA,0)))</f>
        <v/>
      </c>
      <c r="CO42" s="12" t="str">
        <f>IF(Tabla572[[#This Row],[Equipo ]]="","",INDEX(CONSUMO_COMBUSTIBLE_H,MATCH(Tabla572[[#This Row],[Equipo ]],LISTA_MAQUINARIA,0)))</f>
        <v/>
      </c>
      <c r="CP42" s="166" t="str">
        <f>IF(Tabla572[[#This Row],[Equipo ]]="","",INDEX(V_GALON,MATCH(Tabla572[[#This Row],[Equipo ]],LISTA_MAQUINARIA,0)))</f>
        <v/>
      </c>
      <c r="CQ42" s="10"/>
      <c r="CR42" s="165" t="str">
        <f>IF(Tabla572[[#This Row],[Equipo ]]="","",Tabla572[[#This Row],[Valor mensual]]+Tabla572[[#This Row],[Combustible Hora ]]*Tabla572[[#This Row],[Valor galon]]*Tabla572[[#This Row],[Horas mes]])</f>
        <v/>
      </c>
      <c r="CS42" s="168" t="str">
        <f>IF(Tabla572[[#This Row],[Valor mensual + Combustible]]="","",Tabla572[[#This Row],[Valor mensual + Combustible]]*Tabla572[[#This Row],[Cantidad]])</f>
        <v/>
      </c>
      <c r="CV42" s="9"/>
      <c r="CW42" s="10"/>
      <c r="CX42" s="165" t="str">
        <f>IF(Tabla575[[#This Row],[Equipo ]]="","",INDEX(V_MENSUAL,MATCH(Tabla575[[#This Row],[Equipo ]],LISTA_MAQUINARIA,0)))</f>
        <v/>
      </c>
      <c r="CY42" s="12" t="str">
        <f>IF(Tabla575[[#This Row],[Equipo ]]="","",INDEX(CONSUMO_COMBUSTIBLE_H,MATCH(Tabla575[[#This Row],[Equipo ]],LISTA_MAQUINARIA,0)))</f>
        <v/>
      </c>
      <c r="CZ42" s="166" t="str">
        <f>IF(Tabla575[[#This Row],[Equipo ]]="","",INDEX(V_GALON,MATCH(Tabla575[[#This Row],[Equipo ]],LISTA_MAQUINARIA,0)))</f>
        <v/>
      </c>
      <c r="DA42" s="10"/>
      <c r="DB42" s="165" t="str">
        <f>IF(Tabla575[[#This Row],[Equipo ]]="","",Tabla575[[#This Row],[Valor mensual]]+Tabla575[[#This Row],[Combustible Hora ]]*Tabla575[[#This Row],[Valor galon]]*Tabla575[[#This Row],[Horas mes]])</f>
        <v/>
      </c>
      <c r="DC42" s="168" t="str">
        <f>IF(Tabla575[[#This Row],[Valor mensual + Combustible]]="","",Tabla575[[#This Row],[Valor mensual + Combustible]]*Tabla575[[#This Row],[Cantidad]])</f>
        <v/>
      </c>
      <c r="DF42" s="9"/>
      <c r="DG42" s="10"/>
      <c r="DH42" s="165" t="str">
        <f>IF(Tabla578[[#This Row],[Equipo ]]="","",INDEX(V_MENSUAL,MATCH(Tabla578[[#This Row],[Equipo ]],LISTA_MAQUINARIA,0)))</f>
        <v/>
      </c>
      <c r="DI42" s="12" t="str">
        <f>IF(Tabla578[[#This Row],[Equipo ]]="","",INDEX(CONSUMO_COMBUSTIBLE_H,MATCH(Tabla578[[#This Row],[Equipo ]],LISTA_MAQUINARIA,0)))</f>
        <v/>
      </c>
      <c r="DJ42" s="166" t="str">
        <f>IF(Tabla578[[#This Row],[Equipo ]]="","",INDEX(V_GALON,MATCH(Tabla578[[#This Row],[Equipo ]],LISTA_MAQUINARIA,0)))</f>
        <v/>
      </c>
      <c r="DK42" s="10"/>
      <c r="DL42" s="165" t="str">
        <f>IF(Tabla578[[#This Row],[Equipo ]]="","",Tabla578[[#This Row],[Valor mensual]]+Tabla578[[#This Row],[Combustible Hora ]]*Tabla578[[#This Row],[Valor galon]]*Tabla578[[#This Row],[Horas mes]])</f>
        <v/>
      </c>
      <c r="DM42" s="168" t="str">
        <f>IF(Tabla578[[#This Row],[Valor mensual + Combustible]]="","",Tabla578[[#This Row],[Valor mensual + Combustible]]*Tabla578[[#This Row],[Cantidad]])</f>
        <v/>
      </c>
      <c r="DP42" s="9"/>
      <c r="DQ42" s="10"/>
      <c r="DR42" s="165" t="str">
        <f>IF(Tabla581[[#This Row],[Equipo ]]="","",INDEX(V_MENSUAL,MATCH(Tabla581[[#This Row],[Equipo ]],LISTA_MAQUINARIA,0)))</f>
        <v/>
      </c>
      <c r="DS42" s="12" t="str">
        <f>IF(Tabla581[[#This Row],[Equipo ]]="","",INDEX(CONSUMO_COMBUSTIBLE_H,MATCH(Tabla581[[#This Row],[Equipo ]],LISTA_MAQUINARIA,0)))</f>
        <v/>
      </c>
      <c r="DT42" s="166" t="str">
        <f>IF(Tabla581[[#This Row],[Equipo ]]="","",INDEX(V_GALON,MATCH(Tabla581[[#This Row],[Equipo ]],LISTA_MAQUINARIA,0)))</f>
        <v/>
      </c>
      <c r="DU42" s="10"/>
      <c r="DV42" s="165" t="str">
        <f>IF(Tabla581[[#This Row],[Equipo ]]="","",Tabla581[[#This Row],[Valor mensual]]+Tabla581[[#This Row],[Combustible Hora ]]*Tabla581[[#This Row],[Valor galon]]*Tabla581[[#This Row],[Horas mes]])</f>
        <v/>
      </c>
      <c r="DW42" s="168" t="str">
        <f>IF(Tabla581[[#This Row],[Valor mensual + Combustible]]="","",Tabla581[[#This Row],[Valor mensual + Combustible]]*Tabla581[[#This Row],[Cantidad]])</f>
        <v/>
      </c>
      <c r="DZ42" s="9"/>
      <c r="EA42" s="10"/>
      <c r="EB42" s="165" t="str">
        <f>IF(Tabla584[[#This Row],[Equipo ]]="","",INDEX(V_MENSUAL,MATCH(Tabla584[[#This Row],[Equipo ]],LISTA_MAQUINARIA,0)))</f>
        <v/>
      </c>
      <c r="EC42" s="12" t="str">
        <f>IF(Tabla584[[#This Row],[Equipo ]]="","",INDEX(CONSUMO_COMBUSTIBLE_H,MATCH(Tabla584[[#This Row],[Equipo ]],LISTA_MAQUINARIA,0)))</f>
        <v/>
      </c>
      <c r="ED42" s="166" t="str">
        <f>IF(Tabla584[[#This Row],[Equipo ]]="","",INDEX(V_GALON,MATCH(Tabla584[[#This Row],[Equipo ]],LISTA_MAQUINARIA,0)))</f>
        <v/>
      </c>
      <c r="EE42" s="10"/>
      <c r="EF42" s="165" t="str">
        <f>IF(Tabla584[[#This Row],[Equipo ]]="","",Tabla584[[#This Row],[Valor mensual]]+Tabla584[[#This Row],[Combustible Hora ]]*Tabla584[[#This Row],[Valor galon]]*Tabla584[[#This Row],[Horas mes]])</f>
        <v/>
      </c>
      <c r="EG42" s="168" t="str">
        <f>IF(Tabla584[[#This Row],[Valor mensual + Combustible]]="","",Tabla584[[#This Row],[Valor mensual + Combustible]]*Tabla584[[#This Row],[Cantidad]])</f>
        <v/>
      </c>
      <c r="EJ42" s="9"/>
      <c r="EK42" s="10"/>
      <c r="EL42" s="165" t="str">
        <f>IF(Tabla587[[#This Row],[Equipo ]]="","",INDEX(V_MENSUAL,MATCH(Tabla587[[#This Row],[Equipo ]],LISTA_MAQUINARIA,0)))</f>
        <v/>
      </c>
      <c r="EM42" s="12" t="str">
        <f>IF(Tabla587[[#This Row],[Equipo ]]="","",INDEX(CONSUMO_COMBUSTIBLE_H,MATCH(Tabla587[[#This Row],[Equipo ]],LISTA_MAQUINARIA,0)))</f>
        <v/>
      </c>
      <c r="EN42" s="166" t="str">
        <f>IF(Tabla587[[#This Row],[Equipo ]]="","",INDEX(V_GALON,MATCH(Tabla587[[#This Row],[Equipo ]],LISTA_MAQUINARIA,0)))</f>
        <v/>
      </c>
      <c r="EO42" s="10"/>
      <c r="EP42" s="165" t="str">
        <f>IF(Tabla587[[#This Row],[Equipo ]]="","",Tabla587[[#This Row],[Valor mensual]]+Tabla587[[#This Row],[Combustible Hora ]]*Tabla587[[#This Row],[Valor galon]]*Tabla587[[#This Row],[Horas mes]])</f>
        <v/>
      </c>
      <c r="EQ42" s="168" t="str">
        <f>IF(Tabla587[[#This Row],[Valor mensual + Combustible]]="","",Tabla587[[#This Row],[Valor mensual + Combustible]]*Tabla587[[#This Row],[Cantidad]])</f>
        <v/>
      </c>
      <c r="ET42" s="9"/>
      <c r="EU42" s="10"/>
      <c r="EV42" s="165" t="str">
        <f>IF(Tabla590[[#This Row],[Equipo ]]="","",INDEX(V_MENSUAL,MATCH(Tabla590[[#This Row],[Equipo ]],LISTA_MAQUINARIA,0)))</f>
        <v/>
      </c>
      <c r="EW42" s="12" t="str">
        <f>IF(Tabla590[[#This Row],[Equipo ]]="","",INDEX(CONSUMO_COMBUSTIBLE_H,MATCH(Tabla590[[#This Row],[Equipo ]],LISTA_MAQUINARIA,0)))</f>
        <v/>
      </c>
      <c r="EX42" s="166" t="str">
        <f>IF(Tabla590[[#This Row],[Equipo ]]="","",INDEX(V_GALON,MATCH(Tabla590[[#This Row],[Equipo ]],LISTA_MAQUINARIA,0)))</f>
        <v/>
      </c>
      <c r="EY42" s="10"/>
      <c r="EZ42" s="165" t="str">
        <f>IF(Tabla590[[#This Row],[Equipo ]]="","",Tabla590[[#This Row],[Valor mensual]]+Tabla590[[#This Row],[Combustible Hora ]]*Tabla590[[#This Row],[Valor galon]]*Tabla590[[#This Row],[Horas mes]])</f>
        <v/>
      </c>
      <c r="FA42" s="168" t="str">
        <f>IF(Tabla590[[#This Row],[Valor mensual + Combustible]]="","",Tabla590[[#This Row],[Valor mensual + Combustible]]*Tabla590[[#This Row],[Cantidad]])</f>
        <v/>
      </c>
      <c r="FD42" s="9"/>
      <c r="FE42" s="10"/>
      <c r="FF42" s="165" t="str">
        <f>IF(Tabla593[[#This Row],[Equipo ]]="","",INDEX(V_MENSUAL,MATCH(Tabla593[[#This Row],[Equipo ]],LISTA_MAQUINARIA,0)))</f>
        <v/>
      </c>
      <c r="FG42" s="12" t="str">
        <f>IF(Tabla593[[#This Row],[Equipo ]]="","",INDEX(CONSUMO_COMBUSTIBLE_H,MATCH(Tabla593[[#This Row],[Equipo ]],LISTA_MAQUINARIA,0)))</f>
        <v/>
      </c>
      <c r="FH42" s="166" t="str">
        <f>IF(Tabla593[[#This Row],[Equipo ]]="","",INDEX(V_GALON,MATCH(Tabla593[[#This Row],[Equipo ]],LISTA_MAQUINARIA,0)))</f>
        <v/>
      </c>
      <c r="FI42" s="10"/>
      <c r="FJ42" s="165" t="str">
        <f>IF(Tabla593[[#This Row],[Equipo ]]="","",Tabla593[[#This Row],[Valor mensual]]+Tabla593[[#This Row],[Combustible Hora ]]*Tabla593[[#This Row],[Valor galon]]*Tabla593[[#This Row],[Horas mes]])</f>
        <v/>
      </c>
      <c r="FK42" s="168" t="str">
        <f>IF(Tabla593[[#This Row],[Valor mensual + Combustible]]="","",Tabla593[[#This Row],[Valor mensual + Combustible]]*Tabla593[[#This Row],[Cantidad]])</f>
        <v/>
      </c>
      <c r="FN42" s="9"/>
      <c r="FO42" s="10"/>
      <c r="FP42" s="165" t="str">
        <f>IF(Tabla596[[#This Row],[Equipo ]]="","",INDEX(V_MENSUAL,MATCH(Tabla596[[#This Row],[Equipo ]],LISTA_MAQUINARIA,0)))</f>
        <v/>
      </c>
      <c r="FQ42" s="12" t="str">
        <f>IF(Tabla596[[#This Row],[Equipo ]]="","",INDEX(CONSUMO_COMBUSTIBLE_H,MATCH(Tabla596[[#This Row],[Equipo ]],LISTA_MAQUINARIA,0)))</f>
        <v/>
      </c>
      <c r="FR42" s="166" t="str">
        <f>IF(Tabla596[[#This Row],[Equipo ]]="","",INDEX(V_GALON,MATCH(Tabla596[[#This Row],[Equipo ]],LISTA_MAQUINARIA,0)))</f>
        <v/>
      </c>
      <c r="FS42" s="10"/>
      <c r="FT42" s="165" t="str">
        <f>IF(Tabla596[[#This Row],[Equipo ]]="","",Tabla596[[#This Row],[Valor mensual]]+Tabla596[[#This Row],[Combustible Hora ]]*Tabla596[[#This Row],[Valor galon]]*Tabla596[[#This Row],[Horas mes]])</f>
        <v/>
      </c>
      <c r="FU42" s="168" t="str">
        <f>IF(Tabla596[[#This Row],[Valor mensual + Combustible]]="","",Tabla596[[#This Row],[Valor mensual + Combustible]]*Tabla596[[#This Row],[Cantidad]])</f>
        <v/>
      </c>
    </row>
    <row r="43" spans="1:177" x14ac:dyDescent="0.3">
      <c r="A43" s="9" t="s">
        <v>496</v>
      </c>
      <c r="B43" s="10">
        <v>1</v>
      </c>
      <c r="C43" s="165">
        <f>IF(Tabla5[[#This Row],[Equipo ]]="","",INDEX(V_MENSUAL,MATCH(Tabla5[[#This Row],[Equipo ]],LISTA_MAQUINARIA,0)))</f>
        <v>4000000</v>
      </c>
      <c r="D43" s="12">
        <f>IF(Tabla5[[#This Row],[Equipo ]]="","",INDEX(CONSUMO_COMBUSTIBLE_H,MATCH(Tabla5[[#This Row],[Equipo ]],LISTA_MAQUINARIA,0)))</f>
        <v>0</v>
      </c>
      <c r="E43" s="166">
        <f>IF(Tabla5[[#This Row],[Equipo ]]="","",INDEX(V_GALON,MATCH(Tabla5[[#This Row],[Equipo ]],LISTA_MAQUINARIA,0)))</f>
        <v>10800</v>
      </c>
      <c r="F43" s="10"/>
      <c r="G43" s="165">
        <f>IF(Tabla5[[#This Row],[Equipo ]]="","",Tabla5[[#This Row],[Valor mensual]]+Tabla5[[#This Row],[Combustible Hora ]]*Tabla5[[#This Row],[Valor galon]]*Tabla5[[#This Row],[Horas mes]])</f>
        <v>4000000</v>
      </c>
      <c r="H43" s="168">
        <f>IF(Tabla5[[#This Row],[Valor mensual + Combustible]]="","",Tabla5[[#This Row],[Valor mensual + Combustible]]*Tabla5[[#This Row],[Cantidad]])</f>
        <v>4000000</v>
      </c>
      <c r="K43" s="9" t="s">
        <v>496</v>
      </c>
      <c r="L43" s="10">
        <v>1</v>
      </c>
      <c r="M43" s="165" cm="1">
        <f t="array" ref="M43">IF(Tabla548[[#This Row],[Equipo ]]="","",INDEX(V_MENSUAL,MATCH(Tabla548[[#This Row],[Equipo ]],LISTA_MAQUINARIA,0)))</f>
        <v>4000000</v>
      </c>
      <c r="N43" s="12">
        <f>IF(Tabla548[[#This Row],[Equipo ]]="","",INDEX(CONSUMO_COMBUSTIBLE_H,MATCH(Tabla548[[#This Row],[Equipo ]],LISTA_MAQUINARIA,0)))</f>
        <v>0</v>
      </c>
      <c r="O43" s="166">
        <f>IF(Tabla548[[#This Row],[Equipo ]]="","",INDEX(V_GALON,MATCH(Tabla548[[#This Row],[Equipo ]],LISTA_MAQUINARIA,0)))</f>
        <v>10800</v>
      </c>
      <c r="P43" s="10"/>
      <c r="Q43" s="165">
        <f>IF(Tabla548[[#This Row],[Equipo ]]="","",Tabla548[[#This Row],[Valor mensual]]+Tabla548[[#This Row],[Combustible Hora ]]*Tabla548[[#This Row],[Valor galon]]*Tabla548[[#This Row],[Horas mes]])</f>
        <v>4000000</v>
      </c>
      <c r="R43" s="168">
        <f>IF(Tabla548[[#This Row],[Valor mensual + Combustible]]="","",Tabla548[[#This Row],[Valor mensual + Combustible]]*Tabla548[[#This Row],[Cantidad]])</f>
        <v>4000000</v>
      </c>
      <c r="U43" s="9" t="s">
        <v>496</v>
      </c>
      <c r="V43" s="10">
        <v>1</v>
      </c>
      <c r="W43" s="165">
        <f>IF(Tabla551[[#This Row],[Equipo ]]="","",INDEX(V_MENSUAL,MATCH(Tabla551[[#This Row],[Equipo ]],LISTA_MAQUINARIA,0)))</f>
        <v>4000000</v>
      </c>
      <c r="X43" s="12">
        <f>IF(Tabla551[[#This Row],[Equipo ]]="","",INDEX(CONSUMO_COMBUSTIBLE_H,MATCH(Tabla551[[#This Row],[Equipo ]],LISTA_MAQUINARIA,0)))</f>
        <v>0</v>
      </c>
      <c r="Y43" s="166">
        <f>IF(Tabla551[[#This Row],[Equipo ]]="","",INDEX(V_GALON,MATCH(Tabla551[[#This Row],[Equipo ]],LISTA_MAQUINARIA,0)))</f>
        <v>10800</v>
      </c>
      <c r="Z43" s="10"/>
      <c r="AA43" s="165">
        <f>IF(Tabla551[[#This Row],[Equipo ]]="","",Tabla551[[#This Row],[Valor mensual]]+Tabla551[[#This Row],[Combustible Hora ]]*Tabla551[[#This Row],[Valor galon]]*Tabla551[[#This Row],[Horas mes]])</f>
        <v>4000000</v>
      </c>
      <c r="AB43" s="168">
        <f>IF(Tabla551[[#This Row],[Valor mensual + Combustible]]="","",Tabla551[[#This Row],[Valor mensual + Combustible]]*Tabla551[[#This Row],[Cantidad]])</f>
        <v>4000000</v>
      </c>
      <c r="AD43" s="9"/>
      <c r="AE43" s="10"/>
      <c r="AF43" s="165" t="str">
        <f>IF(Tabla554[[#This Row],[Equipo ]]="","",INDEX(V_MENSUAL,MATCH(Tabla554[[#This Row],[Equipo ]],LISTA_MAQUINARIA,0)))</f>
        <v/>
      </c>
      <c r="AG43" s="12" t="str">
        <f>IF(Tabla554[[#This Row],[Equipo ]]="","",INDEX(CONSUMO_COMBUSTIBLE_H,MATCH(Tabla554[[#This Row],[Equipo ]],LISTA_MAQUINARIA,0)))</f>
        <v/>
      </c>
      <c r="AH43" s="166" t="str">
        <f>IF(Tabla554[[#This Row],[Equipo ]]="","",INDEX(V_GALON,MATCH(Tabla554[[#This Row],[Equipo ]],LISTA_MAQUINARIA,0)))</f>
        <v/>
      </c>
      <c r="AI43" s="10"/>
      <c r="AJ43" s="165" t="str">
        <f>IF(Tabla554[[#This Row],[Equipo ]]="","",Tabla554[[#This Row],[Valor mensual]]+Tabla554[[#This Row],[Combustible Hora ]]*Tabla554[[#This Row],[Valor galon]]*Tabla554[[#This Row],[Horas mes]])</f>
        <v/>
      </c>
      <c r="AK43" s="168" t="str">
        <f>IF(Tabla554[[#This Row],[Valor mensual + Combustible]]="","",Tabla554[[#This Row],[Valor mensual + Combustible]]*Tabla554[[#This Row],[Cantidad]])</f>
        <v/>
      </c>
      <c r="AN43" s="9"/>
      <c r="AO43" s="10"/>
      <c r="AP43" s="165" t="str">
        <f>IF(Tabla557[[#This Row],[Equipo ]]="","",INDEX(V_MENSUAL,MATCH(Tabla557[[#This Row],[Equipo ]],LISTA_MAQUINARIA,0)))</f>
        <v/>
      </c>
      <c r="AQ43" s="12" t="str">
        <f>IF(Tabla557[[#This Row],[Equipo ]]="","",INDEX(CONSUMO_COMBUSTIBLE_H,MATCH(Tabla557[[#This Row],[Equipo ]],LISTA_MAQUINARIA,0)))</f>
        <v/>
      </c>
      <c r="AR43" s="166" t="str">
        <f>IF(Tabla557[[#This Row],[Equipo ]]="","",INDEX(V_GALON,MATCH(Tabla557[[#This Row],[Equipo ]],LISTA_MAQUINARIA,0)))</f>
        <v/>
      </c>
      <c r="AS43" s="10"/>
      <c r="AT43" s="165" t="str">
        <f>IF(Tabla557[[#This Row],[Equipo ]]="","",Tabla557[[#This Row],[Valor mensual]]+Tabla557[[#This Row],[Combustible Hora ]]*Tabla557[[#This Row],[Valor galon]]*Tabla557[[#This Row],[Horas mes]])</f>
        <v/>
      </c>
      <c r="AU43" s="168" t="str">
        <f>IF(Tabla557[[#This Row],[Valor mensual + Combustible]]="","",Tabla557[[#This Row],[Valor mensual + Combustible]]*Tabla557[[#This Row],[Cantidad]])</f>
        <v/>
      </c>
      <c r="AX43" s="9"/>
      <c r="AY43" s="10"/>
      <c r="AZ43" s="165" t="str">
        <f>IF(Tabla560[[#This Row],[Equipo ]]="","",INDEX(V_MENSUAL,MATCH(Tabla560[[#This Row],[Equipo ]],LISTA_MAQUINARIA,0)))</f>
        <v/>
      </c>
      <c r="BA43" s="12" t="str">
        <f>IF(Tabla560[[#This Row],[Equipo ]]="","",INDEX(CONSUMO_COMBUSTIBLE_H,MATCH(Tabla560[[#This Row],[Equipo ]],LISTA_MAQUINARIA,0)))</f>
        <v/>
      </c>
      <c r="BB43" s="166" t="str">
        <f>IF(Tabla560[[#This Row],[Equipo ]]="","",INDEX(V_GALON,MATCH(Tabla560[[#This Row],[Equipo ]],LISTA_MAQUINARIA,0)))</f>
        <v/>
      </c>
      <c r="BC43" s="10"/>
      <c r="BD43" s="165" t="str">
        <f>IF(Tabla560[[#This Row],[Equipo ]]="","",Tabla560[[#This Row],[Valor mensual]]+Tabla560[[#This Row],[Combustible Hora ]]*Tabla560[[#This Row],[Valor galon]]*Tabla560[[#This Row],[Horas mes]])</f>
        <v/>
      </c>
      <c r="BE43" s="168" t="str">
        <f>IF(Tabla560[[#This Row],[Valor mensual + Combustible]]="","",Tabla560[[#This Row],[Valor mensual + Combustible]]*Tabla560[[#This Row],[Cantidad]])</f>
        <v/>
      </c>
      <c r="BH43" s="9"/>
      <c r="BI43" s="10"/>
      <c r="BJ43" s="165" t="str">
        <f>IF(Tabla563[[#This Row],[Equipo ]]="","",INDEX(V_MENSUAL,MATCH(Tabla563[[#This Row],[Equipo ]],LISTA_MAQUINARIA,0)))</f>
        <v/>
      </c>
      <c r="BK43" s="12" t="str">
        <f>IF(Tabla563[[#This Row],[Equipo ]]="","",INDEX(CONSUMO_COMBUSTIBLE_H,MATCH(Tabla563[[#This Row],[Equipo ]],LISTA_MAQUINARIA,0)))</f>
        <v/>
      </c>
      <c r="BL43" s="166" t="str">
        <f>IF(Tabla563[[#This Row],[Equipo ]]="","",INDEX(V_GALON,MATCH(Tabla563[[#This Row],[Equipo ]],LISTA_MAQUINARIA,0)))</f>
        <v/>
      </c>
      <c r="BM43" s="10"/>
      <c r="BN43" s="165" t="str">
        <f>IF(Tabla563[[#This Row],[Equipo ]]="","",Tabla563[[#This Row],[Valor mensual]]+Tabla563[[#This Row],[Combustible Hora ]]*Tabla563[[#This Row],[Valor galon]]*Tabla563[[#This Row],[Horas mes]])</f>
        <v/>
      </c>
      <c r="BO43" s="168" t="str">
        <f>IF(Tabla563[[#This Row],[Valor mensual + Combustible]]="","",Tabla563[[#This Row],[Valor mensual + Combustible]]*Tabla563[[#This Row],[Cantidad]])</f>
        <v/>
      </c>
      <c r="BR43" s="9"/>
      <c r="BS43" s="10"/>
      <c r="BT43" s="165" t="str">
        <f>IF(Tabla566[[#This Row],[Equipo ]]="","",INDEX(V_MENSUAL,MATCH(Tabla566[[#This Row],[Equipo ]],LISTA_MAQUINARIA,0)))</f>
        <v/>
      </c>
      <c r="BU43" s="12" t="str">
        <f>IF(Tabla566[[#This Row],[Equipo ]]="","",INDEX(CONSUMO_COMBUSTIBLE_H,MATCH(Tabla566[[#This Row],[Equipo ]],LISTA_MAQUINARIA,0)))</f>
        <v/>
      </c>
      <c r="BV43" s="166" t="str">
        <f>IF(Tabla566[[#This Row],[Equipo ]]="","",INDEX(V_GALON,MATCH(Tabla566[[#This Row],[Equipo ]],LISTA_MAQUINARIA,0)))</f>
        <v/>
      </c>
      <c r="BW43" s="10"/>
      <c r="BX43" s="165" t="str">
        <f>IF(Tabla566[[#This Row],[Equipo ]]="","",Tabla566[[#This Row],[Valor mensual]]+Tabla566[[#This Row],[Combustible Hora ]]*Tabla566[[#This Row],[Valor galon]]*Tabla566[[#This Row],[Horas mes]])</f>
        <v/>
      </c>
      <c r="BY43" s="168" t="str">
        <f>IF(Tabla566[[#This Row],[Valor mensual + Combustible]]="","",Tabla566[[#This Row],[Valor mensual + Combustible]]*Tabla566[[#This Row],[Cantidad]])</f>
        <v/>
      </c>
      <c r="CB43" s="9"/>
      <c r="CC43" s="10"/>
      <c r="CD43" s="165" t="str">
        <f>IF(Tabla569[[#This Row],[Equipo ]]="","",INDEX(V_MENSUAL,MATCH(Tabla569[[#This Row],[Equipo ]],LISTA_MAQUINARIA,0)))</f>
        <v/>
      </c>
      <c r="CE43" s="12" t="str">
        <f>IF(Tabla569[[#This Row],[Equipo ]]="","",INDEX(CONSUMO_COMBUSTIBLE_H,MATCH(Tabla569[[#This Row],[Equipo ]],LISTA_MAQUINARIA,0)))</f>
        <v/>
      </c>
      <c r="CF43" s="166" t="str">
        <f>IF(Tabla569[[#This Row],[Equipo ]]="","",INDEX(V_GALON,MATCH(Tabla569[[#This Row],[Equipo ]],LISTA_MAQUINARIA,0)))</f>
        <v/>
      </c>
      <c r="CG43" s="10"/>
      <c r="CH43" s="165" t="str">
        <f>IF(Tabla569[[#This Row],[Equipo ]]="","",Tabla569[[#This Row],[Valor mensual]]+Tabla569[[#This Row],[Combustible Hora ]]*Tabla569[[#This Row],[Valor galon]]*Tabla569[[#This Row],[Horas mes]])</f>
        <v/>
      </c>
      <c r="CI43" s="168" t="str">
        <f>IF(Tabla569[[#This Row],[Valor mensual + Combustible]]="","",Tabla569[[#This Row],[Valor mensual + Combustible]]*Tabla569[[#This Row],[Cantidad]])</f>
        <v/>
      </c>
      <c r="CL43" s="9"/>
      <c r="CM43" s="10"/>
      <c r="CN43" s="165" t="str">
        <f>IF(Tabla572[[#This Row],[Equipo ]]="","",INDEX(V_MENSUAL,MATCH(Tabla572[[#This Row],[Equipo ]],LISTA_MAQUINARIA,0)))</f>
        <v/>
      </c>
      <c r="CO43" s="12" t="str">
        <f>IF(Tabla572[[#This Row],[Equipo ]]="","",INDEX(CONSUMO_COMBUSTIBLE_H,MATCH(Tabla572[[#This Row],[Equipo ]],LISTA_MAQUINARIA,0)))</f>
        <v/>
      </c>
      <c r="CP43" s="166" t="str">
        <f>IF(Tabla572[[#This Row],[Equipo ]]="","",INDEX(V_GALON,MATCH(Tabla572[[#This Row],[Equipo ]],LISTA_MAQUINARIA,0)))</f>
        <v/>
      </c>
      <c r="CQ43" s="10"/>
      <c r="CR43" s="165" t="str">
        <f>IF(Tabla572[[#This Row],[Equipo ]]="","",Tabla572[[#This Row],[Valor mensual]]+Tabla572[[#This Row],[Combustible Hora ]]*Tabla572[[#This Row],[Valor galon]]*Tabla572[[#This Row],[Horas mes]])</f>
        <v/>
      </c>
      <c r="CS43" s="168" t="str">
        <f>IF(Tabla572[[#This Row],[Valor mensual + Combustible]]="","",Tabla572[[#This Row],[Valor mensual + Combustible]]*Tabla572[[#This Row],[Cantidad]])</f>
        <v/>
      </c>
      <c r="CV43" s="9"/>
      <c r="CW43" s="10"/>
      <c r="CX43" s="165" t="str">
        <f>IF(Tabla575[[#This Row],[Equipo ]]="","",INDEX(V_MENSUAL,MATCH(Tabla575[[#This Row],[Equipo ]],LISTA_MAQUINARIA,0)))</f>
        <v/>
      </c>
      <c r="CY43" s="12" t="str">
        <f>IF(Tabla575[[#This Row],[Equipo ]]="","",INDEX(CONSUMO_COMBUSTIBLE_H,MATCH(Tabla575[[#This Row],[Equipo ]],LISTA_MAQUINARIA,0)))</f>
        <v/>
      </c>
      <c r="CZ43" s="166" t="str">
        <f>IF(Tabla575[[#This Row],[Equipo ]]="","",INDEX(V_GALON,MATCH(Tabla575[[#This Row],[Equipo ]],LISTA_MAQUINARIA,0)))</f>
        <v/>
      </c>
      <c r="DA43" s="10"/>
      <c r="DB43" s="165" t="str">
        <f>IF(Tabla575[[#This Row],[Equipo ]]="","",Tabla575[[#This Row],[Valor mensual]]+Tabla575[[#This Row],[Combustible Hora ]]*Tabla575[[#This Row],[Valor galon]]*Tabla575[[#This Row],[Horas mes]])</f>
        <v/>
      </c>
      <c r="DC43" s="168" t="str">
        <f>IF(Tabla575[[#This Row],[Valor mensual + Combustible]]="","",Tabla575[[#This Row],[Valor mensual + Combustible]]*Tabla575[[#This Row],[Cantidad]])</f>
        <v/>
      </c>
      <c r="DF43" s="9"/>
      <c r="DG43" s="10"/>
      <c r="DH43" s="165" t="str">
        <f>IF(Tabla578[[#This Row],[Equipo ]]="","",INDEX(V_MENSUAL,MATCH(Tabla578[[#This Row],[Equipo ]],LISTA_MAQUINARIA,0)))</f>
        <v/>
      </c>
      <c r="DI43" s="12" t="str">
        <f>IF(Tabla578[[#This Row],[Equipo ]]="","",INDEX(CONSUMO_COMBUSTIBLE_H,MATCH(Tabla578[[#This Row],[Equipo ]],LISTA_MAQUINARIA,0)))</f>
        <v/>
      </c>
      <c r="DJ43" s="166" t="str">
        <f>IF(Tabla578[[#This Row],[Equipo ]]="","",INDEX(V_GALON,MATCH(Tabla578[[#This Row],[Equipo ]],LISTA_MAQUINARIA,0)))</f>
        <v/>
      </c>
      <c r="DK43" s="10"/>
      <c r="DL43" s="165" t="str">
        <f>IF(Tabla578[[#This Row],[Equipo ]]="","",Tabla578[[#This Row],[Valor mensual]]+Tabla578[[#This Row],[Combustible Hora ]]*Tabla578[[#This Row],[Valor galon]]*Tabla578[[#This Row],[Horas mes]])</f>
        <v/>
      </c>
      <c r="DM43" s="168" t="str">
        <f>IF(Tabla578[[#This Row],[Valor mensual + Combustible]]="","",Tabla578[[#This Row],[Valor mensual + Combustible]]*Tabla578[[#This Row],[Cantidad]])</f>
        <v/>
      </c>
      <c r="DP43" s="9"/>
      <c r="DQ43" s="10"/>
      <c r="DR43" s="165" t="str">
        <f>IF(Tabla581[[#This Row],[Equipo ]]="","",INDEX(V_MENSUAL,MATCH(Tabla581[[#This Row],[Equipo ]],LISTA_MAQUINARIA,0)))</f>
        <v/>
      </c>
      <c r="DS43" s="12" t="str">
        <f>IF(Tabla581[[#This Row],[Equipo ]]="","",INDEX(CONSUMO_COMBUSTIBLE_H,MATCH(Tabla581[[#This Row],[Equipo ]],LISTA_MAQUINARIA,0)))</f>
        <v/>
      </c>
      <c r="DT43" s="166" t="str">
        <f>IF(Tabla581[[#This Row],[Equipo ]]="","",INDEX(V_GALON,MATCH(Tabla581[[#This Row],[Equipo ]],LISTA_MAQUINARIA,0)))</f>
        <v/>
      </c>
      <c r="DU43" s="10"/>
      <c r="DV43" s="165" t="str">
        <f>IF(Tabla581[[#This Row],[Equipo ]]="","",Tabla581[[#This Row],[Valor mensual]]+Tabla581[[#This Row],[Combustible Hora ]]*Tabla581[[#This Row],[Valor galon]]*Tabla581[[#This Row],[Horas mes]])</f>
        <v/>
      </c>
      <c r="DW43" s="168" t="str">
        <f>IF(Tabla581[[#This Row],[Valor mensual + Combustible]]="","",Tabla581[[#This Row],[Valor mensual + Combustible]]*Tabla581[[#This Row],[Cantidad]])</f>
        <v/>
      </c>
      <c r="DZ43" s="9"/>
      <c r="EA43" s="10"/>
      <c r="EB43" s="165" t="str">
        <f>IF(Tabla584[[#This Row],[Equipo ]]="","",INDEX(V_MENSUAL,MATCH(Tabla584[[#This Row],[Equipo ]],LISTA_MAQUINARIA,0)))</f>
        <v/>
      </c>
      <c r="EC43" s="12" t="str">
        <f>IF(Tabla584[[#This Row],[Equipo ]]="","",INDEX(CONSUMO_COMBUSTIBLE_H,MATCH(Tabla584[[#This Row],[Equipo ]],LISTA_MAQUINARIA,0)))</f>
        <v/>
      </c>
      <c r="ED43" s="166" t="str">
        <f>IF(Tabla584[[#This Row],[Equipo ]]="","",INDEX(V_GALON,MATCH(Tabla584[[#This Row],[Equipo ]],LISTA_MAQUINARIA,0)))</f>
        <v/>
      </c>
      <c r="EE43" s="10"/>
      <c r="EF43" s="165" t="str">
        <f>IF(Tabla584[[#This Row],[Equipo ]]="","",Tabla584[[#This Row],[Valor mensual]]+Tabla584[[#This Row],[Combustible Hora ]]*Tabla584[[#This Row],[Valor galon]]*Tabla584[[#This Row],[Horas mes]])</f>
        <v/>
      </c>
      <c r="EG43" s="168" t="str">
        <f>IF(Tabla584[[#This Row],[Valor mensual + Combustible]]="","",Tabla584[[#This Row],[Valor mensual + Combustible]]*Tabla584[[#This Row],[Cantidad]])</f>
        <v/>
      </c>
      <c r="EJ43" s="9"/>
      <c r="EK43" s="10"/>
      <c r="EL43" s="165" t="str">
        <f>IF(Tabla587[[#This Row],[Equipo ]]="","",INDEX(V_MENSUAL,MATCH(Tabla587[[#This Row],[Equipo ]],LISTA_MAQUINARIA,0)))</f>
        <v/>
      </c>
      <c r="EM43" s="12" t="str">
        <f>IF(Tabla587[[#This Row],[Equipo ]]="","",INDEX(CONSUMO_COMBUSTIBLE_H,MATCH(Tabla587[[#This Row],[Equipo ]],LISTA_MAQUINARIA,0)))</f>
        <v/>
      </c>
      <c r="EN43" s="166" t="str">
        <f>IF(Tabla587[[#This Row],[Equipo ]]="","",INDEX(V_GALON,MATCH(Tabla587[[#This Row],[Equipo ]],LISTA_MAQUINARIA,0)))</f>
        <v/>
      </c>
      <c r="EO43" s="10"/>
      <c r="EP43" s="165" t="str">
        <f>IF(Tabla587[[#This Row],[Equipo ]]="","",Tabla587[[#This Row],[Valor mensual]]+Tabla587[[#This Row],[Combustible Hora ]]*Tabla587[[#This Row],[Valor galon]]*Tabla587[[#This Row],[Horas mes]])</f>
        <v/>
      </c>
      <c r="EQ43" s="168" t="str">
        <f>IF(Tabla587[[#This Row],[Valor mensual + Combustible]]="","",Tabla587[[#This Row],[Valor mensual + Combustible]]*Tabla587[[#This Row],[Cantidad]])</f>
        <v/>
      </c>
      <c r="ET43" s="9"/>
      <c r="EU43" s="10"/>
      <c r="EV43" s="165" t="str">
        <f>IF(Tabla590[[#This Row],[Equipo ]]="","",INDEX(V_MENSUAL,MATCH(Tabla590[[#This Row],[Equipo ]],LISTA_MAQUINARIA,0)))</f>
        <v/>
      </c>
      <c r="EW43" s="12" t="str">
        <f>IF(Tabla590[[#This Row],[Equipo ]]="","",INDEX(CONSUMO_COMBUSTIBLE_H,MATCH(Tabla590[[#This Row],[Equipo ]],LISTA_MAQUINARIA,0)))</f>
        <v/>
      </c>
      <c r="EX43" s="166" t="str">
        <f>IF(Tabla590[[#This Row],[Equipo ]]="","",INDEX(V_GALON,MATCH(Tabla590[[#This Row],[Equipo ]],LISTA_MAQUINARIA,0)))</f>
        <v/>
      </c>
      <c r="EY43" s="10"/>
      <c r="EZ43" s="165" t="str">
        <f>IF(Tabla590[[#This Row],[Equipo ]]="","",Tabla590[[#This Row],[Valor mensual]]+Tabla590[[#This Row],[Combustible Hora ]]*Tabla590[[#This Row],[Valor galon]]*Tabla590[[#This Row],[Horas mes]])</f>
        <v/>
      </c>
      <c r="FA43" s="168" t="str">
        <f>IF(Tabla590[[#This Row],[Valor mensual + Combustible]]="","",Tabla590[[#This Row],[Valor mensual + Combustible]]*Tabla590[[#This Row],[Cantidad]])</f>
        <v/>
      </c>
      <c r="FD43" s="9"/>
      <c r="FE43" s="10"/>
      <c r="FF43" s="165" t="str">
        <f>IF(Tabla593[[#This Row],[Equipo ]]="","",INDEX(V_MENSUAL,MATCH(Tabla593[[#This Row],[Equipo ]],LISTA_MAQUINARIA,0)))</f>
        <v/>
      </c>
      <c r="FG43" s="12" t="str">
        <f>IF(Tabla593[[#This Row],[Equipo ]]="","",INDEX(CONSUMO_COMBUSTIBLE_H,MATCH(Tabla593[[#This Row],[Equipo ]],LISTA_MAQUINARIA,0)))</f>
        <v/>
      </c>
      <c r="FH43" s="166" t="str">
        <f>IF(Tabla593[[#This Row],[Equipo ]]="","",INDEX(V_GALON,MATCH(Tabla593[[#This Row],[Equipo ]],LISTA_MAQUINARIA,0)))</f>
        <v/>
      </c>
      <c r="FI43" s="10"/>
      <c r="FJ43" s="165" t="str">
        <f>IF(Tabla593[[#This Row],[Equipo ]]="","",Tabla593[[#This Row],[Valor mensual]]+Tabla593[[#This Row],[Combustible Hora ]]*Tabla593[[#This Row],[Valor galon]]*Tabla593[[#This Row],[Horas mes]])</f>
        <v/>
      </c>
      <c r="FK43" s="168" t="str">
        <f>IF(Tabla593[[#This Row],[Valor mensual + Combustible]]="","",Tabla593[[#This Row],[Valor mensual + Combustible]]*Tabla593[[#This Row],[Cantidad]])</f>
        <v/>
      </c>
      <c r="FN43" s="9"/>
      <c r="FO43" s="10"/>
      <c r="FP43" s="165" t="str">
        <f>IF(Tabla596[[#This Row],[Equipo ]]="","",INDEX(V_MENSUAL,MATCH(Tabla596[[#This Row],[Equipo ]],LISTA_MAQUINARIA,0)))</f>
        <v/>
      </c>
      <c r="FQ43" s="12" t="str">
        <f>IF(Tabla596[[#This Row],[Equipo ]]="","",INDEX(CONSUMO_COMBUSTIBLE_H,MATCH(Tabla596[[#This Row],[Equipo ]],LISTA_MAQUINARIA,0)))</f>
        <v/>
      </c>
      <c r="FR43" s="166" t="str">
        <f>IF(Tabla596[[#This Row],[Equipo ]]="","",INDEX(V_GALON,MATCH(Tabla596[[#This Row],[Equipo ]],LISTA_MAQUINARIA,0)))</f>
        <v/>
      </c>
      <c r="FS43" s="10"/>
      <c r="FT43" s="165" t="str">
        <f>IF(Tabla596[[#This Row],[Equipo ]]="","",Tabla596[[#This Row],[Valor mensual]]+Tabla596[[#This Row],[Combustible Hora ]]*Tabla596[[#This Row],[Valor galon]]*Tabla596[[#This Row],[Horas mes]])</f>
        <v/>
      </c>
      <c r="FU43" s="168" t="str">
        <f>IF(Tabla596[[#This Row],[Valor mensual + Combustible]]="","",Tabla596[[#This Row],[Valor mensual + Combustible]]*Tabla596[[#This Row],[Cantidad]])</f>
        <v/>
      </c>
    </row>
    <row r="44" spans="1:177" x14ac:dyDescent="0.3">
      <c r="A44" s="9" t="s">
        <v>497</v>
      </c>
      <c r="B44" s="10">
        <v>1</v>
      </c>
      <c r="C44" s="165">
        <f>IF(Tabla5[[#This Row],[Equipo ]]="","",INDEX(V_MENSUAL,MATCH(Tabla5[[#This Row],[Equipo ]],LISTA_MAQUINARIA,0)))</f>
        <v>1200000</v>
      </c>
      <c r="D44" s="12">
        <f>IF(Tabla5[[#This Row],[Equipo ]]="","",INDEX(CONSUMO_COMBUSTIBLE_H,MATCH(Tabla5[[#This Row],[Equipo ]],LISTA_MAQUINARIA,0)))</f>
        <v>0</v>
      </c>
      <c r="E44" s="166">
        <f>IF(Tabla5[[#This Row],[Equipo ]]="","",INDEX(V_GALON,MATCH(Tabla5[[#This Row],[Equipo ]],LISTA_MAQUINARIA,0)))</f>
        <v>10800</v>
      </c>
      <c r="F44" s="10"/>
      <c r="G44" s="165">
        <f>IF(Tabla5[[#This Row],[Equipo ]]="","",Tabla5[[#This Row],[Valor mensual]]+Tabla5[[#This Row],[Combustible Hora ]]*Tabla5[[#This Row],[Valor galon]]*Tabla5[[#This Row],[Horas mes]])</f>
        <v>1200000</v>
      </c>
      <c r="H44" s="168">
        <f>IF(Tabla5[[#This Row],[Valor mensual + Combustible]]="","",Tabla5[[#This Row],[Valor mensual + Combustible]]*Tabla5[[#This Row],[Cantidad]])</f>
        <v>1200000</v>
      </c>
      <c r="K44" s="9" t="s">
        <v>497</v>
      </c>
      <c r="L44" s="10">
        <v>1</v>
      </c>
      <c r="M44" s="165" cm="1">
        <f t="array" ref="M44">IF(Tabla548[[#This Row],[Equipo ]]="","",INDEX(V_MENSUAL,MATCH(Tabla548[[#This Row],[Equipo ]],LISTA_MAQUINARIA,0)))</f>
        <v>1200000</v>
      </c>
      <c r="N44" s="12">
        <f>IF(Tabla548[[#This Row],[Equipo ]]="","",INDEX(CONSUMO_COMBUSTIBLE_H,MATCH(Tabla548[[#This Row],[Equipo ]],LISTA_MAQUINARIA,0)))</f>
        <v>0</v>
      </c>
      <c r="O44" s="166">
        <f>IF(Tabla548[[#This Row],[Equipo ]]="","",INDEX(V_GALON,MATCH(Tabla548[[#This Row],[Equipo ]],LISTA_MAQUINARIA,0)))</f>
        <v>10800</v>
      </c>
      <c r="P44" s="10"/>
      <c r="Q44" s="165">
        <f>IF(Tabla548[[#This Row],[Equipo ]]="","",Tabla548[[#This Row],[Valor mensual]]+Tabla548[[#This Row],[Combustible Hora ]]*Tabla548[[#This Row],[Valor galon]]*Tabla548[[#This Row],[Horas mes]])</f>
        <v>1200000</v>
      </c>
      <c r="R44" s="168">
        <f>IF(Tabla548[[#This Row],[Valor mensual + Combustible]]="","",Tabla548[[#This Row],[Valor mensual + Combustible]]*Tabla548[[#This Row],[Cantidad]])</f>
        <v>1200000</v>
      </c>
      <c r="U44" s="9" t="s">
        <v>497</v>
      </c>
      <c r="V44" s="10">
        <v>1</v>
      </c>
      <c r="W44" s="165">
        <f>IF(Tabla551[[#This Row],[Equipo ]]="","",INDEX(V_MENSUAL,MATCH(Tabla551[[#This Row],[Equipo ]],LISTA_MAQUINARIA,0)))</f>
        <v>1200000</v>
      </c>
      <c r="X44" s="12">
        <f>IF(Tabla551[[#This Row],[Equipo ]]="","",INDEX(CONSUMO_COMBUSTIBLE_H,MATCH(Tabla551[[#This Row],[Equipo ]],LISTA_MAQUINARIA,0)))</f>
        <v>0</v>
      </c>
      <c r="Y44" s="166">
        <f>IF(Tabla551[[#This Row],[Equipo ]]="","",INDEX(V_GALON,MATCH(Tabla551[[#This Row],[Equipo ]],LISTA_MAQUINARIA,0)))</f>
        <v>10800</v>
      </c>
      <c r="Z44" s="10"/>
      <c r="AA44" s="165">
        <f>IF(Tabla551[[#This Row],[Equipo ]]="","",Tabla551[[#This Row],[Valor mensual]]+Tabla551[[#This Row],[Combustible Hora ]]*Tabla551[[#This Row],[Valor galon]]*Tabla551[[#This Row],[Horas mes]])</f>
        <v>1200000</v>
      </c>
      <c r="AB44" s="168">
        <f>IF(Tabla551[[#This Row],[Valor mensual + Combustible]]="","",Tabla551[[#This Row],[Valor mensual + Combustible]]*Tabla551[[#This Row],[Cantidad]])</f>
        <v>1200000</v>
      </c>
      <c r="AD44" s="9"/>
      <c r="AE44" s="10"/>
      <c r="AF44" s="165" t="str">
        <f>IF(Tabla554[[#This Row],[Equipo ]]="","",INDEX(V_MENSUAL,MATCH(Tabla554[[#This Row],[Equipo ]],LISTA_MAQUINARIA,0)))</f>
        <v/>
      </c>
      <c r="AG44" s="12" t="str">
        <f>IF(Tabla554[[#This Row],[Equipo ]]="","",INDEX(CONSUMO_COMBUSTIBLE_H,MATCH(Tabla554[[#This Row],[Equipo ]],LISTA_MAQUINARIA,0)))</f>
        <v/>
      </c>
      <c r="AH44" s="166" t="str">
        <f>IF(Tabla554[[#This Row],[Equipo ]]="","",INDEX(V_GALON,MATCH(Tabla554[[#This Row],[Equipo ]],LISTA_MAQUINARIA,0)))</f>
        <v/>
      </c>
      <c r="AI44" s="10"/>
      <c r="AJ44" s="165" t="str">
        <f>IF(Tabla554[[#This Row],[Equipo ]]="","",Tabla554[[#This Row],[Valor mensual]]+Tabla554[[#This Row],[Combustible Hora ]]*Tabla554[[#This Row],[Valor galon]]*Tabla554[[#This Row],[Horas mes]])</f>
        <v/>
      </c>
      <c r="AK44" s="168" t="str">
        <f>IF(Tabla554[[#This Row],[Valor mensual + Combustible]]="","",Tabla554[[#This Row],[Valor mensual + Combustible]]*Tabla554[[#This Row],[Cantidad]])</f>
        <v/>
      </c>
      <c r="AN44" s="9"/>
      <c r="AO44" s="10"/>
      <c r="AP44" s="165" t="str">
        <f>IF(Tabla557[[#This Row],[Equipo ]]="","",INDEX(V_MENSUAL,MATCH(Tabla557[[#This Row],[Equipo ]],LISTA_MAQUINARIA,0)))</f>
        <v/>
      </c>
      <c r="AQ44" s="12" t="str">
        <f>IF(Tabla557[[#This Row],[Equipo ]]="","",INDEX(CONSUMO_COMBUSTIBLE_H,MATCH(Tabla557[[#This Row],[Equipo ]],LISTA_MAQUINARIA,0)))</f>
        <v/>
      </c>
      <c r="AR44" s="166" t="str">
        <f>IF(Tabla557[[#This Row],[Equipo ]]="","",INDEX(V_GALON,MATCH(Tabla557[[#This Row],[Equipo ]],LISTA_MAQUINARIA,0)))</f>
        <v/>
      </c>
      <c r="AS44" s="10"/>
      <c r="AT44" s="165" t="str">
        <f>IF(Tabla557[[#This Row],[Equipo ]]="","",Tabla557[[#This Row],[Valor mensual]]+Tabla557[[#This Row],[Combustible Hora ]]*Tabla557[[#This Row],[Valor galon]]*Tabla557[[#This Row],[Horas mes]])</f>
        <v/>
      </c>
      <c r="AU44" s="168" t="str">
        <f>IF(Tabla557[[#This Row],[Valor mensual + Combustible]]="","",Tabla557[[#This Row],[Valor mensual + Combustible]]*Tabla557[[#This Row],[Cantidad]])</f>
        <v/>
      </c>
      <c r="AX44" s="9"/>
      <c r="AY44" s="10"/>
      <c r="AZ44" s="165" t="str">
        <f>IF(Tabla560[[#This Row],[Equipo ]]="","",INDEX(V_MENSUAL,MATCH(Tabla560[[#This Row],[Equipo ]],LISTA_MAQUINARIA,0)))</f>
        <v/>
      </c>
      <c r="BA44" s="12" t="str">
        <f>IF(Tabla560[[#This Row],[Equipo ]]="","",INDEX(CONSUMO_COMBUSTIBLE_H,MATCH(Tabla560[[#This Row],[Equipo ]],LISTA_MAQUINARIA,0)))</f>
        <v/>
      </c>
      <c r="BB44" s="166" t="str">
        <f>IF(Tabla560[[#This Row],[Equipo ]]="","",INDEX(V_GALON,MATCH(Tabla560[[#This Row],[Equipo ]],LISTA_MAQUINARIA,0)))</f>
        <v/>
      </c>
      <c r="BC44" s="10"/>
      <c r="BD44" s="165" t="str">
        <f>IF(Tabla560[[#This Row],[Equipo ]]="","",Tabla560[[#This Row],[Valor mensual]]+Tabla560[[#This Row],[Combustible Hora ]]*Tabla560[[#This Row],[Valor galon]]*Tabla560[[#This Row],[Horas mes]])</f>
        <v/>
      </c>
      <c r="BE44" s="168" t="str">
        <f>IF(Tabla560[[#This Row],[Valor mensual + Combustible]]="","",Tabla560[[#This Row],[Valor mensual + Combustible]]*Tabla560[[#This Row],[Cantidad]])</f>
        <v/>
      </c>
      <c r="BH44" s="9"/>
      <c r="BI44" s="10"/>
      <c r="BJ44" s="165" t="str">
        <f>IF(Tabla563[[#This Row],[Equipo ]]="","",INDEX(V_MENSUAL,MATCH(Tabla563[[#This Row],[Equipo ]],LISTA_MAQUINARIA,0)))</f>
        <v/>
      </c>
      <c r="BK44" s="12" t="str">
        <f>IF(Tabla563[[#This Row],[Equipo ]]="","",INDEX(CONSUMO_COMBUSTIBLE_H,MATCH(Tabla563[[#This Row],[Equipo ]],LISTA_MAQUINARIA,0)))</f>
        <v/>
      </c>
      <c r="BL44" s="166" t="str">
        <f>IF(Tabla563[[#This Row],[Equipo ]]="","",INDEX(V_GALON,MATCH(Tabla563[[#This Row],[Equipo ]],LISTA_MAQUINARIA,0)))</f>
        <v/>
      </c>
      <c r="BM44" s="10"/>
      <c r="BN44" s="165" t="str">
        <f>IF(Tabla563[[#This Row],[Equipo ]]="","",Tabla563[[#This Row],[Valor mensual]]+Tabla563[[#This Row],[Combustible Hora ]]*Tabla563[[#This Row],[Valor galon]]*Tabla563[[#This Row],[Horas mes]])</f>
        <v/>
      </c>
      <c r="BO44" s="168" t="str">
        <f>IF(Tabla563[[#This Row],[Valor mensual + Combustible]]="","",Tabla563[[#This Row],[Valor mensual + Combustible]]*Tabla563[[#This Row],[Cantidad]])</f>
        <v/>
      </c>
      <c r="BR44" s="9"/>
      <c r="BS44" s="10"/>
      <c r="BT44" s="165" t="str">
        <f>IF(Tabla566[[#This Row],[Equipo ]]="","",INDEX(V_MENSUAL,MATCH(Tabla566[[#This Row],[Equipo ]],LISTA_MAQUINARIA,0)))</f>
        <v/>
      </c>
      <c r="BU44" s="12" t="str">
        <f>IF(Tabla566[[#This Row],[Equipo ]]="","",INDEX(CONSUMO_COMBUSTIBLE_H,MATCH(Tabla566[[#This Row],[Equipo ]],LISTA_MAQUINARIA,0)))</f>
        <v/>
      </c>
      <c r="BV44" s="166" t="str">
        <f>IF(Tabla566[[#This Row],[Equipo ]]="","",INDEX(V_GALON,MATCH(Tabla566[[#This Row],[Equipo ]],LISTA_MAQUINARIA,0)))</f>
        <v/>
      </c>
      <c r="BW44" s="10"/>
      <c r="BX44" s="165" t="str">
        <f>IF(Tabla566[[#This Row],[Equipo ]]="","",Tabla566[[#This Row],[Valor mensual]]+Tabla566[[#This Row],[Combustible Hora ]]*Tabla566[[#This Row],[Valor galon]]*Tabla566[[#This Row],[Horas mes]])</f>
        <v/>
      </c>
      <c r="BY44" s="168" t="str">
        <f>IF(Tabla566[[#This Row],[Valor mensual + Combustible]]="","",Tabla566[[#This Row],[Valor mensual + Combustible]]*Tabla566[[#This Row],[Cantidad]])</f>
        <v/>
      </c>
      <c r="CB44" s="9"/>
      <c r="CC44" s="10"/>
      <c r="CD44" s="165" t="str">
        <f>IF(Tabla569[[#This Row],[Equipo ]]="","",INDEX(V_MENSUAL,MATCH(Tabla569[[#This Row],[Equipo ]],LISTA_MAQUINARIA,0)))</f>
        <v/>
      </c>
      <c r="CE44" s="12" t="str">
        <f>IF(Tabla569[[#This Row],[Equipo ]]="","",INDEX(CONSUMO_COMBUSTIBLE_H,MATCH(Tabla569[[#This Row],[Equipo ]],LISTA_MAQUINARIA,0)))</f>
        <v/>
      </c>
      <c r="CF44" s="166" t="str">
        <f>IF(Tabla569[[#This Row],[Equipo ]]="","",INDEX(V_GALON,MATCH(Tabla569[[#This Row],[Equipo ]],LISTA_MAQUINARIA,0)))</f>
        <v/>
      </c>
      <c r="CG44" s="10"/>
      <c r="CH44" s="165" t="str">
        <f>IF(Tabla569[[#This Row],[Equipo ]]="","",Tabla569[[#This Row],[Valor mensual]]+Tabla569[[#This Row],[Combustible Hora ]]*Tabla569[[#This Row],[Valor galon]]*Tabla569[[#This Row],[Horas mes]])</f>
        <v/>
      </c>
      <c r="CI44" s="168" t="str">
        <f>IF(Tabla569[[#This Row],[Valor mensual + Combustible]]="","",Tabla569[[#This Row],[Valor mensual + Combustible]]*Tabla569[[#This Row],[Cantidad]])</f>
        <v/>
      </c>
      <c r="CL44" s="9"/>
      <c r="CM44" s="10"/>
      <c r="CN44" s="165" t="str">
        <f>IF(Tabla572[[#This Row],[Equipo ]]="","",INDEX(V_MENSUAL,MATCH(Tabla572[[#This Row],[Equipo ]],LISTA_MAQUINARIA,0)))</f>
        <v/>
      </c>
      <c r="CO44" s="12" t="str">
        <f>IF(Tabla572[[#This Row],[Equipo ]]="","",INDEX(CONSUMO_COMBUSTIBLE_H,MATCH(Tabla572[[#This Row],[Equipo ]],LISTA_MAQUINARIA,0)))</f>
        <v/>
      </c>
      <c r="CP44" s="166" t="str">
        <f>IF(Tabla572[[#This Row],[Equipo ]]="","",INDEX(V_GALON,MATCH(Tabla572[[#This Row],[Equipo ]],LISTA_MAQUINARIA,0)))</f>
        <v/>
      </c>
      <c r="CQ44" s="10"/>
      <c r="CR44" s="165" t="str">
        <f>IF(Tabla572[[#This Row],[Equipo ]]="","",Tabla572[[#This Row],[Valor mensual]]+Tabla572[[#This Row],[Combustible Hora ]]*Tabla572[[#This Row],[Valor galon]]*Tabla572[[#This Row],[Horas mes]])</f>
        <v/>
      </c>
      <c r="CS44" s="168" t="str">
        <f>IF(Tabla572[[#This Row],[Valor mensual + Combustible]]="","",Tabla572[[#This Row],[Valor mensual + Combustible]]*Tabla572[[#This Row],[Cantidad]])</f>
        <v/>
      </c>
      <c r="CV44" s="9"/>
      <c r="CW44" s="10"/>
      <c r="CX44" s="165" t="str">
        <f>IF(Tabla575[[#This Row],[Equipo ]]="","",INDEX(V_MENSUAL,MATCH(Tabla575[[#This Row],[Equipo ]],LISTA_MAQUINARIA,0)))</f>
        <v/>
      </c>
      <c r="CY44" s="12" t="str">
        <f>IF(Tabla575[[#This Row],[Equipo ]]="","",INDEX(CONSUMO_COMBUSTIBLE_H,MATCH(Tabla575[[#This Row],[Equipo ]],LISTA_MAQUINARIA,0)))</f>
        <v/>
      </c>
      <c r="CZ44" s="166" t="str">
        <f>IF(Tabla575[[#This Row],[Equipo ]]="","",INDEX(V_GALON,MATCH(Tabla575[[#This Row],[Equipo ]],LISTA_MAQUINARIA,0)))</f>
        <v/>
      </c>
      <c r="DA44" s="10"/>
      <c r="DB44" s="165" t="str">
        <f>IF(Tabla575[[#This Row],[Equipo ]]="","",Tabla575[[#This Row],[Valor mensual]]+Tabla575[[#This Row],[Combustible Hora ]]*Tabla575[[#This Row],[Valor galon]]*Tabla575[[#This Row],[Horas mes]])</f>
        <v/>
      </c>
      <c r="DC44" s="168" t="str">
        <f>IF(Tabla575[[#This Row],[Valor mensual + Combustible]]="","",Tabla575[[#This Row],[Valor mensual + Combustible]]*Tabla575[[#This Row],[Cantidad]])</f>
        <v/>
      </c>
      <c r="DF44" s="9"/>
      <c r="DG44" s="10"/>
      <c r="DH44" s="165" t="str">
        <f>IF(Tabla578[[#This Row],[Equipo ]]="","",INDEX(V_MENSUAL,MATCH(Tabla578[[#This Row],[Equipo ]],LISTA_MAQUINARIA,0)))</f>
        <v/>
      </c>
      <c r="DI44" s="12" t="str">
        <f>IF(Tabla578[[#This Row],[Equipo ]]="","",INDEX(CONSUMO_COMBUSTIBLE_H,MATCH(Tabla578[[#This Row],[Equipo ]],LISTA_MAQUINARIA,0)))</f>
        <v/>
      </c>
      <c r="DJ44" s="166" t="str">
        <f>IF(Tabla578[[#This Row],[Equipo ]]="","",INDEX(V_GALON,MATCH(Tabla578[[#This Row],[Equipo ]],LISTA_MAQUINARIA,0)))</f>
        <v/>
      </c>
      <c r="DK44" s="10"/>
      <c r="DL44" s="165" t="str">
        <f>IF(Tabla578[[#This Row],[Equipo ]]="","",Tabla578[[#This Row],[Valor mensual]]+Tabla578[[#This Row],[Combustible Hora ]]*Tabla578[[#This Row],[Valor galon]]*Tabla578[[#This Row],[Horas mes]])</f>
        <v/>
      </c>
      <c r="DM44" s="168" t="str">
        <f>IF(Tabla578[[#This Row],[Valor mensual + Combustible]]="","",Tabla578[[#This Row],[Valor mensual + Combustible]]*Tabla578[[#This Row],[Cantidad]])</f>
        <v/>
      </c>
      <c r="DP44" s="9"/>
      <c r="DQ44" s="10"/>
      <c r="DR44" s="165" t="str">
        <f>IF(Tabla581[[#This Row],[Equipo ]]="","",INDEX(V_MENSUAL,MATCH(Tabla581[[#This Row],[Equipo ]],LISTA_MAQUINARIA,0)))</f>
        <v/>
      </c>
      <c r="DS44" s="12" t="str">
        <f>IF(Tabla581[[#This Row],[Equipo ]]="","",INDEX(CONSUMO_COMBUSTIBLE_H,MATCH(Tabla581[[#This Row],[Equipo ]],LISTA_MAQUINARIA,0)))</f>
        <v/>
      </c>
      <c r="DT44" s="166" t="str">
        <f>IF(Tabla581[[#This Row],[Equipo ]]="","",INDEX(V_GALON,MATCH(Tabla581[[#This Row],[Equipo ]],LISTA_MAQUINARIA,0)))</f>
        <v/>
      </c>
      <c r="DU44" s="10"/>
      <c r="DV44" s="165" t="str">
        <f>IF(Tabla581[[#This Row],[Equipo ]]="","",Tabla581[[#This Row],[Valor mensual]]+Tabla581[[#This Row],[Combustible Hora ]]*Tabla581[[#This Row],[Valor galon]]*Tabla581[[#This Row],[Horas mes]])</f>
        <v/>
      </c>
      <c r="DW44" s="168" t="str">
        <f>IF(Tabla581[[#This Row],[Valor mensual + Combustible]]="","",Tabla581[[#This Row],[Valor mensual + Combustible]]*Tabla581[[#This Row],[Cantidad]])</f>
        <v/>
      </c>
      <c r="DZ44" s="9"/>
      <c r="EA44" s="10"/>
      <c r="EB44" s="165" t="str">
        <f>IF(Tabla584[[#This Row],[Equipo ]]="","",INDEX(V_MENSUAL,MATCH(Tabla584[[#This Row],[Equipo ]],LISTA_MAQUINARIA,0)))</f>
        <v/>
      </c>
      <c r="EC44" s="12" t="str">
        <f>IF(Tabla584[[#This Row],[Equipo ]]="","",INDEX(CONSUMO_COMBUSTIBLE_H,MATCH(Tabla584[[#This Row],[Equipo ]],LISTA_MAQUINARIA,0)))</f>
        <v/>
      </c>
      <c r="ED44" s="166" t="str">
        <f>IF(Tabla584[[#This Row],[Equipo ]]="","",INDEX(V_GALON,MATCH(Tabla584[[#This Row],[Equipo ]],LISTA_MAQUINARIA,0)))</f>
        <v/>
      </c>
      <c r="EE44" s="10"/>
      <c r="EF44" s="165" t="str">
        <f>IF(Tabla584[[#This Row],[Equipo ]]="","",Tabla584[[#This Row],[Valor mensual]]+Tabla584[[#This Row],[Combustible Hora ]]*Tabla584[[#This Row],[Valor galon]]*Tabla584[[#This Row],[Horas mes]])</f>
        <v/>
      </c>
      <c r="EG44" s="168" t="str">
        <f>IF(Tabla584[[#This Row],[Valor mensual + Combustible]]="","",Tabla584[[#This Row],[Valor mensual + Combustible]]*Tabla584[[#This Row],[Cantidad]])</f>
        <v/>
      </c>
      <c r="EJ44" s="9"/>
      <c r="EK44" s="10"/>
      <c r="EL44" s="165" t="str">
        <f>IF(Tabla587[[#This Row],[Equipo ]]="","",INDEX(V_MENSUAL,MATCH(Tabla587[[#This Row],[Equipo ]],LISTA_MAQUINARIA,0)))</f>
        <v/>
      </c>
      <c r="EM44" s="12" t="str">
        <f>IF(Tabla587[[#This Row],[Equipo ]]="","",INDEX(CONSUMO_COMBUSTIBLE_H,MATCH(Tabla587[[#This Row],[Equipo ]],LISTA_MAQUINARIA,0)))</f>
        <v/>
      </c>
      <c r="EN44" s="166" t="str">
        <f>IF(Tabla587[[#This Row],[Equipo ]]="","",INDEX(V_GALON,MATCH(Tabla587[[#This Row],[Equipo ]],LISTA_MAQUINARIA,0)))</f>
        <v/>
      </c>
      <c r="EO44" s="10"/>
      <c r="EP44" s="165" t="str">
        <f>IF(Tabla587[[#This Row],[Equipo ]]="","",Tabla587[[#This Row],[Valor mensual]]+Tabla587[[#This Row],[Combustible Hora ]]*Tabla587[[#This Row],[Valor galon]]*Tabla587[[#This Row],[Horas mes]])</f>
        <v/>
      </c>
      <c r="EQ44" s="168" t="str">
        <f>IF(Tabla587[[#This Row],[Valor mensual + Combustible]]="","",Tabla587[[#This Row],[Valor mensual + Combustible]]*Tabla587[[#This Row],[Cantidad]])</f>
        <v/>
      </c>
      <c r="ET44" s="9"/>
      <c r="EU44" s="10"/>
      <c r="EV44" s="165" t="str">
        <f>IF(Tabla590[[#This Row],[Equipo ]]="","",INDEX(V_MENSUAL,MATCH(Tabla590[[#This Row],[Equipo ]],LISTA_MAQUINARIA,0)))</f>
        <v/>
      </c>
      <c r="EW44" s="12" t="str">
        <f>IF(Tabla590[[#This Row],[Equipo ]]="","",INDEX(CONSUMO_COMBUSTIBLE_H,MATCH(Tabla590[[#This Row],[Equipo ]],LISTA_MAQUINARIA,0)))</f>
        <v/>
      </c>
      <c r="EX44" s="166" t="str">
        <f>IF(Tabla590[[#This Row],[Equipo ]]="","",INDEX(V_GALON,MATCH(Tabla590[[#This Row],[Equipo ]],LISTA_MAQUINARIA,0)))</f>
        <v/>
      </c>
      <c r="EY44" s="10"/>
      <c r="EZ44" s="165" t="str">
        <f>IF(Tabla590[[#This Row],[Equipo ]]="","",Tabla590[[#This Row],[Valor mensual]]+Tabla590[[#This Row],[Combustible Hora ]]*Tabla590[[#This Row],[Valor galon]]*Tabla590[[#This Row],[Horas mes]])</f>
        <v/>
      </c>
      <c r="FA44" s="168" t="str">
        <f>IF(Tabla590[[#This Row],[Valor mensual + Combustible]]="","",Tabla590[[#This Row],[Valor mensual + Combustible]]*Tabla590[[#This Row],[Cantidad]])</f>
        <v/>
      </c>
      <c r="FD44" s="9"/>
      <c r="FE44" s="10"/>
      <c r="FF44" s="165" t="str">
        <f>IF(Tabla593[[#This Row],[Equipo ]]="","",INDEX(V_MENSUAL,MATCH(Tabla593[[#This Row],[Equipo ]],LISTA_MAQUINARIA,0)))</f>
        <v/>
      </c>
      <c r="FG44" s="12" t="str">
        <f>IF(Tabla593[[#This Row],[Equipo ]]="","",INDEX(CONSUMO_COMBUSTIBLE_H,MATCH(Tabla593[[#This Row],[Equipo ]],LISTA_MAQUINARIA,0)))</f>
        <v/>
      </c>
      <c r="FH44" s="166" t="str">
        <f>IF(Tabla593[[#This Row],[Equipo ]]="","",INDEX(V_GALON,MATCH(Tabla593[[#This Row],[Equipo ]],LISTA_MAQUINARIA,0)))</f>
        <v/>
      </c>
      <c r="FI44" s="10"/>
      <c r="FJ44" s="165" t="str">
        <f>IF(Tabla593[[#This Row],[Equipo ]]="","",Tabla593[[#This Row],[Valor mensual]]+Tabla593[[#This Row],[Combustible Hora ]]*Tabla593[[#This Row],[Valor galon]]*Tabla593[[#This Row],[Horas mes]])</f>
        <v/>
      </c>
      <c r="FK44" s="168" t="str">
        <f>IF(Tabla593[[#This Row],[Valor mensual + Combustible]]="","",Tabla593[[#This Row],[Valor mensual + Combustible]]*Tabla593[[#This Row],[Cantidad]])</f>
        <v/>
      </c>
      <c r="FN44" s="9"/>
      <c r="FO44" s="10"/>
      <c r="FP44" s="165" t="str">
        <f>IF(Tabla596[[#This Row],[Equipo ]]="","",INDEX(V_MENSUAL,MATCH(Tabla596[[#This Row],[Equipo ]],LISTA_MAQUINARIA,0)))</f>
        <v/>
      </c>
      <c r="FQ44" s="12" t="str">
        <f>IF(Tabla596[[#This Row],[Equipo ]]="","",INDEX(CONSUMO_COMBUSTIBLE_H,MATCH(Tabla596[[#This Row],[Equipo ]],LISTA_MAQUINARIA,0)))</f>
        <v/>
      </c>
      <c r="FR44" s="166" t="str">
        <f>IF(Tabla596[[#This Row],[Equipo ]]="","",INDEX(V_GALON,MATCH(Tabla596[[#This Row],[Equipo ]],LISTA_MAQUINARIA,0)))</f>
        <v/>
      </c>
      <c r="FS44" s="10"/>
      <c r="FT44" s="165" t="str">
        <f>IF(Tabla596[[#This Row],[Equipo ]]="","",Tabla596[[#This Row],[Valor mensual]]+Tabla596[[#This Row],[Combustible Hora ]]*Tabla596[[#This Row],[Valor galon]]*Tabla596[[#This Row],[Horas mes]])</f>
        <v/>
      </c>
      <c r="FU44" s="168" t="str">
        <f>IF(Tabla596[[#This Row],[Valor mensual + Combustible]]="","",Tabla596[[#This Row],[Valor mensual + Combustible]]*Tabla596[[#This Row],[Cantidad]])</f>
        <v/>
      </c>
    </row>
    <row r="45" spans="1:177" x14ac:dyDescent="0.3">
      <c r="A45" s="9" t="s">
        <v>498</v>
      </c>
      <c r="B45" s="10">
        <v>1</v>
      </c>
      <c r="C45" s="165">
        <f>IF(Tabla5[[#This Row],[Equipo ]]="","",INDEX(V_MENSUAL,MATCH(Tabla5[[#This Row],[Equipo ]],LISTA_MAQUINARIA,0)))</f>
        <v>5800000</v>
      </c>
      <c r="D45" s="12">
        <f>IF(Tabla5[[#This Row],[Equipo ]]="","",INDEX(CONSUMO_COMBUSTIBLE_H,MATCH(Tabla5[[#This Row],[Equipo ]],LISTA_MAQUINARIA,0)))</f>
        <v>0</v>
      </c>
      <c r="E45" s="166">
        <f>IF(Tabla5[[#This Row],[Equipo ]]="","",INDEX(V_GALON,MATCH(Tabla5[[#This Row],[Equipo ]],LISTA_MAQUINARIA,0)))</f>
        <v>10800</v>
      </c>
      <c r="F45" s="10"/>
      <c r="G45" s="165">
        <f>IF(Tabla5[[#This Row],[Equipo ]]="","",Tabla5[[#This Row],[Valor mensual]]+Tabla5[[#This Row],[Combustible Hora ]]*Tabla5[[#This Row],[Valor galon]]*Tabla5[[#This Row],[Horas mes]])</f>
        <v>5800000</v>
      </c>
      <c r="H45" s="168">
        <f>IF(Tabla5[[#This Row],[Valor mensual + Combustible]]="","",Tabla5[[#This Row],[Valor mensual + Combustible]]*Tabla5[[#This Row],[Cantidad]])</f>
        <v>5800000</v>
      </c>
      <c r="K45" s="9" t="s">
        <v>498</v>
      </c>
      <c r="L45" s="10">
        <v>1</v>
      </c>
      <c r="M45" s="165" cm="1">
        <f t="array" ref="M45">IF(Tabla548[[#This Row],[Equipo ]]="","",INDEX(V_MENSUAL,MATCH(Tabla548[[#This Row],[Equipo ]],LISTA_MAQUINARIA,0)))</f>
        <v>5800000</v>
      </c>
      <c r="N45" s="12">
        <f>IF(Tabla548[[#This Row],[Equipo ]]="","",INDEX(CONSUMO_COMBUSTIBLE_H,MATCH(Tabla548[[#This Row],[Equipo ]],LISTA_MAQUINARIA,0)))</f>
        <v>0</v>
      </c>
      <c r="O45" s="166">
        <f>IF(Tabla548[[#This Row],[Equipo ]]="","",INDEX(V_GALON,MATCH(Tabla548[[#This Row],[Equipo ]],LISTA_MAQUINARIA,0)))</f>
        <v>10800</v>
      </c>
      <c r="P45" s="10"/>
      <c r="Q45" s="165">
        <f>IF(Tabla548[[#This Row],[Equipo ]]="","",Tabla548[[#This Row],[Valor mensual]]+Tabla548[[#This Row],[Combustible Hora ]]*Tabla548[[#This Row],[Valor galon]]*Tabla548[[#This Row],[Horas mes]])</f>
        <v>5800000</v>
      </c>
      <c r="R45" s="168">
        <f>IF(Tabla548[[#This Row],[Valor mensual + Combustible]]="","",Tabla548[[#This Row],[Valor mensual + Combustible]]*Tabla548[[#This Row],[Cantidad]])</f>
        <v>5800000</v>
      </c>
      <c r="U45" s="9" t="s">
        <v>498</v>
      </c>
      <c r="V45" s="10">
        <v>1</v>
      </c>
      <c r="W45" s="165">
        <f>IF(Tabla551[[#This Row],[Equipo ]]="","",INDEX(V_MENSUAL,MATCH(Tabla551[[#This Row],[Equipo ]],LISTA_MAQUINARIA,0)))</f>
        <v>5800000</v>
      </c>
      <c r="X45" s="12">
        <f>IF(Tabla551[[#This Row],[Equipo ]]="","",INDEX(CONSUMO_COMBUSTIBLE_H,MATCH(Tabla551[[#This Row],[Equipo ]],LISTA_MAQUINARIA,0)))</f>
        <v>0</v>
      </c>
      <c r="Y45" s="166">
        <f>IF(Tabla551[[#This Row],[Equipo ]]="","",INDEX(V_GALON,MATCH(Tabla551[[#This Row],[Equipo ]],LISTA_MAQUINARIA,0)))</f>
        <v>10800</v>
      </c>
      <c r="Z45" s="10"/>
      <c r="AA45" s="165">
        <f>IF(Tabla551[[#This Row],[Equipo ]]="","",Tabla551[[#This Row],[Valor mensual]]+Tabla551[[#This Row],[Combustible Hora ]]*Tabla551[[#This Row],[Valor galon]]*Tabla551[[#This Row],[Horas mes]])</f>
        <v>5800000</v>
      </c>
      <c r="AB45" s="168">
        <f>IF(Tabla551[[#This Row],[Valor mensual + Combustible]]="","",Tabla551[[#This Row],[Valor mensual + Combustible]]*Tabla551[[#This Row],[Cantidad]])</f>
        <v>5800000</v>
      </c>
      <c r="AD45" s="9"/>
      <c r="AE45" s="10"/>
      <c r="AF45" s="165" t="str">
        <f>IF(Tabla554[[#This Row],[Equipo ]]="","",INDEX(V_MENSUAL,MATCH(Tabla554[[#This Row],[Equipo ]],LISTA_MAQUINARIA,0)))</f>
        <v/>
      </c>
      <c r="AG45" s="12" t="str">
        <f>IF(Tabla554[[#This Row],[Equipo ]]="","",INDEX(CONSUMO_COMBUSTIBLE_H,MATCH(Tabla554[[#This Row],[Equipo ]],LISTA_MAQUINARIA,0)))</f>
        <v/>
      </c>
      <c r="AH45" s="166" t="str">
        <f>IF(Tabla554[[#This Row],[Equipo ]]="","",INDEX(V_GALON,MATCH(Tabla554[[#This Row],[Equipo ]],LISTA_MAQUINARIA,0)))</f>
        <v/>
      </c>
      <c r="AI45" s="10"/>
      <c r="AJ45" s="165" t="str">
        <f>IF(Tabla554[[#This Row],[Equipo ]]="","",Tabla554[[#This Row],[Valor mensual]]+Tabla554[[#This Row],[Combustible Hora ]]*Tabla554[[#This Row],[Valor galon]]*Tabla554[[#This Row],[Horas mes]])</f>
        <v/>
      </c>
      <c r="AK45" s="168" t="str">
        <f>IF(Tabla554[[#This Row],[Valor mensual + Combustible]]="","",Tabla554[[#This Row],[Valor mensual + Combustible]]*Tabla554[[#This Row],[Cantidad]])</f>
        <v/>
      </c>
      <c r="AN45" s="9"/>
      <c r="AO45" s="10"/>
      <c r="AP45" s="165" t="str">
        <f>IF(Tabla557[[#This Row],[Equipo ]]="","",INDEX(V_MENSUAL,MATCH(Tabla557[[#This Row],[Equipo ]],LISTA_MAQUINARIA,0)))</f>
        <v/>
      </c>
      <c r="AQ45" s="12" t="str">
        <f>IF(Tabla557[[#This Row],[Equipo ]]="","",INDEX(CONSUMO_COMBUSTIBLE_H,MATCH(Tabla557[[#This Row],[Equipo ]],LISTA_MAQUINARIA,0)))</f>
        <v/>
      </c>
      <c r="AR45" s="166" t="str">
        <f>IF(Tabla557[[#This Row],[Equipo ]]="","",INDEX(V_GALON,MATCH(Tabla557[[#This Row],[Equipo ]],LISTA_MAQUINARIA,0)))</f>
        <v/>
      </c>
      <c r="AS45" s="10"/>
      <c r="AT45" s="165" t="str">
        <f>IF(Tabla557[[#This Row],[Equipo ]]="","",Tabla557[[#This Row],[Valor mensual]]+Tabla557[[#This Row],[Combustible Hora ]]*Tabla557[[#This Row],[Valor galon]]*Tabla557[[#This Row],[Horas mes]])</f>
        <v/>
      </c>
      <c r="AU45" s="168" t="str">
        <f>IF(Tabla557[[#This Row],[Valor mensual + Combustible]]="","",Tabla557[[#This Row],[Valor mensual + Combustible]]*Tabla557[[#This Row],[Cantidad]])</f>
        <v/>
      </c>
      <c r="AX45" s="9"/>
      <c r="AY45" s="10"/>
      <c r="AZ45" s="165" t="str">
        <f>IF(Tabla560[[#This Row],[Equipo ]]="","",INDEX(V_MENSUAL,MATCH(Tabla560[[#This Row],[Equipo ]],LISTA_MAQUINARIA,0)))</f>
        <v/>
      </c>
      <c r="BA45" s="12" t="str">
        <f>IF(Tabla560[[#This Row],[Equipo ]]="","",INDEX(CONSUMO_COMBUSTIBLE_H,MATCH(Tabla560[[#This Row],[Equipo ]],LISTA_MAQUINARIA,0)))</f>
        <v/>
      </c>
      <c r="BB45" s="166" t="str">
        <f>IF(Tabla560[[#This Row],[Equipo ]]="","",INDEX(V_GALON,MATCH(Tabla560[[#This Row],[Equipo ]],LISTA_MAQUINARIA,0)))</f>
        <v/>
      </c>
      <c r="BC45" s="10"/>
      <c r="BD45" s="165" t="str">
        <f>IF(Tabla560[[#This Row],[Equipo ]]="","",Tabla560[[#This Row],[Valor mensual]]+Tabla560[[#This Row],[Combustible Hora ]]*Tabla560[[#This Row],[Valor galon]]*Tabla560[[#This Row],[Horas mes]])</f>
        <v/>
      </c>
      <c r="BE45" s="168" t="str">
        <f>IF(Tabla560[[#This Row],[Valor mensual + Combustible]]="","",Tabla560[[#This Row],[Valor mensual + Combustible]]*Tabla560[[#This Row],[Cantidad]])</f>
        <v/>
      </c>
      <c r="BH45" s="9"/>
      <c r="BI45" s="10"/>
      <c r="BJ45" s="165" t="str">
        <f>IF(Tabla563[[#This Row],[Equipo ]]="","",INDEX(V_MENSUAL,MATCH(Tabla563[[#This Row],[Equipo ]],LISTA_MAQUINARIA,0)))</f>
        <v/>
      </c>
      <c r="BK45" s="12" t="str">
        <f>IF(Tabla563[[#This Row],[Equipo ]]="","",INDEX(CONSUMO_COMBUSTIBLE_H,MATCH(Tabla563[[#This Row],[Equipo ]],LISTA_MAQUINARIA,0)))</f>
        <v/>
      </c>
      <c r="BL45" s="166" t="str">
        <f>IF(Tabla563[[#This Row],[Equipo ]]="","",INDEX(V_GALON,MATCH(Tabla563[[#This Row],[Equipo ]],LISTA_MAQUINARIA,0)))</f>
        <v/>
      </c>
      <c r="BM45" s="10"/>
      <c r="BN45" s="165" t="str">
        <f>IF(Tabla563[[#This Row],[Equipo ]]="","",Tabla563[[#This Row],[Valor mensual]]+Tabla563[[#This Row],[Combustible Hora ]]*Tabla563[[#This Row],[Valor galon]]*Tabla563[[#This Row],[Horas mes]])</f>
        <v/>
      </c>
      <c r="BO45" s="168" t="str">
        <f>IF(Tabla563[[#This Row],[Valor mensual + Combustible]]="","",Tabla563[[#This Row],[Valor mensual + Combustible]]*Tabla563[[#This Row],[Cantidad]])</f>
        <v/>
      </c>
      <c r="BR45" s="9"/>
      <c r="BS45" s="10"/>
      <c r="BT45" s="165" t="str">
        <f>IF(Tabla566[[#This Row],[Equipo ]]="","",INDEX(V_MENSUAL,MATCH(Tabla566[[#This Row],[Equipo ]],LISTA_MAQUINARIA,0)))</f>
        <v/>
      </c>
      <c r="BU45" s="12" t="str">
        <f>IF(Tabla566[[#This Row],[Equipo ]]="","",INDEX(CONSUMO_COMBUSTIBLE_H,MATCH(Tabla566[[#This Row],[Equipo ]],LISTA_MAQUINARIA,0)))</f>
        <v/>
      </c>
      <c r="BV45" s="166" t="str">
        <f>IF(Tabla566[[#This Row],[Equipo ]]="","",INDEX(V_GALON,MATCH(Tabla566[[#This Row],[Equipo ]],LISTA_MAQUINARIA,0)))</f>
        <v/>
      </c>
      <c r="BW45" s="10"/>
      <c r="BX45" s="165" t="str">
        <f>IF(Tabla566[[#This Row],[Equipo ]]="","",Tabla566[[#This Row],[Valor mensual]]+Tabla566[[#This Row],[Combustible Hora ]]*Tabla566[[#This Row],[Valor galon]]*Tabla566[[#This Row],[Horas mes]])</f>
        <v/>
      </c>
      <c r="BY45" s="168" t="str">
        <f>IF(Tabla566[[#This Row],[Valor mensual + Combustible]]="","",Tabla566[[#This Row],[Valor mensual + Combustible]]*Tabla566[[#This Row],[Cantidad]])</f>
        <v/>
      </c>
      <c r="CB45" s="9"/>
      <c r="CC45" s="10"/>
      <c r="CD45" s="165" t="str">
        <f>IF(Tabla569[[#This Row],[Equipo ]]="","",INDEX(V_MENSUAL,MATCH(Tabla569[[#This Row],[Equipo ]],LISTA_MAQUINARIA,0)))</f>
        <v/>
      </c>
      <c r="CE45" s="12" t="str">
        <f>IF(Tabla569[[#This Row],[Equipo ]]="","",INDEX(CONSUMO_COMBUSTIBLE_H,MATCH(Tabla569[[#This Row],[Equipo ]],LISTA_MAQUINARIA,0)))</f>
        <v/>
      </c>
      <c r="CF45" s="166" t="str">
        <f>IF(Tabla569[[#This Row],[Equipo ]]="","",INDEX(V_GALON,MATCH(Tabla569[[#This Row],[Equipo ]],LISTA_MAQUINARIA,0)))</f>
        <v/>
      </c>
      <c r="CG45" s="10"/>
      <c r="CH45" s="165" t="str">
        <f>IF(Tabla569[[#This Row],[Equipo ]]="","",Tabla569[[#This Row],[Valor mensual]]+Tabla569[[#This Row],[Combustible Hora ]]*Tabla569[[#This Row],[Valor galon]]*Tabla569[[#This Row],[Horas mes]])</f>
        <v/>
      </c>
      <c r="CI45" s="168" t="str">
        <f>IF(Tabla569[[#This Row],[Valor mensual + Combustible]]="","",Tabla569[[#This Row],[Valor mensual + Combustible]]*Tabla569[[#This Row],[Cantidad]])</f>
        <v/>
      </c>
      <c r="CL45" s="9"/>
      <c r="CM45" s="10"/>
      <c r="CN45" s="165" t="str">
        <f>IF(Tabla572[[#This Row],[Equipo ]]="","",INDEX(V_MENSUAL,MATCH(Tabla572[[#This Row],[Equipo ]],LISTA_MAQUINARIA,0)))</f>
        <v/>
      </c>
      <c r="CO45" s="12" t="str">
        <f>IF(Tabla572[[#This Row],[Equipo ]]="","",INDEX(CONSUMO_COMBUSTIBLE_H,MATCH(Tabla572[[#This Row],[Equipo ]],LISTA_MAQUINARIA,0)))</f>
        <v/>
      </c>
      <c r="CP45" s="166" t="str">
        <f>IF(Tabla572[[#This Row],[Equipo ]]="","",INDEX(V_GALON,MATCH(Tabla572[[#This Row],[Equipo ]],LISTA_MAQUINARIA,0)))</f>
        <v/>
      </c>
      <c r="CQ45" s="10"/>
      <c r="CR45" s="165" t="str">
        <f>IF(Tabla572[[#This Row],[Equipo ]]="","",Tabla572[[#This Row],[Valor mensual]]+Tabla572[[#This Row],[Combustible Hora ]]*Tabla572[[#This Row],[Valor galon]]*Tabla572[[#This Row],[Horas mes]])</f>
        <v/>
      </c>
      <c r="CS45" s="168" t="str">
        <f>IF(Tabla572[[#This Row],[Valor mensual + Combustible]]="","",Tabla572[[#This Row],[Valor mensual + Combustible]]*Tabla572[[#This Row],[Cantidad]])</f>
        <v/>
      </c>
      <c r="CV45" s="9"/>
      <c r="CW45" s="10"/>
      <c r="CX45" s="165" t="str">
        <f>IF(Tabla575[[#This Row],[Equipo ]]="","",INDEX(V_MENSUAL,MATCH(Tabla575[[#This Row],[Equipo ]],LISTA_MAQUINARIA,0)))</f>
        <v/>
      </c>
      <c r="CY45" s="12" t="str">
        <f>IF(Tabla575[[#This Row],[Equipo ]]="","",INDEX(CONSUMO_COMBUSTIBLE_H,MATCH(Tabla575[[#This Row],[Equipo ]],LISTA_MAQUINARIA,0)))</f>
        <v/>
      </c>
      <c r="CZ45" s="166" t="str">
        <f>IF(Tabla575[[#This Row],[Equipo ]]="","",INDEX(V_GALON,MATCH(Tabla575[[#This Row],[Equipo ]],LISTA_MAQUINARIA,0)))</f>
        <v/>
      </c>
      <c r="DA45" s="10"/>
      <c r="DB45" s="165" t="str">
        <f>IF(Tabla575[[#This Row],[Equipo ]]="","",Tabla575[[#This Row],[Valor mensual]]+Tabla575[[#This Row],[Combustible Hora ]]*Tabla575[[#This Row],[Valor galon]]*Tabla575[[#This Row],[Horas mes]])</f>
        <v/>
      </c>
      <c r="DC45" s="168" t="str">
        <f>IF(Tabla575[[#This Row],[Valor mensual + Combustible]]="","",Tabla575[[#This Row],[Valor mensual + Combustible]]*Tabla575[[#This Row],[Cantidad]])</f>
        <v/>
      </c>
      <c r="DF45" s="9"/>
      <c r="DG45" s="10"/>
      <c r="DH45" s="165" t="str">
        <f>IF(Tabla578[[#This Row],[Equipo ]]="","",INDEX(V_MENSUAL,MATCH(Tabla578[[#This Row],[Equipo ]],LISTA_MAQUINARIA,0)))</f>
        <v/>
      </c>
      <c r="DI45" s="12" t="str">
        <f>IF(Tabla578[[#This Row],[Equipo ]]="","",INDEX(CONSUMO_COMBUSTIBLE_H,MATCH(Tabla578[[#This Row],[Equipo ]],LISTA_MAQUINARIA,0)))</f>
        <v/>
      </c>
      <c r="DJ45" s="166" t="str">
        <f>IF(Tabla578[[#This Row],[Equipo ]]="","",INDEX(V_GALON,MATCH(Tabla578[[#This Row],[Equipo ]],LISTA_MAQUINARIA,0)))</f>
        <v/>
      </c>
      <c r="DK45" s="10"/>
      <c r="DL45" s="165" t="str">
        <f>IF(Tabla578[[#This Row],[Equipo ]]="","",Tabla578[[#This Row],[Valor mensual]]+Tabla578[[#This Row],[Combustible Hora ]]*Tabla578[[#This Row],[Valor galon]]*Tabla578[[#This Row],[Horas mes]])</f>
        <v/>
      </c>
      <c r="DM45" s="168" t="str">
        <f>IF(Tabla578[[#This Row],[Valor mensual + Combustible]]="","",Tabla578[[#This Row],[Valor mensual + Combustible]]*Tabla578[[#This Row],[Cantidad]])</f>
        <v/>
      </c>
      <c r="DP45" s="9"/>
      <c r="DQ45" s="10"/>
      <c r="DR45" s="165" t="str">
        <f>IF(Tabla581[[#This Row],[Equipo ]]="","",INDEX(V_MENSUAL,MATCH(Tabla581[[#This Row],[Equipo ]],LISTA_MAQUINARIA,0)))</f>
        <v/>
      </c>
      <c r="DS45" s="12" t="str">
        <f>IF(Tabla581[[#This Row],[Equipo ]]="","",INDEX(CONSUMO_COMBUSTIBLE_H,MATCH(Tabla581[[#This Row],[Equipo ]],LISTA_MAQUINARIA,0)))</f>
        <v/>
      </c>
      <c r="DT45" s="166" t="str">
        <f>IF(Tabla581[[#This Row],[Equipo ]]="","",INDEX(V_GALON,MATCH(Tabla581[[#This Row],[Equipo ]],LISTA_MAQUINARIA,0)))</f>
        <v/>
      </c>
      <c r="DU45" s="10"/>
      <c r="DV45" s="165" t="str">
        <f>IF(Tabla581[[#This Row],[Equipo ]]="","",Tabla581[[#This Row],[Valor mensual]]+Tabla581[[#This Row],[Combustible Hora ]]*Tabla581[[#This Row],[Valor galon]]*Tabla581[[#This Row],[Horas mes]])</f>
        <v/>
      </c>
      <c r="DW45" s="168" t="str">
        <f>IF(Tabla581[[#This Row],[Valor mensual + Combustible]]="","",Tabla581[[#This Row],[Valor mensual + Combustible]]*Tabla581[[#This Row],[Cantidad]])</f>
        <v/>
      </c>
      <c r="DZ45" s="9"/>
      <c r="EA45" s="10"/>
      <c r="EB45" s="165" t="str">
        <f>IF(Tabla584[[#This Row],[Equipo ]]="","",INDEX(V_MENSUAL,MATCH(Tabla584[[#This Row],[Equipo ]],LISTA_MAQUINARIA,0)))</f>
        <v/>
      </c>
      <c r="EC45" s="12" t="str">
        <f>IF(Tabla584[[#This Row],[Equipo ]]="","",INDEX(CONSUMO_COMBUSTIBLE_H,MATCH(Tabla584[[#This Row],[Equipo ]],LISTA_MAQUINARIA,0)))</f>
        <v/>
      </c>
      <c r="ED45" s="166" t="str">
        <f>IF(Tabla584[[#This Row],[Equipo ]]="","",INDEX(V_GALON,MATCH(Tabla584[[#This Row],[Equipo ]],LISTA_MAQUINARIA,0)))</f>
        <v/>
      </c>
      <c r="EE45" s="10"/>
      <c r="EF45" s="165" t="str">
        <f>IF(Tabla584[[#This Row],[Equipo ]]="","",Tabla584[[#This Row],[Valor mensual]]+Tabla584[[#This Row],[Combustible Hora ]]*Tabla584[[#This Row],[Valor galon]]*Tabla584[[#This Row],[Horas mes]])</f>
        <v/>
      </c>
      <c r="EG45" s="168" t="str">
        <f>IF(Tabla584[[#This Row],[Valor mensual + Combustible]]="","",Tabla584[[#This Row],[Valor mensual + Combustible]]*Tabla584[[#This Row],[Cantidad]])</f>
        <v/>
      </c>
      <c r="EJ45" s="9"/>
      <c r="EK45" s="10"/>
      <c r="EL45" s="165" t="str">
        <f>IF(Tabla587[[#This Row],[Equipo ]]="","",INDEX(V_MENSUAL,MATCH(Tabla587[[#This Row],[Equipo ]],LISTA_MAQUINARIA,0)))</f>
        <v/>
      </c>
      <c r="EM45" s="12" t="str">
        <f>IF(Tabla587[[#This Row],[Equipo ]]="","",INDEX(CONSUMO_COMBUSTIBLE_H,MATCH(Tabla587[[#This Row],[Equipo ]],LISTA_MAQUINARIA,0)))</f>
        <v/>
      </c>
      <c r="EN45" s="166" t="str">
        <f>IF(Tabla587[[#This Row],[Equipo ]]="","",INDEX(V_GALON,MATCH(Tabla587[[#This Row],[Equipo ]],LISTA_MAQUINARIA,0)))</f>
        <v/>
      </c>
      <c r="EO45" s="10"/>
      <c r="EP45" s="165" t="str">
        <f>IF(Tabla587[[#This Row],[Equipo ]]="","",Tabla587[[#This Row],[Valor mensual]]+Tabla587[[#This Row],[Combustible Hora ]]*Tabla587[[#This Row],[Valor galon]]*Tabla587[[#This Row],[Horas mes]])</f>
        <v/>
      </c>
      <c r="EQ45" s="168" t="str">
        <f>IF(Tabla587[[#This Row],[Valor mensual + Combustible]]="","",Tabla587[[#This Row],[Valor mensual + Combustible]]*Tabla587[[#This Row],[Cantidad]])</f>
        <v/>
      </c>
      <c r="ET45" s="9"/>
      <c r="EU45" s="10"/>
      <c r="EV45" s="165" t="str">
        <f>IF(Tabla590[[#This Row],[Equipo ]]="","",INDEX(V_MENSUAL,MATCH(Tabla590[[#This Row],[Equipo ]],LISTA_MAQUINARIA,0)))</f>
        <v/>
      </c>
      <c r="EW45" s="12" t="str">
        <f>IF(Tabla590[[#This Row],[Equipo ]]="","",INDEX(CONSUMO_COMBUSTIBLE_H,MATCH(Tabla590[[#This Row],[Equipo ]],LISTA_MAQUINARIA,0)))</f>
        <v/>
      </c>
      <c r="EX45" s="166" t="str">
        <f>IF(Tabla590[[#This Row],[Equipo ]]="","",INDEX(V_GALON,MATCH(Tabla590[[#This Row],[Equipo ]],LISTA_MAQUINARIA,0)))</f>
        <v/>
      </c>
      <c r="EY45" s="10"/>
      <c r="EZ45" s="165" t="str">
        <f>IF(Tabla590[[#This Row],[Equipo ]]="","",Tabla590[[#This Row],[Valor mensual]]+Tabla590[[#This Row],[Combustible Hora ]]*Tabla590[[#This Row],[Valor galon]]*Tabla590[[#This Row],[Horas mes]])</f>
        <v/>
      </c>
      <c r="FA45" s="168" t="str">
        <f>IF(Tabla590[[#This Row],[Valor mensual + Combustible]]="","",Tabla590[[#This Row],[Valor mensual + Combustible]]*Tabla590[[#This Row],[Cantidad]])</f>
        <v/>
      </c>
      <c r="FD45" s="9"/>
      <c r="FE45" s="10"/>
      <c r="FF45" s="165" t="str">
        <f>IF(Tabla593[[#This Row],[Equipo ]]="","",INDEX(V_MENSUAL,MATCH(Tabla593[[#This Row],[Equipo ]],LISTA_MAQUINARIA,0)))</f>
        <v/>
      </c>
      <c r="FG45" s="12" t="str">
        <f>IF(Tabla593[[#This Row],[Equipo ]]="","",INDEX(CONSUMO_COMBUSTIBLE_H,MATCH(Tabla593[[#This Row],[Equipo ]],LISTA_MAQUINARIA,0)))</f>
        <v/>
      </c>
      <c r="FH45" s="166" t="str">
        <f>IF(Tabla593[[#This Row],[Equipo ]]="","",INDEX(V_GALON,MATCH(Tabla593[[#This Row],[Equipo ]],LISTA_MAQUINARIA,0)))</f>
        <v/>
      </c>
      <c r="FI45" s="10"/>
      <c r="FJ45" s="165" t="str">
        <f>IF(Tabla593[[#This Row],[Equipo ]]="","",Tabla593[[#This Row],[Valor mensual]]+Tabla593[[#This Row],[Combustible Hora ]]*Tabla593[[#This Row],[Valor galon]]*Tabla593[[#This Row],[Horas mes]])</f>
        <v/>
      </c>
      <c r="FK45" s="168" t="str">
        <f>IF(Tabla593[[#This Row],[Valor mensual + Combustible]]="","",Tabla593[[#This Row],[Valor mensual + Combustible]]*Tabla593[[#This Row],[Cantidad]])</f>
        <v/>
      </c>
      <c r="FN45" s="9"/>
      <c r="FO45" s="10"/>
      <c r="FP45" s="165" t="str">
        <f>IF(Tabla596[[#This Row],[Equipo ]]="","",INDEX(V_MENSUAL,MATCH(Tabla596[[#This Row],[Equipo ]],LISTA_MAQUINARIA,0)))</f>
        <v/>
      </c>
      <c r="FQ45" s="12" t="str">
        <f>IF(Tabla596[[#This Row],[Equipo ]]="","",INDEX(CONSUMO_COMBUSTIBLE_H,MATCH(Tabla596[[#This Row],[Equipo ]],LISTA_MAQUINARIA,0)))</f>
        <v/>
      </c>
      <c r="FR45" s="166" t="str">
        <f>IF(Tabla596[[#This Row],[Equipo ]]="","",INDEX(V_GALON,MATCH(Tabla596[[#This Row],[Equipo ]],LISTA_MAQUINARIA,0)))</f>
        <v/>
      </c>
      <c r="FS45" s="10"/>
      <c r="FT45" s="165" t="str">
        <f>IF(Tabla596[[#This Row],[Equipo ]]="","",Tabla596[[#This Row],[Valor mensual]]+Tabla596[[#This Row],[Combustible Hora ]]*Tabla596[[#This Row],[Valor galon]]*Tabla596[[#This Row],[Horas mes]])</f>
        <v/>
      </c>
      <c r="FU45" s="168" t="str">
        <f>IF(Tabla596[[#This Row],[Valor mensual + Combustible]]="","",Tabla596[[#This Row],[Valor mensual + Combustible]]*Tabla596[[#This Row],[Cantidad]])</f>
        <v/>
      </c>
    </row>
    <row r="46" spans="1:177" x14ac:dyDescent="0.3">
      <c r="A46" s="9"/>
      <c r="B46" s="10"/>
      <c r="C46" s="165" t="str">
        <f>IF(Tabla5[[#This Row],[Equipo ]]="","",INDEX(V_MENSUAL,MATCH(Tabla5[[#This Row],[Equipo ]],LISTA_MAQUINARIA,0)))</f>
        <v/>
      </c>
      <c r="D46" s="12" t="str">
        <f>IF(Tabla5[[#This Row],[Equipo ]]="","",INDEX(CONSUMO_COMBUSTIBLE_H,MATCH(Tabla5[[#This Row],[Equipo ]],LISTA_MAQUINARIA,0)))</f>
        <v/>
      </c>
      <c r="E46" s="166" t="str">
        <f>IF(Tabla5[[#This Row],[Equipo ]]="","",INDEX(V_GALON,MATCH(Tabla5[[#This Row],[Equipo ]],LISTA_MAQUINARIA,0)))</f>
        <v/>
      </c>
      <c r="F46" s="10"/>
      <c r="G46" s="165" t="str">
        <f>IF(Tabla5[[#This Row],[Equipo ]]="","",Tabla5[[#This Row],[Valor mensual]]+Tabla5[[#This Row],[Combustible Hora ]]*Tabla5[[#This Row],[Valor galon]]*Tabla5[[#This Row],[Horas mes]])</f>
        <v/>
      </c>
      <c r="H46" s="168" t="str">
        <f>IF(Tabla5[[#This Row],[Valor mensual + Combustible]]="","",Tabla5[[#This Row],[Valor mensual + Combustible]]*Tabla5[[#This Row],[Cantidad]])</f>
        <v/>
      </c>
      <c r="K46" s="9"/>
      <c r="L46" s="10"/>
      <c r="M46" s="165" t="str" cm="1">
        <f t="array" ref="M46">IF(Tabla548[[#This Row],[Equipo ]]="","",INDEX(V_MENSUAL,MATCH(Tabla548[[#This Row],[Equipo ]],LISTA_MAQUINARIA,0)))</f>
        <v/>
      </c>
      <c r="N46" s="12" t="str">
        <f>IF(Tabla548[[#This Row],[Equipo ]]="","",INDEX(CONSUMO_COMBUSTIBLE_H,MATCH(Tabla548[[#This Row],[Equipo ]],LISTA_MAQUINARIA,0)))</f>
        <v/>
      </c>
      <c r="O46" s="166" t="str">
        <f>IF(Tabla548[[#This Row],[Equipo ]]="","",INDEX(V_GALON,MATCH(Tabla548[[#This Row],[Equipo ]],LISTA_MAQUINARIA,0)))</f>
        <v/>
      </c>
      <c r="P46" s="10"/>
      <c r="Q46" s="165" t="str">
        <f>IF(Tabla548[[#This Row],[Equipo ]]="","",Tabla548[[#This Row],[Valor mensual]]+Tabla548[[#This Row],[Combustible Hora ]]*Tabla548[[#This Row],[Valor galon]]*Tabla548[[#This Row],[Horas mes]])</f>
        <v/>
      </c>
      <c r="R46" s="168" t="str">
        <f>IF(Tabla548[[#This Row],[Valor mensual + Combustible]]="","",Tabla548[[#This Row],[Valor mensual + Combustible]]*Tabla548[[#This Row],[Cantidad]])</f>
        <v/>
      </c>
      <c r="U46" s="9"/>
      <c r="V46" s="10"/>
      <c r="W46" s="165" t="str">
        <f>IF(Tabla551[[#This Row],[Equipo ]]="","",INDEX(V_MENSUAL,MATCH(Tabla551[[#This Row],[Equipo ]],LISTA_MAQUINARIA,0)))</f>
        <v/>
      </c>
      <c r="X46" s="12" t="str">
        <f>IF(Tabla551[[#This Row],[Equipo ]]="","",INDEX(CONSUMO_COMBUSTIBLE_H,MATCH(Tabla551[[#This Row],[Equipo ]],LISTA_MAQUINARIA,0)))</f>
        <v/>
      </c>
      <c r="Y46" s="166" t="str">
        <f>IF(Tabla551[[#This Row],[Equipo ]]="","",INDEX(V_GALON,MATCH(Tabla551[[#This Row],[Equipo ]],LISTA_MAQUINARIA,0)))</f>
        <v/>
      </c>
      <c r="Z46" s="10"/>
      <c r="AA46" s="165" t="str">
        <f>IF(Tabla551[[#This Row],[Equipo ]]="","",Tabla551[[#This Row],[Valor mensual]]+Tabla551[[#This Row],[Combustible Hora ]]*Tabla551[[#This Row],[Valor galon]]*Tabla551[[#This Row],[Horas mes]])</f>
        <v/>
      </c>
      <c r="AB46" s="168" t="str">
        <f>IF(Tabla551[[#This Row],[Valor mensual + Combustible]]="","",Tabla551[[#This Row],[Valor mensual + Combustible]]*Tabla551[[#This Row],[Cantidad]])</f>
        <v/>
      </c>
      <c r="AD46" s="9"/>
      <c r="AE46" s="10"/>
      <c r="AF46" s="165" t="str">
        <f>IF(Tabla554[[#This Row],[Equipo ]]="","",INDEX(V_MENSUAL,MATCH(Tabla554[[#This Row],[Equipo ]],LISTA_MAQUINARIA,0)))</f>
        <v/>
      </c>
      <c r="AG46" s="12" t="str">
        <f>IF(Tabla554[[#This Row],[Equipo ]]="","",INDEX(CONSUMO_COMBUSTIBLE_H,MATCH(Tabla554[[#This Row],[Equipo ]],LISTA_MAQUINARIA,0)))</f>
        <v/>
      </c>
      <c r="AH46" s="166" t="str">
        <f>IF(Tabla554[[#This Row],[Equipo ]]="","",INDEX(V_GALON,MATCH(Tabla554[[#This Row],[Equipo ]],LISTA_MAQUINARIA,0)))</f>
        <v/>
      </c>
      <c r="AI46" s="10"/>
      <c r="AJ46" s="165" t="str">
        <f>IF(Tabla554[[#This Row],[Equipo ]]="","",Tabla554[[#This Row],[Valor mensual]]+Tabla554[[#This Row],[Combustible Hora ]]*Tabla554[[#This Row],[Valor galon]]*Tabla554[[#This Row],[Horas mes]])</f>
        <v/>
      </c>
      <c r="AK46" s="168" t="str">
        <f>IF(Tabla554[[#This Row],[Valor mensual + Combustible]]="","",Tabla554[[#This Row],[Valor mensual + Combustible]]*Tabla554[[#This Row],[Cantidad]])</f>
        <v/>
      </c>
      <c r="AN46" s="9"/>
      <c r="AO46" s="10"/>
      <c r="AP46" s="165" t="str">
        <f>IF(Tabla557[[#This Row],[Equipo ]]="","",INDEX(V_MENSUAL,MATCH(Tabla557[[#This Row],[Equipo ]],LISTA_MAQUINARIA,0)))</f>
        <v/>
      </c>
      <c r="AQ46" s="12" t="str">
        <f>IF(Tabla557[[#This Row],[Equipo ]]="","",INDEX(CONSUMO_COMBUSTIBLE_H,MATCH(Tabla557[[#This Row],[Equipo ]],LISTA_MAQUINARIA,0)))</f>
        <v/>
      </c>
      <c r="AR46" s="166" t="str">
        <f>IF(Tabla557[[#This Row],[Equipo ]]="","",INDEX(V_GALON,MATCH(Tabla557[[#This Row],[Equipo ]],LISTA_MAQUINARIA,0)))</f>
        <v/>
      </c>
      <c r="AS46" s="10"/>
      <c r="AT46" s="165" t="str">
        <f>IF(Tabla557[[#This Row],[Equipo ]]="","",Tabla557[[#This Row],[Valor mensual]]+Tabla557[[#This Row],[Combustible Hora ]]*Tabla557[[#This Row],[Valor galon]]*Tabla557[[#This Row],[Horas mes]])</f>
        <v/>
      </c>
      <c r="AU46" s="168" t="str">
        <f>IF(Tabla557[[#This Row],[Valor mensual + Combustible]]="","",Tabla557[[#This Row],[Valor mensual + Combustible]]*Tabla557[[#This Row],[Cantidad]])</f>
        <v/>
      </c>
      <c r="AX46" s="9"/>
      <c r="AY46" s="10"/>
      <c r="AZ46" s="165" t="str">
        <f>IF(Tabla560[[#This Row],[Equipo ]]="","",INDEX(V_MENSUAL,MATCH(Tabla560[[#This Row],[Equipo ]],LISTA_MAQUINARIA,0)))</f>
        <v/>
      </c>
      <c r="BA46" s="12" t="str">
        <f>IF(Tabla560[[#This Row],[Equipo ]]="","",INDEX(CONSUMO_COMBUSTIBLE_H,MATCH(Tabla560[[#This Row],[Equipo ]],LISTA_MAQUINARIA,0)))</f>
        <v/>
      </c>
      <c r="BB46" s="166" t="str">
        <f>IF(Tabla560[[#This Row],[Equipo ]]="","",INDEX(V_GALON,MATCH(Tabla560[[#This Row],[Equipo ]],LISTA_MAQUINARIA,0)))</f>
        <v/>
      </c>
      <c r="BC46" s="10"/>
      <c r="BD46" s="165" t="str">
        <f>IF(Tabla560[[#This Row],[Equipo ]]="","",Tabla560[[#This Row],[Valor mensual]]+Tabla560[[#This Row],[Combustible Hora ]]*Tabla560[[#This Row],[Valor galon]]*Tabla560[[#This Row],[Horas mes]])</f>
        <v/>
      </c>
      <c r="BE46" s="168" t="str">
        <f>IF(Tabla560[[#This Row],[Valor mensual + Combustible]]="","",Tabla560[[#This Row],[Valor mensual + Combustible]]*Tabla560[[#This Row],[Cantidad]])</f>
        <v/>
      </c>
      <c r="BH46" s="9"/>
      <c r="BI46" s="10"/>
      <c r="BJ46" s="165" t="str">
        <f>IF(Tabla563[[#This Row],[Equipo ]]="","",INDEX(V_MENSUAL,MATCH(Tabla563[[#This Row],[Equipo ]],LISTA_MAQUINARIA,0)))</f>
        <v/>
      </c>
      <c r="BK46" s="12" t="str">
        <f>IF(Tabla563[[#This Row],[Equipo ]]="","",INDEX(CONSUMO_COMBUSTIBLE_H,MATCH(Tabla563[[#This Row],[Equipo ]],LISTA_MAQUINARIA,0)))</f>
        <v/>
      </c>
      <c r="BL46" s="166" t="str">
        <f>IF(Tabla563[[#This Row],[Equipo ]]="","",INDEX(V_GALON,MATCH(Tabla563[[#This Row],[Equipo ]],LISTA_MAQUINARIA,0)))</f>
        <v/>
      </c>
      <c r="BM46" s="10"/>
      <c r="BN46" s="165" t="str">
        <f>IF(Tabla563[[#This Row],[Equipo ]]="","",Tabla563[[#This Row],[Valor mensual]]+Tabla563[[#This Row],[Combustible Hora ]]*Tabla563[[#This Row],[Valor galon]]*Tabla563[[#This Row],[Horas mes]])</f>
        <v/>
      </c>
      <c r="BO46" s="168" t="str">
        <f>IF(Tabla563[[#This Row],[Valor mensual + Combustible]]="","",Tabla563[[#This Row],[Valor mensual + Combustible]]*Tabla563[[#This Row],[Cantidad]])</f>
        <v/>
      </c>
      <c r="BR46" s="9"/>
      <c r="BS46" s="10"/>
      <c r="BT46" s="165" t="str">
        <f>IF(Tabla566[[#This Row],[Equipo ]]="","",INDEX(V_MENSUAL,MATCH(Tabla566[[#This Row],[Equipo ]],LISTA_MAQUINARIA,0)))</f>
        <v/>
      </c>
      <c r="BU46" s="12" t="str">
        <f>IF(Tabla566[[#This Row],[Equipo ]]="","",INDEX(CONSUMO_COMBUSTIBLE_H,MATCH(Tabla566[[#This Row],[Equipo ]],LISTA_MAQUINARIA,0)))</f>
        <v/>
      </c>
      <c r="BV46" s="166" t="str">
        <f>IF(Tabla566[[#This Row],[Equipo ]]="","",INDEX(V_GALON,MATCH(Tabla566[[#This Row],[Equipo ]],LISTA_MAQUINARIA,0)))</f>
        <v/>
      </c>
      <c r="BW46" s="10"/>
      <c r="BX46" s="165" t="str">
        <f>IF(Tabla566[[#This Row],[Equipo ]]="","",Tabla566[[#This Row],[Valor mensual]]+Tabla566[[#This Row],[Combustible Hora ]]*Tabla566[[#This Row],[Valor galon]]*Tabla566[[#This Row],[Horas mes]])</f>
        <v/>
      </c>
      <c r="BY46" s="168" t="str">
        <f>IF(Tabla566[[#This Row],[Valor mensual + Combustible]]="","",Tabla566[[#This Row],[Valor mensual + Combustible]]*Tabla566[[#This Row],[Cantidad]])</f>
        <v/>
      </c>
      <c r="CB46" s="9"/>
      <c r="CC46" s="10"/>
      <c r="CD46" s="165" t="str">
        <f>IF(Tabla569[[#This Row],[Equipo ]]="","",INDEX(V_MENSUAL,MATCH(Tabla569[[#This Row],[Equipo ]],LISTA_MAQUINARIA,0)))</f>
        <v/>
      </c>
      <c r="CE46" s="12" t="str">
        <f>IF(Tabla569[[#This Row],[Equipo ]]="","",INDEX(CONSUMO_COMBUSTIBLE_H,MATCH(Tabla569[[#This Row],[Equipo ]],LISTA_MAQUINARIA,0)))</f>
        <v/>
      </c>
      <c r="CF46" s="166" t="str">
        <f>IF(Tabla569[[#This Row],[Equipo ]]="","",INDEX(V_GALON,MATCH(Tabla569[[#This Row],[Equipo ]],LISTA_MAQUINARIA,0)))</f>
        <v/>
      </c>
      <c r="CG46" s="10"/>
      <c r="CH46" s="165" t="str">
        <f>IF(Tabla569[[#This Row],[Equipo ]]="","",Tabla569[[#This Row],[Valor mensual]]+Tabla569[[#This Row],[Combustible Hora ]]*Tabla569[[#This Row],[Valor galon]]*Tabla569[[#This Row],[Horas mes]])</f>
        <v/>
      </c>
      <c r="CI46" s="168" t="str">
        <f>IF(Tabla569[[#This Row],[Valor mensual + Combustible]]="","",Tabla569[[#This Row],[Valor mensual + Combustible]]*Tabla569[[#This Row],[Cantidad]])</f>
        <v/>
      </c>
      <c r="CL46" s="9"/>
      <c r="CM46" s="10"/>
      <c r="CN46" s="165" t="str">
        <f>IF(Tabla572[[#This Row],[Equipo ]]="","",INDEX(V_MENSUAL,MATCH(Tabla572[[#This Row],[Equipo ]],LISTA_MAQUINARIA,0)))</f>
        <v/>
      </c>
      <c r="CO46" s="12" t="str">
        <f>IF(Tabla572[[#This Row],[Equipo ]]="","",INDEX(CONSUMO_COMBUSTIBLE_H,MATCH(Tabla572[[#This Row],[Equipo ]],LISTA_MAQUINARIA,0)))</f>
        <v/>
      </c>
      <c r="CP46" s="166" t="str">
        <f>IF(Tabla572[[#This Row],[Equipo ]]="","",INDEX(V_GALON,MATCH(Tabla572[[#This Row],[Equipo ]],LISTA_MAQUINARIA,0)))</f>
        <v/>
      </c>
      <c r="CQ46" s="10"/>
      <c r="CR46" s="165" t="str">
        <f>IF(Tabla572[[#This Row],[Equipo ]]="","",Tabla572[[#This Row],[Valor mensual]]+Tabla572[[#This Row],[Combustible Hora ]]*Tabla572[[#This Row],[Valor galon]]*Tabla572[[#This Row],[Horas mes]])</f>
        <v/>
      </c>
      <c r="CS46" s="168" t="str">
        <f>IF(Tabla572[[#This Row],[Valor mensual + Combustible]]="","",Tabla572[[#This Row],[Valor mensual + Combustible]]*Tabla572[[#This Row],[Cantidad]])</f>
        <v/>
      </c>
      <c r="CV46" s="9"/>
      <c r="CW46" s="10"/>
      <c r="CX46" s="165" t="str">
        <f>IF(Tabla575[[#This Row],[Equipo ]]="","",INDEX(V_MENSUAL,MATCH(Tabla575[[#This Row],[Equipo ]],LISTA_MAQUINARIA,0)))</f>
        <v/>
      </c>
      <c r="CY46" s="12" t="str">
        <f>IF(Tabla575[[#This Row],[Equipo ]]="","",INDEX(CONSUMO_COMBUSTIBLE_H,MATCH(Tabla575[[#This Row],[Equipo ]],LISTA_MAQUINARIA,0)))</f>
        <v/>
      </c>
      <c r="CZ46" s="166" t="str">
        <f>IF(Tabla575[[#This Row],[Equipo ]]="","",INDEX(V_GALON,MATCH(Tabla575[[#This Row],[Equipo ]],LISTA_MAQUINARIA,0)))</f>
        <v/>
      </c>
      <c r="DA46" s="10"/>
      <c r="DB46" s="165" t="str">
        <f>IF(Tabla575[[#This Row],[Equipo ]]="","",Tabla575[[#This Row],[Valor mensual]]+Tabla575[[#This Row],[Combustible Hora ]]*Tabla575[[#This Row],[Valor galon]]*Tabla575[[#This Row],[Horas mes]])</f>
        <v/>
      </c>
      <c r="DC46" s="168" t="str">
        <f>IF(Tabla575[[#This Row],[Valor mensual + Combustible]]="","",Tabla575[[#This Row],[Valor mensual + Combustible]]*Tabla575[[#This Row],[Cantidad]])</f>
        <v/>
      </c>
      <c r="DF46" s="9"/>
      <c r="DG46" s="10"/>
      <c r="DH46" s="165" t="str">
        <f>IF(Tabla578[[#This Row],[Equipo ]]="","",INDEX(V_MENSUAL,MATCH(Tabla578[[#This Row],[Equipo ]],LISTA_MAQUINARIA,0)))</f>
        <v/>
      </c>
      <c r="DI46" s="12" t="str">
        <f>IF(Tabla578[[#This Row],[Equipo ]]="","",INDEX(CONSUMO_COMBUSTIBLE_H,MATCH(Tabla578[[#This Row],[Equipo ]],LISTA_MAQUINARIA,0)))</f>
        <v/>
      </c>
      <c r="DJ46" s="166" t="str">
        <f>IF(Tabla578[[#This Row],[Equipo ]]="","",INDEX(V_GALON,MATCH(Tabla578[[#This Row],[Equipo ]],LISTA_MAQUINARIA,0)))</f>
        <v/>
      </c>
      <c r="DK46" s="10"/>
      <c r="DL46" s="165" t="str">
        <f>IF(Tabla578[[#This Row],[Equipo ]]="","",Tabla578[[#This Row],[Valor mensual]]+Tabla578[[#This Row],[Combustible Hora ]]*Tabla578[[#This Row],[Valor galon]]*Tabla578[[#This Row],[Horas mes]])</f>
        <v/>
      </c>
      <c r="DM46" s="168" t="str">
        <f>IF(Tabla578[[#This Row],[Valor mensual + Combustible]]="","",Tabla578[[#This Row],[Valor mensual + Combustible]]*Tabla578[[#This Row],[Cantidad]])</f>
        <v/>
      </c>
      <c r="DP46" s="9"/>
      <c r="DQ46" s="10"/>
      <c r="DR46" s="165" t="str">
        <f>IF(Tabla581[[#This Row],[Equipo ]]="","",INDEX(V_MENSUAL,MATCH(Tabla581[[#This Row],[Equipo ]],LISTA_MAQUINARIA,0)))</f>
        <v/>
      </c>
      <c r="DS46" s="12" t="str">
        <f>IF(Tabla581[[#This Row],[Equipo ]]="","",INDEX(CONSUMO_COMBUSTIBLE_H,MATCH(Tabla581[[#This Row],[Equipo ]],LISTA_MAQUINARIA,0)))</f>
        <v/>
      </c>
      <c r="DT46" s="166" t="str">
        <f>IF(Tabla581[[#This Row],[Equipo ]]="","",INDEX(V_GALON,MATCH(Tabla581[[#This Row],[Equipo ]],LISTA_MAQUINARIA,0)))</f>
        <v/>
      </c>
      <c r="DU46" s="10"/>
      <c r="DV46" s="165" t="str">
        <f>IF(Tabla581[[#This Row],[Equipo ]]="","",Tabla581[[#This Row],[Valor mensual]]+Tabla581[[#This Row],[Combustible Hora ]]*Tabla581[[#This Row],[Valor galon]]*Tabla581[[#This Row],[Horas mes]])</f>
        <v/>
      </c>
      <c r="DW46" s="168" t="str">
        <f>IF(Tabla581[[#This Row],[Valor mensual + Combustible]]="","",Tabla581[[#This Row],[Valor mensual + Combustible]]*Tabla581[[#This Row],[Cantidad]])</f>
        <v/>
      </c>
      <c r="DZ46" s="9"/>
      <c r="EA46" s="10"/>
      <c r="EB46" s="165" t="str">
        <f>IF(Tabla584[[#This Row],[Equipo ]]="","",INDEX(V_MENSUAL,MATCH(Tabla584[[#This Row],[Equipo ]],LISTA_MAQUINARIA,0)))</f>
        <v/>
      </c>
      <c r="EC46" s="12" t="str">
        <f>IF(Tabla584[[#This Row],[Equipo ]]="","",INDEX(CONSUMO_COMBUSTIBLE_H,MATCH(Tabla584[[#This Row],[Equipo ]],LISTA_MAQUINARIA,0)))</f>
        <v/>
      </c>
      <c r="ED46" s="166" t="str">
        <f>IF(Tabla584[[#This Row],[Equipo ]]="","",INDEX(V_GALON,MATCH(Tabla584[[#This Row],[Equipo ]],LISTA_MAQUINARIA,0)))</f>
        <v/>
      </c>
      <c r="EE46" s="10"/>
      <c r="EF46" s="165" t="str">
        <f>IF(Tabla584[[#This Row],[Equipo ]]="","",Tabla584[[#This Row],[Valor mensual]]+Tabla584[[#This Row],[Combustible Hora ]]*Tabla584[[#This Row],[Valor galon]]*Tabla584[[#This Row],[Horas mes]])</f>
        <v/>
      </c>
      <c r="EG46" s="168" t="str">
        <f>IF(Tabla584[[#This Row],[Valor mensual + Combustible]]="","",Tabla584[[#This Row],[Valor mensual + Combustible]]*Tabla584[[#This Row],[Cantidad]])</f>
        <v/>
      </c>
      <c r="EJ46" s="9"/>
      <c r="EK46" s="10"/>
      <c r="EL46" s="165" t="str">
        <f>IF(Tabla587[[#This Row],[Equipo ]]="","",INDEX(V_MENSUAL,MATCH(Tabla587[[#This Row],[Equipo ]],LISTA_MAQUINARIA,0)))</f>
        <v/>
      </c>
      <c r="EM46" s="12" t="str">
        <f>IF(Tabla587[[#This Row],[Equipo ]]="","",INDEX(CONSUMO_COMBUSTIBLE_H,MATCH(Tabla587[[#This Row],[Equipo ]],LISTA_MAQUINARIA,0)))</f>
        <v/>
      </c>
      <c r="EN46" s="166" t="str">
        <f>IF(Tabla587[[#This Row],[Equipo ]]="","",INDEX(V_GALON,MATCH(Tabla587[[#This Row],[Equipo ]],LISTA_MAQUINARIA,0)))</f>
        <v/>
      </c>
      <c r="EO46" s="10"/>
      <c r="EP46" s="165" t="str">
        <f>IF(Tabla587[[#This Row],[Equipo ]]="","",Tabla587[[#This Row],[Valor mensual]]+Tabla587[[#This Row],[Combustible Hora ]]*Tabla587[[#This Row],[Valor galon]]*Tabla587[[#This Row],[Horas mes]])</f>
        <v/>
      </c>
      <c r="EQ46" s="168" t="str">
        <f>IF(Tabla587[[#This Row],[Valor mensual + Combustible]]="","",Tabla587[[#This Row],[Valor mensual + Combustible]]*Tabla587[[#This Row],[Cantidad]])</f>
        <v/>
      </c>
      <c r="ET46" s="9"/>
      <c r="EU46" s="10"/>
      <c r="EV46" s="165" t="str">
        <f>IF(Tabla590[[#This Row],[Equipo ]]="","",INDEX(V_MENSUAL,MATCH(Tabla590[[#This Row],[Equipo ]],LISTA_MAQUINARIA,0)))</f>
        <v/>
      </c>
      <c r="EW46" s="12" t="str">
        <f>IF(Tabla590[[#This Row],[Equipo ]]="","",INDEX(CONSUMO_COMBUSTIBLE_H,MATCH(Tabla590[[#This Row],[Equipo ]],LISTA_MAQUINARIA,0)))</f>
        <v/>
      </c>
      <c r="EX46" s="166" t="str">
        <f>IF(Tabla590[[#This Row],[Equipo ]]="","",INDEX(V_GALON,MATCH(Tabla590[[#This Row],[Equipo ]],LISTA_MAQUINARIA,0)))</f>
        <v/>
      </c>
      <c r="EY46" s="10"/>
      <c r="EZ46" s="165" t="str">
        <f>IF(Tabla590[[#This Row],[Equipo ]]="","",Tabla590[[#This Row],[Valor mensual]]+Tabla590[[#This Row],[Combustible Hora ]]*Tabla590[[#This Row],[Valor galon]]*Tabla590[[#This Row],[Horas mes]])</f>
        <v/>
      </c>
      <c r="FA46" s="168" t="str">
        <f>IF(Tabla590[[#This Row],[Valor mensual + Combustible]]="","",Tabla590[[#This Row],[Valor mensual + Combustible]]*Tabla590[[#This Row],[Cantidad]])</f>
        <v/>
      </c>
      <c r="FD46" s="9"/>
      <c r="FE46" s="10"/>
      <c r="FF46" s="165" t="str">
        <f>IF(Tabla593[[#This Row],[Equipo ]]="","",INDEX(V_MENSUAL,MATCH(Tabla593[[#This Row],[Equipo ]],LISTA_MAQUINARIA,0)))</f>
        <v/>
      </c>
      <c r="FG46" s="12" t="str">
        <f>IF(Tabla593[[#This Row],[Equipo ]]="","",INDEX(CONSUMO_COMBUSTIBLE_H,MATCH(Tabla593[[#This Row],[Equipo ]],LISTA_MAQUINARIA,0)))</f>
        <v/>
      </c>
      <c r="FH46" s="166" t="str">
        <f>IF(Tabla593[[#This Row],[Equipo ]]="","",INDEX(V_GALON,MATCH(Tabla593[[#This Row],[Equipo ]],LISTA_MAQUINARIA,0)))</f>
        <v/>
      </c>
      <c r="FI46" s="10"/>
      <c r="FJ46" s="165" t="str">
        <f>IF(Tabla593[[#This Row],[Equipo ]]="","",Tabla593[[#This Row],[Valor mensual]]+Tabla593[[#This Row],[Combustible Hora ]]*Tabla593[[#This Row],[Valor galon]]*Tabla593[[#This Row],[Horas mes]])</f>
        <v/>
      </c>
      <c r="FK46" s="168" t="str">
        <f>IF(Tabla593[[#This Row],[Valor mensual + Combustible]]="","",Tabla593[[#This Row],[Valor mensual + Combustible]]*Tabla593[[#This Row],[Cantidad]])</f>
        <v/>
      </c>
      <c r="FN46" s="9"/>
      <c r="FO46" s="10"/>
      <c r="FP46" s="165" t="str">
        <f>IF(Tabla596[[#This Row],[Equipo ]]="","",INDEX(V_MENSUAL,MATCH(Tabla596[[#This Row],[Equipo ]],LISTA_MAQUINARIA,0)))</f>
        <v/>
      </c>
      <c r="FQ46" s="12" t="str">
        <f>IF(Tabla596[[#This Row],[Equipo ]]="","",INDEX(CONSUMO_COMBUSTIBLE_H,MATCH(Tabla596[[#This Row],[Equipo ]],LISTA_MAQUINARIA,0)))</f>
        <v/>
      </c>
      <c r="FR46" s="166" t="str">
        <f>IF(Tabla596[[#This Row],[Equipo ]]="","",INDEX(V_GALON,MATCH(Tabla596[[#This Row],[Equipo ]],LISTA_MAQUINARIA,0)))</f>
        <v/>
      </c>
      <c r="FS46" s="10"/>
      <c r="FT46" s="165" t="str">
        <f>IF(Tabla596[[#This Row],[Equipo ]]="","",Tabla596[[#This Row],[Valor mensual]]+Tabla596[[#This Row],[Combustible Hora ]]*Tabla596[[#This Row],[Valor galon]]*Tabla596[[#This Row],[Horas mes]])</f>
        <v/>
      </c>
      <c r="FU46" s="168" t="str">
        <f>IF(Tabla596[[#This Row],[Valor mensual + Combustible]]="","",Tabla596[[#This Row],[Valor mensual + Combustible]]*Tabla596[[#This Row],[Cantidad]])</f>
        <v/>
      </c>
    </row>
    <row r="47" spans="1:177" x14ac:dyDescent="0.3">
      <c r="A47" s="9"/>
      <c r="B47" s="10"/>
      <c r="C47" s="165" t="str">
        <f>IF(Tabla5[[#This Row],[Equipo ]]="","",INDEX(V_MENSUAL,MATCH(Tabla5[[#This Row],[Equipo ]],LISTA_MAQUINARIA,0)))</f>
        <v/>
      </c>
      <c r="D47" s="12" t="str">
        <f>IF(Tabla5[[#This Row],[Equipo ]]="","",INDEX(CONSUMO_COMBUSTIBLE_H,MATCH(Tabla5[[#This Row],[Equipo ]],LISTA_MAQUINARIA,0)))</f>
        <v/>
      </c>
      <c r="E47" s="166" t="str">
        <f>IF(Tabla5[[#This Row],[Equipo ]]="","",INDEX(V_GALON,MATCH(Tabla5[[#This Row],[Equipo ]],LISTA_MAQUINARIA,0)))</f>
        <v/>
      </c>
      <c r="F47" s="10"/>
      <c r="G47" s="165" t="str">
        <f>IF(Tabla5[[#This Row],[Equipo ]]="","",Tabla5[[#This Row],[Valor mensual]]+Tabla5[[#This Row],[Combustible Hora ]]*Tabla5[[#This Row],[Valor galon]]*Tabla5[[#This Row],[Horas mes]])</f>
        <v/>
      </c>
      <c r="H47" s="168" t="str">
        <f>IF(Tabla5[[#This Row],[Valor mensual + Combustible]]="","",Tabla5[[#This Row],[Valor mensual + Combustible]]*Tabla5[[#This Row],[Cantidad]])</f>
        <v/>
      </c>
      <c r="K47" s="9"/>
      <c r="L47" s="10"/>
      <c r="M47" s="165" t="str" cm="1">
        <f t="array" ref="M47">IF(Tabla548[[#This Row],[Equipo ]]="","",INDEX(V_MENSUAL,MATCH(Tabla548[[#This Row],[Equipo ]],LISTA_MAQUINARIA,0)))</f>
        <v/>
      </c>
      <c r="N47" s="12" t="str">
        <f>IF(Tabla548[[#This Row],[Equipo ]]="","",INDEX(CONSUMO_COMBUSTIBLE_H,MATCH(Tabla548[[#This Row],[Equipo ]],LISTA_MAQUINARIA,0)))</f>
        <v/>
      </c>
      <c r="O47" s="166" t="str">
        <f>IF(Tabla548[[#This Row],[Equipo ]]="","",INDEX(V_GALON,MATCH(Tabla548[[#This Row],[Equipo ]],LISTA_MAQUINARIA,0)))</f>
        <v/>
      </c>
      <c r="P47" s="10"/>
      <c r="Q47" s="165" t="str">
        <f>IF(Tabla548[[#This Row],[Equipo ]]="","",Tabla548[[#This Row],[Valor mensual]]+Tabla548[[#This Row],[Combustible Hora ]]*Tabla548[[#This Row],[Valor galon]]*Tabla548[[#This Row],[Horas mes]])</f>
        <v/>
      </c>
      <c r="R47" s="168" t="str">
        <f>IF(Tabla548[[#This Row],[Valor mensual + Combustible]]="","",Tabla548[[#This Row],[Valor mensual + Combustible]]*Tabla548[[#This Row],[Cantidad]])</f>
        <v/>
      </c>
      <c r="U47" s="9"/>
      <c r="V47" s="10"/>
      <c r="W47" s="165" t="str">
        <f>IF(Tabla551[[#This Row],[Equipo ]]="","",INDEX(V_MENSUAL,MATCH(Tabla551[[#This Row],[Equipo ]],LISTA_MAQUINARIA,0)))</f>
        <v/>
      </c>
      <c r="X47" s="12" t="str">
        <f>IF(Tabla551[[#This Row],[Equipo ]]="","",INDEX(CONSUMO_COMBUSTIBLE_H,MATCH(Tabla551[[#This Row],[Equipo ]],LISTA_MAQUINARIA,0)))</f>
        <v/>
      </c>
      <c r="Y47" s="166" t="str">
        <f>IF(Tabla551[[#This Row],[Equipo ]]="","",INDEX(V_GALON,MATCH(Tabla551[[#This Row],[Equipo ]],LISTA_MAQUINARIA,0)))</f>
        <v/>
      </c>
      <c r="Z47" s="10"/>
      <c r="AA47" s="165" t="str">
        <f>IF(Tabla551[[#This Row],[Equipo ]]="","",Tabla551[[#This Row],[Valor mensual]]+Tabla551[[#This Row],[Combustible Hora ]]*Tabla551[[#This Row],[Valor galon]]*Tabla551[[#This Row],[Horas mes]])</f>
        <v/>
      </c>
      <c r="AB47" s="168" t="str">
        <f>IF(Tabla551[[#This Row],[Valor mensual + Combustible]]="","",Tabla551[[#This Row],[Valor mensual + Combustible]]*Tabla551[[#This Row],[Cantidad]])</f>
        <v/>
      </c>
      <c r="AD47" s="9"/>
      <c r="AE47" s="10"/>
      <c r="AF47" s="165" t="str">
        <f>IF(Tabla554[[#This Row],[Equipo ]]="","",INDEX(V_MENSUAL,MATCH(Tabla554[[#This Row],[Equipo ]],LISTA_MAQUINARIA,0)))</f>
        <v/>
      </c>
      <c r="AG47" s="12" t="str">
        <f>IF(Tabla554[[#This Row],[Equipo ]]="","",INDEX(CONSUMO_COMBUSTIBLE_H,MATCH(Tabla554[[#This Row],[Equipo ]],LISTA_MAQUINARIA,0)))</f>
        <v/>
      </c>
      <c r="AH47" s="166" t="str">
        <f>IF(Tabla554[[#This Row],[Equipo ]]="","",INDEX(V_GALON,MATCH(Tabla554[[#This Row],[Equipo ]],LISTA_MAQUINARIA,0)))</f>
        <v/>
      </c>
      <c r="AI47" s="10"/>
      <c r="AJ47" s="165" t="str">
        <f>IF(Tabla554[[#This Row],[Equipo ]]="","",Tabla554[[#This Row],[Valor mensual]]+Tabla554[[#This Row],[Combustible Hora ]]*Tabla554[[#This Row],[Valor galon]]*Tabla554[[#This Row],[Horas mes]])</f>
        <v/>
      </c>
      <c r="AK47" s="168" t="str">
        <f>IF(Tabla554[[#This Row],[Valor mensual + Combustible]]="","",Tabla554[[#This Row],[Valor mensual + Combustible]]*Tabla554[[#This Row],[Cantidad]])</f>
        <v/>
      </c>
      <c r="AN47" s="9"/>
      <c r="AO47" s="10"/>
      <c r="AP47" s="165" t="str">
        <f>IF(Tabla557[[#This Row],[Equipo ]]="","",INDEX(V_MENSUAL,MATCH(Tabla557[[#This Row],[Equipo ]],LISTA_MAQUINARIA,0)))</f>
        <v/>
      </c>
      <c r="AQ47" s="12" t="str">
        <f>IF(Tabla557[[#This Row],[Equipo ]]="","",INDEX(CONSUMO_COMBUSTIBLE_H,MATCH(Tabla557[[#This Row],[Equipo ]],LISTA_MAQUINARIA,0)))</f>
        <v/>
      </c>
      <c r="AR47" s="166" t="str">
        <f>IF(Tabla557[[#This Row],[Equipo ]]="","",INDEX(V_GALON,MATCH(Tabla557[[#This Row],[Equipo ]],LISTA_MAQUINARIA,0)))</f>
        <v/>
      </c>
      <c r="AS47" s="10"/>
      <c r="AT47" s="165" t="str">
        <f>IF(Tabla557[[#This Row],[Equipo ]]="","",Tabla557[[#This Row],[Valor mensual]]+Tabla557[[#This Row],[Combustible Hora ]]*Tabla557[[#This Row],[Valor galon]]*Tabla557[[#This Row],[Horas mes]])</f>
        <v/>
      </c>
      <c r="AU47" s="168" t="str">
        <f>IF(Tabla557[[#This Row],[Valor mensual + Combustible]]="","",Tabla557[[#This Row],[Valor mensual + Combustible]]*Tabla557[[#This Row],[Cantidad]])</f>
        <v/>
      </c>
      <c r="AX47" s="9"/>
      <c r="AY47" s="10"/>
      <c r="AZ47" s="165" t="str">
        <f>IF(Tabla560[[#This Row],[Equipo ]]="","",INDEX(V_MENSUAL,MATCH(Tabla560[[#This Row],[Equipo ]],LISTA_MAQUINARIA,0)))</f>
        <v/>
      </c>
      <c r="BA47" s="12" t="str">
        <f>IF(Tabla560[[#This Row],[Equipo ]]="","",INDEX(CONSUMO_COMBUSTIBLE_H,MATCH(Tabla560[[#This Row],[Equipo ]],LISTA_MAQUINARIA,0)))</f>
        <v/>
      </c>
      <c r="BB47" s="166" t="str">
        <f>IF(Tabla560[[#This Row],[Equipo ]]="","",INDEX(V_GALON,MATCH(Tabla560[[#This Row],[Equipo ]],LISTA_MAQUINARIA,0)))</f>
        <v/>
      </c>
      <c r="BC47" s="10"/>
      <c r="BD47" s="165" t="str">
        <f>IF(Tabla560[[#This Row],[Equipo ]]="","",Tabla560[[#This Row],[Valor mensual]]+Tabla560[[#This Row],[Combustible Hora ]]*Tabla560[[#This Row],[Valor galon]]*Tabla560[[#This Row],[Horas mes]])</f>
        <v/>
      </c>
      <c r="BE47" s="168" t="str">
        <f>IF(Tabla560[[#This Row],[Valor mensual + Combustible]]="","",Tabla560[[#This Row],[Valor mensual + Combustible]]*Tabla560[[#This Row],[Cantidad]])</f>
        <v/>
      </c>
      <c r="BH47" s="9"/>
      <c r="BI47" s="10"/>
      <c r="BJ47" s="165" t="str">
        <f>IF(Tabla563[[#This Row],[Equipo ]]="","",INDEX(V_MENSUAL,MATCH(Tabla563[[#This Row],[Equipo ]],LISTA_MAQUINARIA,0)))</f>
        <v/>
      </c>
      <c r="BK47" s="12" t="str">
        <f>IF(Tabla563[[#This Row],[Equipo ]]="","",INDEX(CONSUMO_COMBUSTIBLE_H,MATCH(Tabla563[[#This Row],[Equipo ]],LISTA_MAQUINARIA,0)))</f>
        <v/>
      </c>
      <c r="BL47" s="166" t="str">
        <f>IF(Tabla563[[#This Row],[Equipo ]]="","",INDEX(V_GALON,MATCH(Tabla563[[#This Row],[Equipo ]],LISTA_MAQUINARIA,0)))</f>
        <v/>
      </c>
      <c r="BM47" s="10"/>
      <c r="BN47" s="165" t="str">
        <f>IF(Tabla563[[#This Row],[Equipo ]]="","",Tabla563[[#This Row],[Valor mensual]]+Tabla563[[#This Row],[Combustible Hora ]]*Tabla563[[#This Row],[Valor galon]]*Tabla563[[#This Row],[Horas mes]])</f>
        <v/>
      </c>
      <c r="BO47" s="168" t="str">
        <f>IF(Tabla563[[#This Row],[Valor mensual + Combustible]]="","",Tabla563[[#This Row],[Valor mensual + Combustible]]*Tabla563[[#This Row],[Cantidad]])</f>
        <v/>
      </c>
      <c r="BR47" s="9"/>
      <c r="BS47" s="10"/>
      <c r="BT47" s="165" t="str">
        <f>IF(Tabla566[[#This Row],[Equipo ]]="","",INDEX(V_MENSUAL,MATCH(Tabla566[[#This Row],[Equipo ]],LISTA_MAQUINARIA,0)))</f>
        <v/>
      </c>
      <c r="BU47" s="12" t="str">
        <f>IF(Tabla566[[#This Row],[Equipo ]]="","",INDEX(CONSUMO_COMBUSTIBLE_H,MATCH(Tabla566[[#This Row],[Equipo ]],LISTA_MAQUINARIA,0)))</f>
        <v/>
      </c>
      <c r="BV47" s="166" t="str">
        <f>IF(Tabla566[[#This Row],[Equipo ]]="","",INDEX(V_GALON,MATCH(Tabla566[[#This Row],[Equipo ]],LISTA_MAQUINARIA,0)))</f>
        <v/>
      </c>
      <c r="BW47" s="10"/>
      <c r="BX47" s="165" t="str">
        <f>IF(Tabla566[[#This Row],[Equipo ]]="","",Tabla566[[#This Row],[Valor mensual]]+Tabla566[[#This Row],[Combustible Hora ]]*Tabla566[[#This Row],[Valor galon]]*Tabla566[[#This Row],[Horas mes]])</f>
        <v/>
      </c>
      <c r="BY47" s="168" t="str">
        <f>IF(Tabla566[[#This Row],[Valor mensual + Combustible]]="","",Tabla566[[#This Row],[Valor mensual + Combustible]]*Tabla566[[#This Row],[Cantidad]])</f>
        <v/>
      </c>
      <c r="CB47" s="9"/>
      <c r="CC47" s="10"/>
      <c r="CD47" s="165" t="str">
        <f>IF(Tabla569[[#This Row],[Equipo ]]="","",INDEX(V_MENSUAL,MATCH(Tabla569[[#This Row],[Equipo ]],LISTA_MAQUINARIA,0)))</f>
        <v/>
      </c>
      <c r="CE47" s="12" t="str">
        <f>IF(Tabla569[[#This Row],[Equipo ]]="","",INDEX(CONSUMO_COMBUSTIBLE_H,MATCH(Tabla569[[#This Row],[Equipo ]],LISTA_MAQUINARIA,0)))</f>
        <v/>
      </c>
      <c r="CF47" s="166" t="str">
        <f>IF(Tabla569[[#This Row],[Equipo ]]="","",INDEX(V_GALON,MATCH(Tabla569[[#This Row],[Equipo ]],LISTA_MAQUINARIA,0)))</f>
        <v/>
      </c>
      <c r="CG47" s="10"/>
      <c r="CH47" s="165" t="str">
        <f>IF(Tabla569[[#This Row],[Equipo ]]="","",Tabla569[[#This Row],[Valor mensual]]+Tabla569[[#This Row],[Combustible Hora ]]*Tabla569[[#This Row],[Valor galon]]*Tabla569[[#This Row],[Horas mes]])</f>
        <v/>
      </c>
      <c r="CI47" s="168" t="str">
        <f>IF(Tabla569[[#This Row],[Valor mensual + Combustible]]="","",Tabla569[[#This Row],[Valor mensual + Combustible]]*Tabla569[[#This Row],[Cantidad]])</f>
        <v/>
      </c>
      <c r="CL47" s="9"/>
      <c r="CM47" s="10"/>
      <c r="CN47" s="165" t="str">
        <f>IF(Tabla572[[#This Row],[Equipo ]]="","",INDEX(V_MENSUAL,MATCH(Tabla572[[#This Row],[Equipo ]],LISTA_MAQUINARIA,0)))</f>
        <v/>
      </c>
      <c r="CO47" s="12" t="str">
        <f>IF(Tabla572[[#This Row],[Equipo ]]="","",INDEX(CONSUMO_COMBUSTIBLE_H,MATCH(Tabla572[[#This Row],[Equipo ]],LISTA_MAQUINARIA,0)))</f>
        <v/>
      </c>
      <c r="CP47" s="166" t="str">
        <f>IF(Tabla572[[#This Row],[Equipo ]]="","",INDEX(V_GALON,MATCH(Tabla572[[#This Row],[Equipo ]],LISTA_MAQUINARIA,0)))</f>
        <v/>
      </c>
      <c r="CQ47" s="10"/>
      <c r="CR47" s="165" t="str">
        <f>IF(Tabla572[[#This Row],[Equipo ]]="","",Tabla572[[#This Row],[Valor mensual]]+Tabla572[[#This Row],[Combustible Hora ]]*Tabla572[[#This Row],[Valor galon]]*Tabla572[[#This Row],[Horas mes]])</f>
        <v/>
      </c>
      <c r="CS47" s="168" t="str">
        <f>IF(Tabla572[[#This Row],[Valor mensual + Combustible]]="","",Tabla572[[#This Row],[Valor mensual + Combustible]]*Tabla572[[#This Row],[Cantidad]])</f>
        <v/>
      </c>
      <c r="CV47" s="9"/>
      <c r="CW47" s="10"/>
      <c r="CX47" s="165" t="str">
        <f>IF(Tabla575[[#This Row],[Equipo ]]="","",INDEX(V_MENSUAL,MATCH(Tabla575[[#This Row],[Equipo ]],LISTA_MAQUINARIA,0)))</f>
        <v/>
      </c>
      <c r="CY47" s="12" t="str">
        <f>IF(Tabla575[[#This Row],[Equipo ]]="","",INDEX(CONSUMO_COMBUSTIBLE_H,MATCH(Tabla575[[#This Row],[Equipo ]],LISTA_MAQUINARIA,0)))</f>
        <v/>
      </c>
      <c r="CZ47" s="166" t="str">
        <f>IF(Tabla575[[#This Row],[Equipo ]]="","",INDEX(V_GALON,MATCH(Tabla575[[#This Row],[Equipo ]],LISTA_MAQUINARIA,0)))</f>
        <v/>
      </c>
      <c r="DA47" s="10"/>
      <c r="DB47" s="165" t="str">
        <f>IF(Tabla575[[#This Row],[Equipo ]]="","",Tabla575[[#This Row],[Valor mensual]]+Tabla575[[#This Row],[Combustible Hora ]]*Tabla575[[#This Row],[Valor galon]]*Tabla575[[#This Row],[Horas mes]])</f>
        <v/>
      </c>
      <c r="DC47" s="168" t="str">
        <f>IF(Tabla575[[#This Row],[Valor mensual + Combustible]]="","",Tabla575[[#This Row],[Valor mensual + Combustible]]*Tabla575[[#This Row],[Cantidad]])</f>
        <v/>
      </c>
      <c r="DF47" s="9"/>
      <c r="DG47" s="10"/>
      <c r="DH47" s="165" t="str">
        <f>IF(Tabla578[[#This Row],[Equipo ]]="","",INDEX(V_MENSUAL,MATCH(Tabla578[[#This Row],[Equipo ]],LISTA_MAQUINARIA,0)))</f>
        <v/>
      </c>
      <c r="DI47" s="12" t="str">
        <f>IF(Tabla578[[#This Row],[Equipo ]]="","",INDEX(CONSUMO_COMBUSTIBLE_H,MATCH(Tabla578[[#This Row],[Equipo ]],LISTA_MAQUINARIA,0)))</f>
        <v/>
      </c>
      <c r="DJ47" s="166" t="str">
        <f>IF(Tabla578[[#This Row],[Equipo ]]="","",INDEX(V_GALON,MATCH(Tabla578[[#This Row],[Equipo ]],LISTA_MAQUINARIA,0)))</f>
        <v/>
      </c>
      <c r="DK47" s="10"/>
      <c r="DL47" s="165" t="str">
        <f>IF(Tabla578[[#This Row],[Equipo ]]="","",Tabla578[[#This Row],[Valor mensual]]+Tabla578[[#This Row],[Combustible Hora ]]*Tabla578[[#This Row],[Valor galon]]*Tabla578[[#This Row],[Horas mes]])</f>
        <v/>
      </c>
      <c r="DM47" s="168" t="str">
        <f>IF(Tabla578[[#This Row],[Valor mensual + Combustible]]="","",Tabla578[[#This Row],[Valor mensual + Combustible]]*Tabla578[[#This Row],[Cantidad]])</f>
        <v/>
      </c>
      <c r="DP47" s="9"/>
      <c r="DQ47" s="10"/>
      <c r="DR47" s="165" t="str">
        <f>IF(Tabla581[[#This Row],[Equipo ]]="","",INDEX(V_MENSUAL,MATCH(Tabla581[[#This Row],[Equipo ]],LISTA_MAQUINARIA,0)))</f>
        <v/>
      </c>
      <c r="DS47" s="12" t="str">
        <f>IF(Tabla581[[#This Row],[Equipo ]]="","",INDEX(CONSUMO_COMBUSTIBLE_H,MATCH(Tabla581[[#This Row],[Equipo ]],LISTA_MAQUINARIA,0)))</f>
        <v/>
      </c>
      <c r="DT47" s="166" t="str">
        <f>IF(Tabla581[[#This Row],[Equipo ]]="","",INDEX(V_GALON,MATCH(Tabla581[[#This Row],[Equipo ]],LISTA_MAQUINARIA,0)))</f>
        <v/>
      </c>
      <c r="DU47" s="10"/>
      <c r="DV47" s="165" t="str">
        <f>IF(Tabla581[[#This Row],[Equipo ]]="","",Tabla581[[#This Row],[Valor mensual]]+Tabla581[[#This Row],[Combustible Hora ]]*Tabla581[[#This Row],[Valor galon]]*Tabla581[[#This Row],[Horas mes]])</f>
        <v/>
      </c>
      <c r="DW47" s="168" t="str">
        <f>IF(Tabla581[[#This Row],[Valor mensual + Combustible]]="","",Tabla581[[#This Row],[Valor mensual + Combustible]]*Tabla581[[#This Row],[Cantidad]])</f>
        <v/>
      </c>
      <c r="DZ47" s="9"/>
      <c r="EA47" s="10"/>
      <c r="EB47" s="165" t="str">
        <f>IF(Tabla584[[#This Row],[Equipo ]]="","",INDEX(V_MENSUAL,MATCH(Tabla584[[#This Row],[Equipo ]],LISTA_MAQUINARIA,0)))</f>
        <v/>
      </c>
      <c r="EC47" s="12" t="str">
        <f>IF(Tabla584[[#This Row],[Equipo ]]="","",INDEX(CONSUMO_COMBUSTIBLE_H,MATCH(Tabla584[[#This Row],[Equipo ]],LISTA_MAQUINARIA,0)))</f>
        <v/>
      </c>
      <c r="ED47" s="166" t="str">
        <f>IF(Tabla584[[#This Row],[Equipo ]]="","",INDEX(V_GALON,MATCH(Tabla584[[#This Row],[Equipo ]],LISTA_MAQUINARIA,0)))</f>
        <v/>
      </c>
      <c r="EE47" s="10"/>
      <c r="EF47" s="165" t="str">
        <f>IF(Tabla584[[#This Row],[Equipo ]]="","",Tabla584[[#This Row],[Valor mensual]]+Tabla584[[#This Row],[Combustible Hora ]]*Tabla584[[#This Row],[Valor galon]]*Tabla584[[#This Row],[Horas mes]])</f>
        <v/>
      </c>
      <c r="EG47" s="168" t="str">
        <f>IF(Tabla584[[#This Row],[Valor mensual + Combustible]]="","",Tabla584[[#This Row],[Valor mensual + Combustible]]*Tabla584[[#This Row],[Cantidad]])</f>
        <v/>
      </c>
      <c r="EJ47" s="9"/>
      <c r="EK47" s="10"/>
      <c r="EL47" s="165" t="str">
        <f>IF(Tabla587[[#This Row],[Equipo ]]="","",INDEX(V_MENSUAL,MATCH(Tabla587[[#This Row],[Equipo ]],LISTA_MAQUINARIA,0)))</f>
        <v/>
      </c>
      <c r="EM47" s="12" t="str">
        <f>IF(Tabla587[[#This Row],[Equipo ]]="","",INDEX(CONSUMO_COMBUSTIBLE_H,MATCH(Tabla587[[#This Row],[Equipo ]],LISTA_MAQUINARIA,0)))</f>
        <v/>
      </c>
      <c r="EN47" s="166" t="str">
        <f>IF(Tabla587[[#This Row],[Equipo ]]="","",INDEX(V_GALON,MATCH(Tabla587[[#This Row],[Equipo ]],LISTA_MAQUINARIA,0)))</f>
        <v/>
      </c>
      <c r="EO47" s="10"/>
      <c r="EP47" s="165" t="str">
        <f>IF(Tabla587[[#This Row],[Equipo ]]="","",Tabla587[[#This Row],[Valor mensual]]+Tabla587[[#This Row],[Combustible Hora ]]*Tabla587[[#This Row],[Valor galon]]*Tabla587[[#This Row],[Horas mes]])</f>
        <v/>
      </c>
      <c r="EQ47" s="168" t="str">
        <f>IF(Tabla587[[#This Row],[Valor mensual + Combustible]]="","",Tabla587[[#This Row],[Valor mensual + Combustible]]*Tabla587[[#This Row],[Cantidad]])</f>
        <v/>
      </c>
      <c r="ET47" s="9"/>
      <c r="EU47" s="10"/>
      <c r="EV47" s="165" t="str">
        <f>IF(Tabla590[[#This Row],[Equipo ]]="","",INDEX(V_MENSUAL,MATCH(Tabla590[[#This Row],[Equipo ]],LISTA_MAQUINARIA,0)))</f>
        <v/>
      </c>
      <c r="EW47" s="12" t="str">
        <f>IF(Tabla590[[#This Row],[Equipo ]]="","",INDEX(CONSUMO_COMBUSTIBLE_H,MATCH(Tabla590[[#This Row],[Equipo ]],LISTA_MAQUINARIA,0)))</f>
        <v/>
      </c>
      <c r="EX47" s="166" t="str">
        <f>IF(Tabla590[[#This Row],[Equipo ]]="","",INDEX(V_GALON,MATCH(Tabla590[[#This Row],[Equipo ]],LISTA_MAQUINARIA,0)))</f>
        <v/>
      </c>
      <c r="EY47" s="10"/>
      <c r="EZ47" s="165" t="str">
        <f>IF(Tabla590[[#This Row],[Equipo ]]="","",Tabla590[[#This Row],[Valor mensual]]+Tabla590[[#This Row],[Combustible Hora ]]*Tabla590[[#This Row],[Valor galon]]*Tabla590[[#This Row],[Horas mes]])</f>
        <v/>
      </c>
      <c r="FA47" s="168" t="str">
        <f>IF(Tabla590[[#This Row],[Valor mensual + Combustible]]="","",Tabla590[[#This Row],[Valor mensual + Combustible]]*Tabla590[[#This Row],[Cantidad]])</f>
        <v/>
      </c>
      <c r="FD47" s="9"/>
      <c r="FE47" s="10"/>
      <c r="FF47" s="165" t="str">
        <f>IF(Tabla593[[#This Row],[Equipo ]]="","",INDEX(V_MENSUAL,MATCH(Tabla593[[#This Row],[Equipo ]],LISTA_MAQUINARIA,0)))</f>
        <v/>
      </c>
      <c r="FG47" s="12" t="str">
        <f>IF(Tabla593[[#This Row],[Equipo ]]="","",INDEX(CONSUMO_COMBUSTIBLE_H,MATCH(Tabla593[[#This Row],[Equipo ]],LISTA_MAQUINARIA,0)))</f>
        <v/>
      </c>
      <c r="FH47" s="166" t="str">
        <f>IF(Tabla593[[#This Row],[Equipo ]]="","",INDEX(V_GALON,MATCH(Tabla593[[#This Row],[Equipo ]],LISTA_MAQUINARIA,0)))</f>
        <v/>
      </c>
      <c r="FI47" s="10"/>
      <c r="FJ47" s="165" t="str">
        <f>IF(Tabla593[[#This Row],[Equipo ]]="","",Tabla593[[#This Row],[Valor mensual]]+Tabla593[[#This Row],[Combustible Hora ]]*Tabla593[[#This Row],[Valor galon]]*Tabla593[[#This Row],[Horas mes]])</f>
        <v/>
      </c>
      <c r="FK47" s="168" t="str">
        <f>IF(Tabla593[[#This Row],[Valor mensual + Combustible]]="","",Tabla593[[#This Row],[Valor mensual + Combustible]]*Tabla593[[#This Row],[Cantidad]])</f>
        <v/>
      </c>
      <c r="FN47" s="9"/>
      <c r="FO47" s="10"/>
      <c r="FP47" s="165" t="str">
        <f>IF(Tabla596[[#This Row],[Equipo ]]="","",INDEX(V_MENSUAL,MATCH(Tabla596[[#This Row],[Equipo ]],LISTA_MAQUINARIA,0)))</f>
        <v/>
      </c>
      <c r="FQ47" s="12" t="str">
        <f>IF(Tabla596[[#This Row],[Equipo ]]="","",INDEX(CONSUMO_COMBUSTIBLE_H,MATCH(Tabla596[[#This Row],[Equipo ]],LISTA_MAQUINARIA,0)))</f>
        <v/>
      </c>
      <c r="FR47" s="166" t="str">
        <f>IF(Tabla596[[#This Row],[Equipo ]]="","",INDEX(V_GALON,MATCH(Tabla596[[#This Row],[Equipo ]],LISTA_MAQUINARIA,0)))</f>
        <v/>
      </c>
      <c r="FS47" s="10"/>
      <c r="FT47" s="165" t="str">
        <f>IF(Tabla596[[#This Row],[Equipo ]]="","",Tabla596[[#This Row],[Valor mensual]]+Tabla596[[#This Row],[Combustible Hora ]]*Tabla596[[#This Row],[Valor galon]]*Tabla596[[#This Row],[Horas mes]])</f>
        <v/>
      </c>
      <c r="FU47" s="168" t="str">
        <f>IF(Tabla596[[#This Row],[Valor mensual + Combustible]]="","",Tabla596[[#This Row],[Valor mensual + Combustible]]*Tabla596[[#This Row],[Cantidad]])</f>
        <v/>
      </c>
    </row>
    <row r="48" spans="1:177" x14ac:dyDescent="0.3">
      <c r="A48" s="9" t="s">
        <v>501</v>
      </c>
      <c r="B48" s="10">
        <v>1</v>
      </c>
      <c r="C48" s="165">
        <f>IF(Tabla5[[#This Row],[Equipo ]]="","",INDEX(V_MENSUAL,MATCH(Tabla5[[#This Row],[Equipo ]],LISTA_MAQUINARIA,0)))</f>
        <v>1000000</v>
      </c>
      <c r="D48" s="12">
        <f>IF(Tabla5[[#This Row],[Equipo ]]="","",INDEX(CONSUMO_COMBUSTIBLE_H,MATCH(Tabla5[[#This Row],[Equipo ]],LISTA_MAQUINARIA,0)))</f>
        <v>0</v>
      </c>
      <c r="E48" s="166">
        <f>IF(Tabla5[[#This Row],[Equipo ]]="","",INDEX(V_GALON,MATCH(Tabla5[[#This Row],[Equipo ]],LISTA_MAQUINARIA,0)))</f>
        <v>10800</v>
      </c>
      <c r="F48" s="10"/>
      <c r="G48" s="165">
        <f>IF(Tabla5[[#This Row],[Equipo ]]="","",Tabla5[[#This Row],[Valor mensual]]+Tabla5[[#This Row],[Combustible Hora ]]*Tabla5[[#This Row],[Valor galon]]*Tabla5[[#This Row],[Horas mes]])</f>
        <v>1000000</v>
      </c>
      <c r="H48" s="168">
        <f>IF(Tabla5[[#This Row],[Valor mensual + Combustible]]="","",Tabla5[[#This Row],[Valor mensual + Combustible]]*Tabla5[[#This Row],[Cantidad]])</f>
        <v>1000000</v>
      </c>
      <c r="K48" s="9" t="s">
        <v>501</v>
      </c>
      <c r="L48" s="10">
        <v>1</v>
      </c>
      <c r="M48" s="165" cm="1">
        <f t="array" ref="M48">IF(Tabla548[[#This Row],[Equipo ]]="","",INDEX(V_MENSUAL,MATCH(Tabla548[[#This Row],[Equipo ]],LISTA_MAQUINARIA,0)))</f>
        <v>1000000</v>
      </c>
      <c r="N48" s="12">
        <f>IF(Tabla548[[#This Row],[Equipo ]]="","",INDEX(CONSUMO_COMBUSTIBLE_H,MATCH(Tabla548[[#This Row],[Equipo ]],LISTA_MAQUINARIA,0)))</f>
        <v>0</v>
      </c>
      <c r="O48" s="166">
        <f>IF(Tabla548[[#This Row],[Equipo ]]="","",INDEX(V_GALON,MATCH(Tabla548[[#This Row],[Equipo ]],LISTA_MAQUINARIA,0)))</f>
        <v>10800</v>
      </c>
      <c r="P48" s="10"/>
      <c r="Q48" s="165">
        <f>IF(Tabla548[[#This Row],[Equipo ]]="","",Tabla548[[#This Row],[Valor mensual]]+Tabla548[[#This Row],[Combustible Hora ]]*Tabla548[[#This Row],[Valor galon]]*Tabla548[[#This Row],[Horas mes]])</f>
        <v>1000000</v>
      </c>
      <c r="R48" s="168">
        <f>IF(Tabla548[[#This Row],[Valor mensual + Combustible]]="","",Tabla548[[#This Row],[Valor mensual + Combustible]]*Tabla548[[#This Row],[Cantidad]])</f>
        <v>1000000</v>
      </c>
      <c r="U48" s="9" t="s">
        <v>501</v>
      </c>
      <c r="V48" s="10">
        <v>1</v>
      </c>
      <c r="W48" s="165">
        <f>IF(Tabla551[[#This Row],[Equipo ]]="","",INDEX(V_MENSUAL,MATCH(Tabla551[[#This Row],[Equipo ]],LISTA_MAQUINARIA,0)))</f>
        <v>1000000</v>
      </c>
      <c r="X48" s="12">
        <f>IF(Tabla551[[#This Row],[Equipo ]]="","",INDEX(CONSUMO_COMBUSTIBLE_H,MATCH(Tabla551[[#This Row],[Equipo ]],LISTA_MAQUINARIA,0)))</f>
        <v>0</v>
      </c>
      <c r="Y48" s="166">
        <f>IF(Tabla551[[#This Row],[Equipo ]]="","",INDEX(V_GALON,MATCH(Tabla551[[#This Row],[Equipo ]],LISTA_MAQUINARIA,0)))</f>
        <v>10800</v>
      </c>
      <c r="Z48" s="10"/>
      <c r="AA48" s="165">
        <f>IF(Tabla551[[#This Row],[Equipo ]]="","",Tabla551[[#This Row],[Valor mensual]]+Tabla551[[#This Row],[Combustible Hora ]]*Tabla551[[#This Row],[Valor galon]]*Tabla551[[#This Row],[Horas mes]])</f>
        <v>1000000</v>
      </c>
      <c r="AB48" s="168">
        <f>IF(Tabla551[[#This Row],[Valor mensual + Combustible]]="","",Tabla551[[#This Row],[Valor mensual + Combustible]]*Tabla551[[#This Row],[Cantidad]])</f>
        <v>1000000</v>
      </c>
      <c r="AD48" s="9"/>
      <c r="AE48" s="10"/>
      <c r="AF48" s="165" t="str">
        <f>IF(Tabla554[[#This Row],[Equipo ]]="","",INDEX(V_MENSUAL,MATCH(Tabla554[[#This Row],[Equipo ]],LISTA_MAQUINARIA,0)))</f>
        <v/>
      </c>
      <c r="AG48" s="12" t="str">
        <f>IF(Tabla554[[#This Row],[Equipo ]]="","",INDEX(CONSUMO_COMBUSTIBLE_H,MATCH(Tabla554[[#This Row],[Equipo ]],LISTA_MAQUINARIA,0)))</f>
        <v/>
      </c>
      <c r="AH48" s="166" t="str">
        <f>IF(Tabla554[[#This Row],[Equipo ]]="","",INDEX(V_GALON,MATCH(Tabla554[[#This Row],[Equipo ]],LISTA_MAQUINARIA,0)))</f>
        <v/>
      </c>
      <c r="AI48" s="10"/>
      <c r="AJ48" s="165" t="str">
        <f>IF(Tabla554[[#This Row],[Equipo ]]="","",Tabla554[[#This Row],[Valor mensual]]+Tabla554[[#This Row],[Combustible Hora ]]*Tabla554[[#This Row],[Valor galon]]*Tabla554[[#This Row],[Horas mes]])</f>
        <v/>
      </c>
      <c r="AK48" s="168" t="str">
        <f>IF(Tabla554[[#This Row],[Valor mensual + Combustible]]="","",Tabla554[[#This Row],[Valor mensual + Combustible]]*Tabla554[[#This Row],[Cantidad]])</f>
        <v/>
      </c>
      <c r="AN48" s="9"/>
      <c r="AO48" s="10"/>
      <c r="AP48" s="165" t="str">
        <f>IF(Tabla557[[#This Row],[Equipo ]]="","",INDEX(V_MENSUAL,MATCH(Tabla557[[#This Row],[Equipo ]],LISTA_MAQUINARIA,0)))</f>
        <v/>
      </c>
      <c r="AQ48" s="12" t="str">
        <f>IF(Tabla557[[#This Row],[Equipo ]]="","",INDEX(CONSUMO_COMBUSTIBLE_H,MATCH(Tabla557[[#This Row],[Equipo ]],LISTA_MAQUINARIA,0)))</f>
        <v/>
      </c>
      <c r="AR48" s="166" t="str">
        <f>IF(Tabla557[[#This Row],[Equipo ]]="","",INDEX(V_GALON,MATCH(Tabla557[[#This Row],[Equipo ]],LISTA_MAQUINARIA,0)))</f>
        <v/>
      </c>
      <c r="AS48" s="10"/>
      <c r="AT48" s="165" t="str">
        <f>IF(Tabla557[[#This Row],[Equipo ]]="","",Tabla557[[#This Row],[Valor mensual]]+Tabla557[[#This Row],[Combustible Hora ]]*Tabla557[[#This Row],[Valor galon]]*Tabla557[[#This Row],[Horas mes]])</f>
        <v/>
      </c>
      <c r="AU48" s="168" t="str">
        <f>IF(Tabla557[[#This Row],[Valor mensual + Combustible]]="","",Tabla557[[#This Row],[Valor mensual + Combustible]]*Tabla557[[#This Row],[Cantidad]])</f>
        <v/>
      </c>
      <c r="AX48" s="9"/>
      <c r="AY48" s="10"/>
      <c r="AZ48" s="165" t="str">
        <f>IF(Tabla560[[#This Row],[Equipo ]]="","",INDEX(V_MENSUAL,MATCH(Tabla560[[#This Row],[Equipo ]],LISTA_MAQUINARIA,0)))</f>
        <v/>
      </c>
      <c r="BA48" s="12" t="str">
        <f>IF(Tabla560[[#This Row],[Equipo ]]="","",INDEX(CONSUMO_COMBUSTIBLE_H,MATCH(Tabla560[[#This Row],[Equipo ]],LISTA_MAQUINARIA,0)))</f>
        <v/>
      </c>
      <c r="BB48" s="166" t="str">
        <f>IF(Tabla560[[#This Row],[Equipo ]]="","",INDEX(V_GALON,MATCH(Tabla560[[#This Row],[Equipo ]],LISTA_MAQUINARIA,0)))</f>
        <v/>
      </c>
      <c r="BC48" s="10"/>
      <c r="BD48" s="165" t="str">
        <f>IF(Tabla560[[#This Row],[Equipo ]]="","",Tabla560[[#This Row],[Valor mensual]]+Tabla560[[#This Row],[Combustible Hora ]]*Tabla560[[#This Row],[Valor galon]]*Tabla560[[#This Row],[Horas mes]])</f>
        <v/>
      </c>
      <c r="BE48" s="168" t="str">
        <f>IF(Tabla560[[#This Row],[Valor mensual + Combustible]]="","",Tabla560[[#This Row],[Valor mensual + Combustible]]*Tabla560[[#This Row],[Cantidad]])</f>
        <v/>
      </c>
      <c r="BH48" s="9"/>
      <c r="BI48" s="10"/>
      <c r="BJ48" s="165" t="str">
        <f>IF(Tabla563[[#This Row],[Equipo ]]="","",INDEX(V_MENSUAL,MATCH(Tabla563[[#This Row],[Equipo ]],LISTA_MAQUINARIA,0)))</f>
        <v/>
      </c>
      <c r="BK48" s="12" t="str">
        <f>IF(Tabla563[[#This Row],[Equipo ]]="","",INDEX(CONSUMO_COMBUSTIBLE_H,MATCH(Tabla563[[#This Row],[Equipo ]],LISTA_MAQUINARIA,0)))</f>
        <v/>
      </c>
      <c r="BL48" s="166" t="str">
        <f>IF(Tabla563[[#This Row],[Equipo ]]="","",INDEX(V_GALON,MATCH(Tabla563[[#This Row],[Equipo ]],LISTA_MAQUINARIA,0)))</f>
        <v/>
      </c>
      <c r="BM48" s="10"/>
      <c r="BN48" s="165" t="str">
        <f>IF(Tabla563[[#This Row],[Equipo ]]="","",Tabla563[[#This Row],[Valor mensual]]+Tabla563[[#This Row],[Combustible Hora ]]*Tabla563[[#This Row],[Valor galon]]*Tabla563[[#This Row],[Horas mes]])</f>
        <v/>
      </c>
      <c r="BO48" s="168" t="str">
        <f>IF(Tabla563[[#This Row],[Valor mensual + Combustible]]="","",Tabla563[[#This Row],[Valor mensual + Combustible]]*Tabla563[[#This Row],[Cantidad]])</f>
        <v/>
      </c>
      <c r="BR48" s="9"/>
      <c r="BS48" s="10"/>
      <c r="BT48" s="165" t="str">
        <f>IF(Tabla566[[#This Row],[Equipo ]]="","",INDEX(V_MENSUAL,MATCH(Tabla566[[#This Row],[Equipo ]],LISTA_MAQUINARIA,0)))</f>
        <v/>
      </c>
      <c r="BU48" s="12" t="str">
        <f>IF(Tabla566[[#This Row],[Equipo ]]="","",INDEX(CONSUMO_COMBUSTIBLE_H,MATCH(Tabla566[[#This Row],[Equipo ]],LISTA_MAQUINARIA,0)))</f>
        <v/>
      </c>
      <c r="BV48" s="166" t="str">
        <f>IF(Tabla566[[#This Row],[Equipo ]]="","",INDEX(V_GALON,MATCH(Tabla566[[#This Row],[Equipo ]],LISTA_MAQUINARIA,0)))</f>
        <v/>
      </c>
      <c r="BW48" s="10"/>
      <c r="BX48" s="165" t="str">
        <f>IF(Tabla566[[#This Row],[Equipo ]]="","",Tabla566[[#This Row],[Valor mensual]]+Tabla566[[#This Row],[Combustible Hora ]]*Tabla566[[#This Row],[Valor galon]]*Tabla566[[#This Row],[Horas mes]])</f>
        <v/>
      </c>
      <c r="BY48" s="168" t="str">
        <f>IF(Tabla566[[#This Row],[Valor mensual + Combustible]]="","",Tabla566[[#This Row],[Valor mensual + Combustible]]*Tabla566[[#This Row],[Cantidad]])</f>
        <v/>
      </c>
      <c r="CB48" s="9"/>
      <c r="CC48" s="10"/>
      <c r="CD48" s="165" t="str">
        <f>IF(Tabla569[[#This Row],[Equipo ]]="","",INDEX(V_MENSUAL,MATCH(Tabla569[[#This Row],[Equipo ]],LISTA_MAQUINARIA,0)))</f>
        <v/>
      </c>
      <c r="CE48" s="12" t="str">
        <f>IF(Tabla569[[#This Row],[Equipo ]]="","",INDEX(CONSUMO_COMBUSTIBLE_H,MATCH(Tabla569[[#This Row],[Equipo ]],LISTA_MAQUINARIA,0)))</f>
        <v/>
      </c>
      <c r="CF48" s="166" t="str">
        <f>IF(Tabla569[[#This Row],[Equipo ]]="","",INDEX(V_GALON,MATCH(Tabla569[[#This Row],[Equipo ]],LISTA_MAQUINARIA,0)))</f>
        <v/>
      </c>
      <c r="CG48" s="10"/>
      <c r="CH48" s="165" t="str">
        <f>IF(Tabla569[[#This Row],[Equipo ]]="","",Tabla569[[#This Row],[Valor mensual]]+Tabla569[[#This Row],[Combustible Hora ]]*Tabla569[[#This Row],[Valor galon]]*Tabla569[[#This Row],[Horas mes]])</f>
        <v/>
      </c>
      <c r="CI48" s="168" t="str">
        <f>IF(Tabla569[[#This Row],[Valor mensual + Combustible]]="","",Tabla569[[#This Row],[Valor mensual + Combustible]]*Tabla569[[#This Row],[Cantidad]])</f>
        <v/>
      </c>
      <c r="CL48" s="9"/>
      <c r="CM48" s="10"/>
      <c r="CN48" s="165" t="str">
        <f>IF(Tabla572[[#This Row],[Equipo ]]="","",INDEX(V_MENSUAL,MATCH(Tabla572[[#This Row],[Equipo ]],LISTA_MAQUINARIA,0)))</f>
        <v/>
      </c>
      <c r="CO48" s="12" t="str">
        <f>IF(Tabla572[[#This Row],[Equipo ]]="","",INDEX(CONSUMO_COMBUSTIBLE_H,MATCH(Tabla572[[#This Row],[Equipo ]],LISTA_MAQUINARIA,0)))</f>
        <v/>
      </c>
      <c r="CP48" s="166" t="str">
        <f>IF(Tabla572[[#This Row],[Equipo ]]="","",INDEX(V_GALON,MATCH(Tabla572[[#This Row],[Equipo ]],LISTA_MAQUINARIA,0)))</f>
        <v/>
      </c>
      <c r="CQ48" s="10"/>
      <c r="CR48" s="165" t="str">
        <f>IF(Tabla572[[#This Row],[Equipo ]]="","",Tabla572[[#This Row],[Valor mensual]]+Tabla572[[#This Row],[Combustible Hora ]]*Tabla572[[#This Row],[Valor galon]]*Tabla572[[#This Row],[Horas mes]])</f>
        <v/>
      </c>
      <c r="CS48" s="168" t="str">
        <f>IF(Tabla572[[#This Row],[Valor mensual + Combustible]]="","",Tabla572[[#This Row],[Valor mensual + Combustible]]*Tabla572[[#This Row],[Cantidad]])</f>
        <v/>
      </c>
      <c r="CV48" s="9"/>
      <c r="CW48" s="10"/>
      <c r="CX48" s="165" t="str">
        <f>IF(Tabla575[[#This Row],[Equipo ]]="","",INDEX(V_MENSUAL,MATCH(Tabla575[[#This Row],[Equipo ]],LISTA_MAQUINARIA,0)))</f>
        <v/>
      </c>
      <c r="CY48" s="12" t="str">
        <f>IF(Tabla575[[#This Row],[Equipo ]]="","",INDEX(CONSUMO_COMBUSTIBLE_H,MATCH(Tabla575[[#This Row],[Equipo ]],LISTA_MAQUINARIA,0)))</f>
        <v/>
      </c>
      <c r="CZ48" s="166" t="str">
        <f>IF(Tabla575[[#This Row],[Equipo ]]="","",INDEX(V_GALON,MATCH(Tabla575[[#This Row],[Equipo ]],LISTA_MAQUINARIA,0)))</f>
        <v/>
      </c>
      <c r="DA48" s="10"/>
      <c r="DB48" s="165" t="str">
        <f>IF(Tabla575[[#This Row],[Equipo ]]="","",Tabla575[[#This Row],[Valor mensual]]+Tabla575[[#This Row],[Combustible Hora ]]*Tabla575[[#This Row],[Valor galon]]*Tabla575[[#This Row],[Horas mes]])</f>
        <v/>
      </c>
      <c r="DC48" s="168" t="str">
        <f>IF(Tabla575[[#This Row],[Valor mensual + Combustible]]="","",Tabla575[[#This Row],[Valor mensual + Combustible]]*Tabla575[[#This Row],[Cantidad]])</f>
        <v/>
      </c>
      <c r="DF48" s="9"/>
      <c r="DG48" s="10"/>
      <c r="DH48" s="165" t="str">
        <f>IF(Tabla578[[#This Row],[Equipo ]]="","",INDEX(V_MENSUAL,MATCH(Tabla578[[#This Row],[Equipo ]],LISTA_MAQUINARIA,0)))</f>
        <v/>
      </c>
      <c r="DI48" s="12" t="str">
        <f>IF(Tabla578[[#This Row],[Equipo ]]="","",INDEX(CONSUMO_COMBUSTIBLE_H,MATCH(Tabla578[[#This Row],[Equipo ]],LISTA_MAQUINARIA,0)))</f>
        <v/>
      </c>
      <c r="DJ48" s="166" t="str">
        <f>IF(Tabla578[[#This Row],[Equipo ]]="","",INDEX(V_GALON,MATCH(Tabla578[[#This Row],[Equipo ]],LISTA_MAQUINARIA,0)))</f>
        <v/>
      </c>
      <c r="DK48" s="10"/>
      <c r="DL48" s="165" t="str">
        <f>IF(Tabla578[[#This Row],[Equipo ]]="","",Tabla578[[#This Row],[Valor mensual]]+Tabla578[[#This Row],[Combustible Hora ]]*Tabla578[[#This Row],[Valor galon]]*Tabla578[[#This Row],[Horas mes]])</f>
        <v/>
      </c>
      <c r="DM48" s="168" t="str">
        <f>IF(Tabla578[[#This Row],[Valor mensual + Combustible]]="","",Tabla578[[#This Row],[Valor mensual + Combustible]]*Tabla578[[#This Row],[Cantidad]])</f>
        <v/>
      </c>
      <c r="DP48" s="9"/>
      <c r="DQ48" s="10"/>
      <c r="DR48" s="165" t="str">
        <f>IF(Tabla581[[#This Row],[Equipo ]]="","",INDEX(V_MENSUAL,MATCH(Tabla581[[#This Row],[Equipo ]],LISTA_MAQUINARIA,0)))</f>
        <v/>
      </c>
      <c r="DS48" s="12" t="str">
        <f>IF(Tabla581[[#This Row],[Equipo ]]="","",INDEX(CONSUMO_COMBUSTIBLE_H,MATCH(Tabla581[[#This Row],[Equipo ]],LISTA_MAQUINARIA,0)))</f>
        <v/>
      </c>
      <c r="DT48" s="166" t="str">
        <f>IF(Tabla581[[#This Row],[Equipo ]]="","",INDEX(V_GALON,MATCH(Tabla581[[#This Row],[Equipo ]],LISTA_MAQUINARIA,0)))</f>
        <v/>
      </c>
      <c r="DU48" s="10"/>
      <c r="DV48" s="165" t="str">
        <f>IF(Tabla581[[#This Row],[Equipo ]]="","",Tabla581[[#This Row],[Valor mensual]]+Tabla581[[#This Row],[Combustible Hora ]]*Tabla581[[#This Row],[Valor galon]]*Tabla581[[#This Row],[Horas mes]])</f>
        <v/>
      </c>
      <c r="DW48" s="168" t="str">
        <f>IF(Tabla581[[#This Row],[Valor mensual + Combustible]]="","",Tabla581[[#This Row],[Valor mensual + Combustible]]*Tabla581[[#This Row],[Cantidad]])</f>
        <v/>
      </c>
      <c r="DZ48" s="9"/>
      <c r="EA48" s="10"/>
      <c r="EB48" s="165" t="str">
        <f>IF(Tabla584[[#This Row],[Equipo ]]="","",INDEX(V_MENSUAL,MATCH(Tabla584[[#This Row],[Equipo ]],LISTA_MAQUINARIA,0)))</f>
        <v/>
      </c>
      <c r="EC48" s="12" t="str">
        <f>IF(Tabla584[[#This Row],[Equipo ]]="","",INDEX(CONSUMO_COMBUSTIBLE_H,MATCH(Tabla584[[#This Row],[Equipo ]],LISTA_MAQUINARIA,0)))</f>
        <v/>
      </c>
      <c r="ED48" s="166" t="str">
        <f>IF(Tabla584[[#This Row],[Equipo ]]="","",INDEX(V_GALON,MATCH(Tabla584[[#This Row],[Equipo ]],LISTA_MAQUINARIA,0)))</f>
        <v/>
      </c>
      <c r="EE48" s="10"/>
      <c r="EF48" s="165" t="str">
        <f>IF(Tabla584[[#This Row],[Equipo ]]="","",Tabla584[[#This Row],[Valor mensual]]+Tabla584[[#This Row],[Combustible Hora ]]*Tabla584[[#This Row],[Valor galon]]*Tabla584[[#This Row],[Horas mes]])</f>
        <v/>
      </c>
      <c r="EG48" s="168" t="str">
        <f>IF(Tabla584[[#This Row],[Valor mensual + Combustible]]="","",Tabla584[[#This Row],[Valor mensual + Combustible]]*Tabla584[[#This Row],[Cantidad]])</f>
        <v/>
      </c>
      <c r="EJ48" s="9"/>
      <c r="EK48" s="10"/>
      <c r="EL48" s="165" t="str">
        <f>IF(Tabla587[[#This Row],[Equipo ]]="","",INDEX(V_MENSUAL,MATCH(Tabla587[[#This Row],[Equipo ]],LISTA_MAQUINARIA,0)))</f>
        <v/>
      </c>
      <c r="EM48" s="12" t="str">
        <f>IF(Tabla587[[#This Row],[Equipo ]]="","",INDEX(CONSUMO_COMBUSTIBLE_H,MATCH(Tabla587[[#This Row],[Equipo ]],LISTA_MAQUINARIA,0)))</f>
        <v/>
      </c>
      <c r="EN48" s="166" t="str">
        <f>IF(Tabla587[[#This Row],[Equipo ]]="","",INDEX(V_GALON,MATCH(Tabla587[[#This Row],[Equipo ]],LISTA_MAQUINARIA,0)))</f>
        <v/>
      </c>
      <c r="EO48" s="10"/>
      <c r="EP48" s="165" t="str">
        <f>IF(Tabla587[[#This Row],[Equipo ]]="","",Tabla587[[#This Row],[Valor mensual]]+Tabla587[[#This Row],[Combustible Hora ]]*Tabla587[[#This Row],[Valor galon]]*Tabla587[[#This Row],[Horas mes]])</f>
        <v/>
      </c>
      <c r="EQ48" s="168" t="str">
        <f>IF(Tabla587[[#This Row],[Valor mensual + Combustible]]="","",Tabla587[[#This Row],[Valor mensual + Combustible]]*Tabla587[[#This Row],[Cantidad]])</f>
        <v/>
      </c>
      <c r="ET48" s="9"/>
      <c r="EU48" s="10"/>
      <c r="EV48" s="165" t="str">
        <f>IF(Tabla590[[#This Row],[Equipo ]]="","",INDEX(V_MENSUAL,MATCH(Tabla590[[#This Row],[Equipo ]],LISTA_MAQUINARIA,0)))</f>
        <v/>
      </c>
      <c r="EW48" s="12" t="str">
        <f>IF(Tabla590[[#This Row],[Equipo ]]="","",INDEX(CONSUMO_COMBUSTIBLE_H,MATCH(Tabla590[[#This Row],[Equipo ]],LISTA_MAQUINARIA,0)))</f>
        <v/>
      </c>
      <c r="EX48" s="166" t="str">
        <f>IF(Tabla590[[#This Row],[Equipo ]]="","",INDEX(V_GALON,MATCH(Tabla590[[#This Row],[Equipo ]],LISTA_MAQUINARIA,0)))</f>
        <v/>
      </c>
      <c r="EY48" s="10"/>
      <c r="EZ48" s="165" t="str">
        <f>IF(Tabla590[[#This Row],[Equipo ]]="","",Tabla590[[#This Row],[Valor mensual]]+Tabla590[[#This Row],[Combustible Hora ]]*Tabla590[[#This Row],[Valor galon]]*Tabla590[[#This Row],[Horas mes]])</f>
        <v/>
      </c>
      <c r="FA48" s="168" t="str">
        <f>IF(Tabla590[[#This Row],[Valor mensual + Combustible]]="","",Tabla590[[#This Row],[Valor mensual + Combustible]]*Tabla590[[#This Row],[Cantidad]])</f>
        <v/>
      </c>
      <c r="FD48" s="9"/>
      <c r="FE48" s="10"/>
      <c r="FF48" s="165" t="str">
        <f>IF(Tabla593[[#This Row],[Equipo ]]="","",INDEX(V_MENSUAL,MATCH(Tabla593[[#This Row],[Equipo ]],LISTA_MAQUINARIA,0)))</f>
        <v/>
      </c>
      <c r="FG48" s="12" t="str">
        <f>IF(Tabla593[[#This Row],[Equipo ]]="","",INDEX(CONSUMO_COMBUSTIBLE_H,MATCH(Tabla593[[#This Row],[Equipo ]],LISTA_MAQUINARIA,0)))</f>
        <v/>
      </c>
      <c r="FH48" s="166" t="str">
        <f>IF(Tabla593[[#This Row],[Equipo ]]="","",INDEX(V_GALON,MATCH(Tabla593[[#This Row],[Equipo ]],LISTA_MAQUINARIA,0)))</f>
        <v/>
      </c>
      <c r="FI48" s="10"/>
      <c r="FJ48" s="165" t="str">
        <f>IF(Tabla593[[#This Row],[Equipo ]]="","",Tabla593[[#This Row],[Valor mensual]]+Tabla593[[#This Row],[Combustible Hora ]]*Tabla593[[#This Row],[Valor galon]]*Tabla593[[#This Row],[Horas mes]])</f>
        <v/>
      </c>
      <c r="FK48" s="168" t="str">
        <f>IF(Tabla593[[#This Row],[Valor mensual + Combustible]]="","",Tabla593[[#This Row],[Valor mensual + Combustible]]*Tabla593[[#This Row],[Cantidad]])</f>
        <v/>
      </c>
      <c r="FN48" s="9"/>
      <c r="FO48" s="10"/>
      <c r="FP48" s="165" t="str">
        <f>IF(Tabla596[[#This Row],[Equipo ]]="","",INDEX(V_MENSUAL,MATCH(Tabla596[[#This Row],[Equipo ]],LISTA_MAQUINARIA,0)))</f>
        <v/>
      </c>
      <c r="FQ48" s="12" t="str">
        <f>IF(Tabla596[[#This Row],[Equipo ]]="","",INDEX(CONSUMO_COMBUSTIBLE_H,MATCH(Tabla596[[#This Row],[Equipo ]],LISTA_MAQUINARIA,0)))</f>
        <v/>
      </c>
      <c r="FR48" s="166" t="str">
        <f>IF(Tabla596[[#This Row],[Equipo ]]="","",INDEX(V_GALON,MATCH(Tabla596[[#This Row],[Equipo ]],LISTA_MAQUINARIA,0)))</f>
        <v/>
      </c>
      <c r="FS48" s="10"/>
      <c r="FT48" s="165" t="str">
        <f>IF(Tabla596[[#This Row],[Equipo ]]="","",Tabla596[[#This Row],[Valor mensual]]+Tabla596[[#This Row],[Combustible Hora ]]*Tabla596[[#This Row],[Valor galon]]*Tabla596[[#This Row],[Horas mes]])</f>
        <v/>
      </c>
      <c r="FU48" s="168" t="str">
        <f>IF(Tabla596[[#This Row],[Valor mensual + Combustible]]="","",Tabla596[[#This Row],[Valor mensual + Combustible]]*Tabla596[[#This Row],[Cantidad]])</f>
        <v/>
      </c>
    </row>
    <row r="49" spans="1:177" x14ac:dyDescent="0.3">
      <c r="A49" s="9" t="s">
        <v>502</v>
      </c>
      <c r="B49" s="10">
        <v>1</v>
      </c>
      <c r="C49" s="165">
        <f>IF(Tabla5[[#This Row],[Equipo ]]="","",INDEX(V_MENSUAL,MATCH(Tabla5[[#This Row],[Equipo ]],LISTA_MAQUINARIA,0)))</f>
        <v>3000000</v>
      </c>
      <c r="D49" s="12">
        <f>IF(Tabla5[[#This Row],[Equipo ]]="","",INDEX(CONSUMO_COMBUSTIBLE_H,MATCH(Tabla5[[#This Row],[Equipo ]],LISTA_MAQUINARIA,0)))</f>
        <v>0</v>
      </c>
      <c r="E49" s="166">
        <f>IF(Tabla5[[#This Row],[Equipo ]]="","",INDEX(V_GALON,MATCH(Tabla5[[#This Row],[Equipo ]],LISTA_MAQUINARIA,0)))</f>
        <v>10800</v>
      </c>
      <c r="F49" s="10"/>
      <c r="G49" s="165">
        <f>IF(Tabla5[[#This Row],[Equipo ]]="","",Tabla5[[#This Row],[Valor mensual]]+Tabla5[[#This Row],[Combustible Hora ]]*Tabla5[[#This Row],[Valor galon]]*Tabla5[[#This Row],[Horas mes]])</f>
        <v>3000000</v>
      </c>
      <c r="H49" s="168">
        <f>IF(Tabla5[[#This Row],[Valor mensual + Combustible]]="","",Tabla5[[#This Row],[Valor mensual + Combustible]]*Tabla5[[#This Row],[Cantidad]])</f>
        <v>3000000</v>
      </c>
      <c r="K49" s="9"/>
      <c r="L49" s="10"/>
      <c r="M49" s="165" t="str" cm="1">
        <f t="array" ref="M49">IF(Tabla548[[#This Row],[Equipo ]]="","",INDEX(V_MENSUAL,MATCH(Tabla548[[#This Row],[Equipo ]],LISTA_MAQUINARIA,0)))</f>
        <v/>
      </c>
      <c r="N49" s="12" t="str">
        <f>IF(Tabla548[[#This Row],[Equipo ]]="","",INDEX(CONSUMO_COMBUSTIBLE_H,MATCH(Tabla548[[#This Row],[Equipo ]],LISTA_MAQUINARIA,0)))</f>
        <v/>
      </c>
      <c r="O49" s="166" t="str">
        <f>IF(Tabla548[[#This Row],[Equipo ]]="","",INDEX(V_GALON,MATCH(Tabla548[[#This Row],[Equipo ]],LISTA_MAQUINARIA,0)))</f>
        <v/>
      </c>
      <c r="P49" s="10"/>
      <c r="Q49" s="165" t="str">
        <f>IF(Tabla548[[#This Row],[Equipo ]]="","",Tabla548[[#This Row],[Valor mensual]]+Tabla548[[#This Row],[Combustible Hora ]]*Tabla548[[#This Row],[Valor galon]]*Tabla548[[#This Row],[Horas mes]])</f>
        <v/>
      </c>
      <c r="R49" s="168" t="str">
        <f>IF(Tabla548[[#This Row],[Valor mensual + Combustible]]="","",Tabla548[[#This Row],[Valor mensual + Combustible]]*Tabla548[[#This Row],[Cantidad]])</f>
        <v/>
      </c>
      <c r="U49" s="9"/>
      <c r="V49" s="10"/>
      <c r="W49" s="165" t="str">
        <f>IF(Tabla551[[#This Row],[Equipo ]]="","",INDEX(V_MENSUAL,MATCH(Tabla551[[#This Row],[Equipo ]],LISTA_MAQUINARIA,0)))</f>
        <v/>
      </c>
      <c r="X49" s="12" t="str">
        <f>IF(Tabla551[[#This Row],[Equipo ]]="","",INDEX(CONSUMO_COMBUSTIBLE_H,MATCH(Tabla551[[#This Row],[Equipo ]],LISTA_MAQUINARIA,0)))</f>
        <v/>
      </c>
      <c r="Y49" s="166" t="str">
        <f>IF(Tabla551[[#This Row],[Equipo ]]="","",INDEX(V_GALON,MATCH(Tabla551[[#This Row],[Equipo ]],LISTA_MAQUINARIA,0)))</f>
        <v/>
      </c>
      <c r="Z49" s="10"/>
      <c r="AA49" s="165" t="str">
        <f>IF(Tabla551[[#This Row],[Equipo ]]="","",Tabla551[[#This Row],[Valor mensual]]+Tabla551[[#This Row],[Combustible Hora ]]*Tabla551[[#This Row],[Valor galon]]*Tabla551[[#This Row],[Horas mes]])</f>
        <v/>
      </c>
      <c r="AB49" s="168" t="str">
        <f>IF(Tabla551[[#This Row],[Valor mensual + Combustible]]="","",Tabla551[[#This Row],[Valor mensual + Combustible]]*Tabla551[[#This Row],[Cantidad]])</f>
        <v/>
      </c>
      <c r="AD49" s="9"/>
      <c r="AE49" s="10"/>
      <c r="AF49" s="165" t="str">
        <f>IF(Tabla554[[#This Row],[Equipo ]]="","",INDEX(V_MENSUAL,MATCH(Tabla554[[#This Row],[Equipo ]],LISTA_MAQUINARIA,0)))</f>
        <v/>
      </c>
      <c r="AG49" s="12" t="str">
        <f>IF(Tabla554[[#This Row],[Equipo ]]="","",INDEX(CONSUMO_COMBUSTIBLE_H,MATCH(Tabla554[[#This Row],[Equipo ]],LISTA_MAQUINARIA,0)))</f>
        <v/>
      </c>
      <c r="AH49" s="166" t="str">
        <f>IF(Tabla554[[#This Row],[Equipo ]]="","",INDEX(V_GALON,MATCH(Tabla554[[#This Row],[Equipo ]],LISTA_MAQUINARIA,0)))</f>
        <v/>
      </c>
      <c r="AI49" s="10"/>
      <c r="AJ49" s="165" t="str">
        <f>IF(Tabla554[[#This Row],[Equipo ]]="","",Tabla554[[#This Row],[Valor mensual]]+Tabla554[[#This Row],[Combustible Hora ]]*Tabla554[[#This Row],[Valor galon]]*Tabla554[[#This Row],[Horas mes]])</f>
        <v/>
      </c>
      <c r="AK49" s="168" t="str">
        <f>IF(Tabla554[[#This Row],[Valor mensual + Combustible]]="","",Tabla554[[#This Row],[Valor mensual + Combustible]]*Tabla554[[#This Row],[Cantidad]])</f>
        <v/>
      </c>
      <c r="AN49" s="9"/>
      <c r="AO49" s="10"/>
      <c r="AP49" s="165" t="str">
        <f>IF(Tabla557[[#This Row],[Equipo ]]="","",INDEX(V_MENSUAL,MATCH(Tabla557[[#This Row],[Equipo ]],LISTA_MAQUINARIA,0)))</f>
        <v/>
      </c>
      <c r="AQ49" s="12" t="str">
        <f>IF(Tabla557[[#This Row],[Equipo ]]="","",INDEX(CONSUMO_COMBUSTIBLE_H,MATCH(Tabla557[[#This Row],[Equipo ]],LISTA_MAQUINARIA,0)))</f>
        <v/>
      </c>
      <c r="AR49" s="166" t="str">
        <f>IF(Tabla557[[#This Row],[Equipo ]]="","",INDEX(V_GALON,MATCH(Tabla557[[#This Row],[Equipo ]],LISTA_MAQUINARIA,0)))</f>
        <v/>
      </c>
      <c r="AS49" s="10"/>
      <c r="AT49" s="165" t="str">
        <f>IF(Tabla557[[#This Row],[Equipo ]]="","",Tabla557[[#This Row],[Valor mensual]]+Tabla557[[#This Row],[Combustible Hora ]]*Tabla557[[#This Row],[Valor galon]]*Tabla557[[#This Row],[Horas mes]])</f>
        <v/>
      </c>
      <c r="AU49" s="168" t="str">
        <f>IF(Tabla557[[#This Row],[Valor mensual + Combustible]]="","",Tabla557[[#This Row],[Valor mensual + Combustible]]*Tabla557[[#This Row],[Cantidad]])</f>
        <v/>
      </c>
      <c r="AX49" s="9"/>
      <c r="AY49" s="10"/>
      <c r="AZ49" s="165" t="str">
        <f>IF(Tabla560[[#This Row],[Equipo ]]="","",INDEX(V_MENSUAL,MATCH(Tabla560[[#This Row],[Equipo ]],LISTA_MAQUINARIA,0)))</f>
        <v/>
      </c>
      <c r="BA49" s="12" t="str">
        <f>IF(Tabla560[[#This Row],[Equipo ]]="","",INDEX(CONSUMO_COMBUSTIBLE_H,MATCH(Tabla560[[#This Row],[Equipo ]],LISTA_MAQUINARIA,0)))</f>
        <v/>
      </c>
      <c r="BB49" s="166" t="str">
        <f>IF(Tabla560[[#This Row],[Equipo ]]="","",INDEX(V_GALON,MATCH(Tabla560[[#This Row],[Equipo ]],LISTA_MAQUINARIA,0)))</f>
        <v/>
      </c>
      <c r="BC49" s="10"/>
      <c r="BD49" s="165" t="str">
        <f>IF(Tabla560[[#This Row],[Equipo ]]="","",Tabla560[[#This Row],[Valor mensual]]+Tabla560[[#This Row],[Combustible Hora ]]*Tabla560[[#This Row],[Valor galon]]*Tabla560[[#This Row],[Horas mes]])</f>
        <v/>
      </c>
      <c r="BE49" s="168" t="str">
        <f>IF(Tabla560[[#This Row],[Valor mensual + Combustible]]="","",Tabla560[[#This Row],[Valor mensual + Combustible]]*Tabla560[[#This Row],[Cantidad]])</f>
        <v/>
      </c>
      <c r="BH49" s="9"/>
      <c r="BI49" s="10"/>
      <c r="BJ49" s="165" t="str">
        <f>IF(Tabla563[[#This Row],[Equipo ]]="","",INDEX(V_MENSUAL,MATCH(Tabla563[[#This Row],[Equipo ]],LISTA_MAQUINARIA,0)))</f>
        <v/>
      </c>
      <c r="BK49" s="12" t="str">
        <f>IF(Tabla563[[#This Row],[Equipo ]]="","",INDEX(CONSUMO_COMBUSTIBLE_H,MATCH(Tabla563[[#This Row],[Equipo ]],LISTA_MAQUINARIA,0)))</f>
        <v/>
      </c>
      <c r="BL49" s="166" t="str">
        <f>IF(Tabla563[[#This Row],[Equipo ]]="","",INDEX(V_GALON,MATCH(Tabla563[[#This Row],[Equipo ]],LISTA_MAQUINARIA,0)))</f>
        <v/>
      </c>
      <c r="BM49" s="10"/>
      <c r="BN49" s="165" t="str">
        <f>IF(Tabla563[[#This Row],[Equipo ]]="","",Tabla563[[#This Row],[Valor mensual]]+Tabla563[[#This Row],[Combustible Hora ]]*Tabla563[[#This Row],[Valor galon]]*Tabla563[[#This Row],[Horas mes]])</f>
        <v/>
      </c>
      <c r="BO49" s="168" t="str">
        <f>IF(Tabla563[[#This Row],[Valor mensual + Combustible]]="","",Tabla563[[#This Row],[Valor mensual + Combustible]]*Tabla563[[#This Row],[Cantidad]])</f>
        <v/>
      </c>
      <c r="BR49" s="9"/>
      <c r="BS49" s="10"/>
      <c r="BT49" s="165" t="str">
        <f>IF(Tabla566[[#This Row],[Equipo ]]="","",INDEX(V_MENSUAL,MATCH(Tabla566[[#This Row],[Equipo ]],LISTA_MAQUINARIA,0)))</f>
        <v/>
      </c>
      <c r="BU49" s="12" t="str">
        <f>IF(Tabla566[[#This Row],[Equipo ]]="","",INDEX(CONSUMO_COMBUSTIBLE_H,MATCH(Tabla566[[#This Row],[Equipo ]],LISTA_MAQUINARIA,0)))</f>
        <v/>
      </c>
      <c r="BV49" s="166" t="str">
        <f>IF(Tabla566[[#This Row],[Equipo ]]="","",INDEX(V_GALON,MATCH(Tabla566[[#This Row],[Equipo ]],LISTA_MAQUINARIA,0)))</f>
        <v/>
      </c>
      <c r="BW49" s="10"/>
      <c r="BX49" s="165" t="str">
        <f>IF(Tabla566[[#This Row],[Equipo ]]="","",Tabla566[[#This Row],[Valor mensual]]+Tabla566[[#This Row],[Combustible Hora ]]*Tabla566[[#This Row],[Valor galon]]*Tabla566[[#This Row],[Horas mes]])</f>
        <v/>
      </c>
      <c r="BY49" s="168" t="str">
        <f>IF(Tabla566[[#This Row],[Valor mensual + Combustible]]="","",Tabla566[[#This Row],[Valor mensual + Combustible]]*Tabla566[[#This Row],[Cantidad]])</f>
        <v/>
      </c>
      <c r="CB49" s="9"/>
      <c r="CC49" s="10"/>
      <c r="CD49" s="165" t="str">
        <f>IF(Tabla569[[#This Row],[Equipo ]]="","",INDEX(V_MENSUAL,MATCH(Tabla569[[#This Row],[Equipo ]],LISTA_MAQUINARIA,0)))</f>
        <v/>
      </c>
      <c r="CE49" s="12" t="str">
        <f>IF(Tabla569[[#This Row],[Equipo ]]="","",INDEX(CONSUMO_COMBUSTIBLE_H,MATCH(Tabla569[[#This Row],[Equipo ]],LISTA_MAQUINARIA,0)))</f>
        <v/>
      </c>
      <c r="CF49" s="166" t="str">
        <f>IF(Tabla569[[#This Row],[Equipo ]]="","",INDEX(V_GALON,MATCH(Tabla569[[#This Row],[Equipo ]],LISTA_MAQUINARIA,0)))</f>
        <v/>
      </c>
      <c r="CG49" s="10"/>
      <c r="CH49" s="165" t="str">
        <f>IF(Tabla569[[#This Row],[Equipo ]]="","",Tabla569[[#This Row],[Valor mensual]]+Tabla569[[#This Row],[Combustible Hora ]]*Tabla569[[#This Row],[Valor galon]]*Tabla569[[#This Row],[Horas mes]])</f>
        <v/>
      </c>
      <c r="CI49" s="168" t="str">
        <f>IF(Tabla569[[#This Row],[Valor mensual + Combustible]]="","",Tabla569[[#This Row],[Valor mensual + Combustible]]*Tabla569[[#This Row],[Cantidad]])</f>
        <v/>
      </c>
      <c r="CL49" s="9"/>
      <c r="CM49" s="10"/>
      <c r="CN49" s="165" t="str">
        <f>IF(Tabla572[[#This Row],[Equipo ]]="","",INDEX(V_MENSUAL,MATCH(Tabla572[[#This Row],[Equipo ]],LISTA_MAQUINARIA,0)))</f>
        <v/>
      </c>
      <c r="CO49" s="12" t="str">
        <f>IF(Tabla572[[#This Row],[Equipo ]]="","",INDEX(CONSUMO_COMBUSTIBLE_H,MATCH(Tabla572[[#This Row],[Equipo ]],LISTA_MAQUINARIA,0)))</f>
        <v/>
      </c>
      <c r="CP49" s="166" t="str">
        <f>IF(Tabla572[[#This Row],[Equipo ]]="","",INDEX(V_GALON,MATCH(Tabla572[[#This Row],[Equipo ]],LISTA_MAQUINARIA,0)))</f>
        <v/>
      </c>
      <c r="CQ49" s="10"/>
      <c r="CR49" s="165" t="str">
        <f>IF(Tabla572[[#This Row],[Equipo ]]="","",Tabla572[[#This Row],[Valor mensual]]+Tabla572[[#This Row],[Combustible Hora ]]*Tabla572[[#This Row],[Valor galon]]*Tabla572[[#This Row],[Horas mes]])</f>
        <v/>
      </c>
      <c r="CS49" s="168" t="str">
        <f>IF(Tabla572[[#This Row],[Valor mensual + Combustible]]="","",Tabla572[[#This Row],[Valor mensual + Combustible]]*Tabla572[[#This Row],[Cantidad]])</f>
        <v/>
      </c>
      <c r="CV49" s="9"/>
      <c r="CW49" s="10"/>
      <c r="CX49" s="165" t="str">
        <f>IF(Tabla575[[#This Row],[Equipo ]]="","",INDEX(V_MENSUAL,MATCH(Tabla575[[#This Row],[Equipo ]],LISTA_MAQUINARIA,0)))</f>
        <v/>
      </c>
      <c r="CY49" s="12" t="str">
        <f>IF(Tabla575[[#This Row],[Equipo ]]="","",INDEX(CONSUMO_COMBUSTIBLE_H,MATCH(Tabla575[[#This Row],[Equipo ]],LISTA_MAQUINARIA,0)))</f>
        <v/>
      </c>
      <c r="CZ49" s="166" t="str">
        <f>IF(Tabla575[[#This Row],[Equipo ]]="","",INDEX(V_GALON,MATCH(Tabla575[[#This Row],[Equipo ]],LISTA_MAQUINARIA,0)))</f>
        <v/>
      </c>
      <c r="DA49" s="10"/>
      <c r="DB49" s="165" t="str">
        <f>IF(Tabla575[[#This Row],[Equipo ]]="","",Tabla575[[#This Row],[Valor mensual]]+Tabla575[[#This Row],[Combustible Hora ]]*Tabla575[[#This Row],[Valor galon]]*Tabla575[[#This Row],[Horas mes]])</f>
        <v/>
      </c>
      <c r="DC49" s="168" t="str">
        <f>IF(Tabla575[[#This Row],[Valor mensual + Combustible]]="","",Tabla575[[#This Row],[Valor mensual + Combustible]]*Tabla575[[#This Row],[Cantidad]])</f>
        <v/>
      </c>
      <c r="DF49" s="9"/>
      <c r="DG49" s="10"/>
      <c r="DH49" s="165" t="str">
        <f>IF(Tabla578[[#This Row],[Equipo ]]="","",INDEX(V_MENSUAL,MATCH(Tabla578[[#This Row],[Equipo ]],LISTA_MAQUINARIA,0)))</f>
        <v/>
      </c>
      <c r="DI49" s="12" t="str">
        <f>IF(Tabla578[[#This Row],[Equipo ]]="","",INDEX(CONSUMO_COMBUSTIBLE_H,MATCH(Tabla578[[#This Row],[Equipo ]],LISTA_MAQUINARIA,0)))</f>
        <v/>
      </c>
      <c r="DJ49" s="166" t="str">
        <f>IF(Tabla578[[#This Row],[Equipo ]]="","",INDEX(V_GALON,MATCH(Tabla578[[#This Row],[Equipo ]],LISTA_MAQUINARIA,0)))</f>
        <v/>
      </c>
      <c r="DK49" s="10"/>
      <c r="DL49" s="165" t="str">
        <f>IF(Tabla578[[#This Row],[Equipo ]]="","",Tabla578[[#This Row],[Valor mensual]]+Tabla578[[#This Row],[Combustible Hora ]]*Tabla578[[#This Row],[Valor galon]]*Tabla578[[#This Row],[Horas mes]])</f>
        <v/>
      </c>
      <c r="DM49" s="168" t="str">
        <f>IF(Tabla578[[#This Row],[Valor mensual + Combustible]]="","",Tabla578[[#This Row],[Valor mensual + Combustible]]*Tabla578[[#This Row],[Cantidad]])</f>
        <v/>
      </c>
      <c r="DP49" s="9"/>
      <c r="DQ49" s="10"/>
      <c r="DR49" s="165" t="str">
        <f>IF(Tabla581[[#This Row],[Equipo ]]="","",INDEX(V_MENSUAL,MATCH(Tabla581[[#This Row],[Equipo ]],LISTA_MAQUINARIA,0)))</f>
        <v/>
      </c>
      <c r="DS49" s="12" t="str">
        <f>IF(Tabla581[[#This Row],[Equipo ]]="","",INDEX(CONSUMO_COMBUSTIBLE_H,MATCH(Tabla581[[#This Row],[Equipo ]],LISTA_MAQUINARIA,0)))</f>
        <v/>
      </c>
      <c r="DT49" s="166" t="str">
        <f>IF(Tabla581[[#This Row],[Equipo ]]="","",INDEX(V_GALON,MATCH(Tabla581[[#This Row],[Equipo ]],LISTA_MAQUINARIA,0)))</f>
        <v/>
      </c>
      <c r="DU49" s="10"/>
      <c r="DV49" s="165" t="str">
        <f>IF(Tabla581[[#This Row],[Equipo ]]="","",Tabla581[[#This Row],[Valor mensual]]+Tabla581[[#This Row],[Combustible Hora ]]*Tabla581[[#This Row],[Valor galon]]*Tabla581[[#This Row],[Horas mes]])</f>
        <v/>
      </c>
      <c r="DW49" s="168" t="str">
        <f>IF(Tabla581[[#This Row],[Valor mensual + Combustible]]="","",Tabla581[[#This Row],[Valor mensual + Combustible]]*Tabla581[[#This Row],[Cantidad]])</f>
        <v/>
      </c>
      <c r="DZ49" s="9"/>
      <c r="EA49" s="10"/>
      <c r="EB49" s="165" t="str">
        <f>IF(Tabla584[[#This Row],[Equipo ]]="","",INDEX(V_MENSUAL,MATCH(Tabla584[[#This Row],[Equipo ]],LISTA_MAQUINARIA,0)))</f>
        <v/>
      </c>
      <c r="EC49" s="12" t="str">
        <f>IF(Tabla584[[#This Row],[Equipo ]]="","",INDEX(CONSUMO_COMBUSTIBLE_H,MATCH(Tabla584[[#This Row],[Equipo ]],LISTA_MAQUINARIA,0)))</f>
        <v/>
      </c>
      <c r="ED49" s="166" t="str">
        <f>IF(Tabla584[[#This Row],[Equipo ]]="","",INDEX(V_GALON,MATCH(Tabla584[[#This Row],[Equipo ]],LISTA_MAQUINARIA,0)))</f>
        <v/>
      </c>
      <c r="EE49" s="10"/>
      <c r="EF49" s="165" t="str">
        <f>IF(Tabla584[[#This Row],[Equipo ]]="","",Tabla584[[#This Row],[Valor mensual]]+Tabla584[[#This Row],[Combustible Hora ]]*Tabla584[[#This Row],[Valor galon]]*Tabla584[[#This Row],[Horas mes]])</f>
        <v/>
      </c>
      <c r="EG49" s="168" t="str">
        <f>IF(Tabla584[[#This Row],[Valor mensual + Combustible]]="","",Tabla584[[#This Row],[Valor mensual + Combustible]]*Tabla584[[#This Row],[Cantidad]])</f>
        <v/>
      </c>
      <c r="EJ49" s="9"/>
      <c r="EK49" s="10"/>
      <c r="EL49" s="165" t="str">
        <f>IF(Tabla587[[#This Row],[Equipo ]]="","",INDEX(V_MENSUAL,MATCH(Tabla587[[#This Row],[Equipo ]],LISTA_MAQUINARIA,0)))</f>
        <v/>
      </c>
      <c r="EM49" s="12" t="str">
        <f>IF(Tabla587[[#This Row],[Equipo ]]="","",INDEX(CONSUMO_COMBUSTIBLE_H,MATCH(Tabla587[[#This Row],[Equipo ]],LISTA_MAQUINARIA,0)))</f>
        <v/>
      </c>
      <c r="EN49" s="166" t="str">
        <f>IF(Tabla587[[#This Row],[Equipo ]]="","",INDEX(V_GALON,MATCH(Tabla587[[#This Row],[Equipo ]],LISTA_MAQUINARIA,0)))</f>
        <v/>
      </c>
      <c r="EO49" s="10"/>
      <c r="EP49" s="165" t="str">
        <f>IF(Tabla587[[#This Row],[Equipo ]]="","",Tabla587[[#This Row],[Valor mensual]]+Tabla587[[#This Row],[Combustible Hora ]]*Tabla587[[#This Row],[Valor galon]]*Tabla587[[#This Row],[Horas mes]])</f>
        <v/>
      </c>
      <c r="EQ49" s="168" t="str">
        <f>IF(Tabla587[[#This Row],[Valor mensual + Combustible]]="","",Tabla587[[#This Row],[Valor mensual + Combustible]]*Tabla587[[#This Row],[Cantidad]])</f>
        <v/>
      </c>
      <c r="ET49" s="9"/>
      <c r="EU49" s="10"/>
      <c r="EV49" s="165" t="str">
        <f>IF(Tabla590[[#This Row],[Equipo ]]="","",INDEX(V_MENSUAL,MATCH(Tabla590[[#This Row],[Equipo ]],LISTA_MAQUINARIA,0)))</f>
        <v/>
      </c>
      <c r="EW49" s="12" t="str">
        <f>IF(Tabla590[[#This Row],[Equipo ]]="","",INDEX(CONSUMO_COMBUSTIBLE_H,MATCH(Tabla590[[#This Row],[Equipo ]],LISTA_MAQUINARIA,0)))</f>
        <v/>
      </c>
      <c r="EX49" s="166" t="str">
        <f>IF(Tabla590[[#This Row],[Equipo ]]="","",INDEX(V_GALON,MATCH(Tabla590[[#This Row],[Equipo ]],LISTA_MAQUINARIA,0)))</f>
        <v/>
      </c>
      <c r="EY49" s="10"/>
      <c r="EZ49" s="165" t="str">
        <f>IF(Tabla590[[#This Row],[Equipo ]]="","",Tabla590[[#This Row],[Valor mensual]]+Tabla590[[#This Row],[Combustible Hora ]]*Tabla590[[#This Row],[Valor galon]]*Tabla590[[#This Row],[Horas mes]])</f>
        <v/>
      </c>
      <c r="FA49" s="168" t="str">
        <f>IF(Tabla590[[#This Row],[Valor mensual + Combustible]]="","",Tabla590[[#This Row],[Valor mensual + Combustible]]*Tabla590[[#This Row],[Cantidad]])</f>
        <v/>
      </c>
      <c r="FD49" s="9"/>
      <c r="FE49" s="10"/>
      <c r="FF49" s="165" t="str">
        <f>IF(Tabla593[[#This Row],[Equipo ]]="","",INDEX(V_MENSUAL,MATCH(Tabla593[[#This Row],[Equipo ]],LISTA_MAQUINARIA,0)))</f>
        <v/>
      </c>
      <c r="FG49" s="12" t="str">
        <f>IF(Tabla593[[#This Row],[Equipo ]]="","",INDEX(CONSUMO_COMBUSTIBLE_H,MATCH(Tabla593[[#This Row],[Equipo ]],LISTA_MAQUINARIA,0)))</f>
        <v/>
      </c>
      <c r="FH49" s="166" t="str">
        <f>IF(Tabla593[[#This Row],[Equipo ]]="","",INDEX(V_GALON,MATCH(Tabla593[[#This Row],[Equipo ]],LISTA_MAQUINARIA,0)))</f>
        <v/>
      </c>
      <c r="FI49" s="10"/>
      <c r="FJ49" s="165" t="str">
        <f>IF(Tabla593[[#This Row],[Equipo ]]="","",Tabla593[[#This Row],[Valor mensual]]+Tabla593[[#This Row],[Combustible Hora ]]*Tabla593[[#This Row],[Valor galon]]*Tabla593[[#This Row],[Horas mes]])</f>
        <v/>
      </c>
      <c r="FK49" s="168" t="str">
        <f>IF(Tabla593[[#This Row],[Valor mensual + Combustible]]="","",Tabla593[[#This Row],[Valor mensual + Combustible]]*Tabla593[[#This Row],[Cantidad]])</f>
        <v/>
      </c>
      <c r="FN49" s="9"/>
      <c r="FO49" s="10"/>
      <c r="FP49" s="165" t="str">
        <f>IF(Tabla596[[#This Row],[Equipo ]]="","",INDEX(V_MENSUAL,MATCH(Tabla596[[#This Row],[Equipo ]],LISTA_MAQUINARIA,0)))</f>
        <v/>
      </c>
      <c r="FQ49" s="12" t="str">
        <f>IF(Tabla596[[#This Row],[Equipo ]]="","",INDEX(CONSUMO_COMBUSTIBLE_H,MATCH(Tabla596[[#This Row],[Equipo ]],LISTA_MAQUINARIA,0)))</f>
        <v/>
      </c>
      <c r="FR49" s="166" t="str">
        <f>IF(Tabla596[[#This Row],[Equipo ]]="","",INDEX(V_GALON,MATCH(Tabla596[[#This Row],[Equipo ]],LISTA_MAQUINARIA,0)))</f>
        <v/>
      </c>
      <c r="FS49" s="10"/>
      <c r="FT49" s="165" t="str">
        <f>IF(Tabla596[[#This Row],[Equipo ]]="","",Tabla596[[#This Row],[Valor mensual]]+Tabla596[[#This Row],[Combustible Hora ]]*Tabla596[[#This Row],[Valor galon]]*Tabla596[[#This Row],[Horas mes]])</f>
        <v/>
      </c>
      <c r="FU49" s="168" t="str">
        <f>IF(Tabla596[[#This Row],[Valor mensual + Combustible]]="","",Tabla596[[#This Row],[Valor mensual + Combustible]]*Tabla596[[#This Row],[Cantidad]])</f>
        <v/>
      </c>
    </row>
    <row r="50" spans="1:177" x14ac:dyDescent="0.3">
      <c r="A50" s="9"/>
      <c r="B50" s="10"/>
      <c r="C50" s="165" t="str">
        <f>IF(Tabla5[[#This Row],[Equipo ]]="","",INDEX(V_MENSUAL,MATCH(Tabla5[[#This Row],[Equipo ]],LISTA_MAQUINARIA,0)))</f>
        <v/>
      </c>
      <c r="D50" s="12" t="str">
        <f>IF(Tabla5[[#This Row],[Equipo ]]="","",INDEX(CONSUMO_COMBUSTIBLE_H,MATCH(Tabla5[[#This Row],[Equipo ]],LISTA_MAQUINARIA,0)))</f>
        <v/>
      </c>
      <c r="E50" s="166" t="str">
        <f>IF(Tabla5[[#This Row],[Equipo ]]="","",INDEX(V_GALON,MATCH(Tabla5[[#This Row],[Equipo ]],LISTA_MAQUINARIA,0)))</f>
        <v/>
      </c>
      <c r="F50" s="10"/>
      <c r="G50" s="165" t="str">
        <f>IF(Tabla5[[#This Row],[Equipo ]]="","",Tabla5[[#This Row],[Valor mensual]]+Tabla5[[#This Row],[Combustible Hora ]]*Tabla5[[#This Row],[Valor galon]]*Tabla5[[#This Row],[Horas mes]])</f>
        <v/>
      </c>
      <c r="H50" s="168" t="str">
        <f>IF(Tabla5[[#This Row],[Valor mensual + Combustible]]="","",Tabla5[[#This Row],[Valor mensual + Combustible]]*Tabla5[[#This Row],[Cantidad]])</f>
        <v/>
      </c>
      <c r="K50" s="9"/>
      <c r="L50" s="10"/>
      <c r="M50" s="165" t="str" cm="1">
        <f t="array" ref="M50">IF(Tabla548[[#This Row],[Equipo ]]="","",INDEX(V_MENSUAL,MATCH(Tabla548[[#This Row],[Equipo ]],LISTA_MAQUINARIA,0)))</f>
        <v/>
      </c>
      <c r="N50" s="12" t="str">
        <f>IF(Tabla548[[#This Row],[Equipo ]]="","",INDEX(CONSUMO_COMBUSTIBLE_H,MATCH(Tabla548[[#This Row],[Equipo ]],LISTA_MAQUINARIA,0)))</f>
        <v/>
      </c>
      <c r="O50" s="166" t="str">
        <f>IF(Tabla548[[#This Row],[Equipo ]]="","",INDEX(V_GALON,MATCH(Tabla548[[#This Row],[Equipo ]],LISTA_MAQUINARIA,0)))</f>
        <v/>
      </c>
      <c r="P50" s="10"/>
      <c r="Q50" s="165" t="str">
        <f>IF(Tabla548[[#This Row],[Equipo ]]="","",Tabla548[[#This Row],[Valor mensual]]+Tabla548[[#This Row],[Combustible Hora ]]*Tabla548[[#This Row],[Valor galon]]*Tabla548[[#This Row],[Horas mes]])</f>
        <v/>
      </c>
      <c r="R50" s="168" t="str">
        <f>IF(Tabla548[[#This Row],[Valor mensual + Combustible]]="","",Tabla548[[#This Row],[Valor mensual + Combustible]]*Tabla548[[#This Row],[Cantidad]])</f>
        <v/>
      </c>
      <c r="U50" s="9"/>
      <c r="V50" s="10"/>
      <c r="W50" s="165" t="str">
        <f>IF(Tabla551[[#This Row],[Equipo ]]="","",INDEX(V_MENSUAL,MATCH(Tabla551[[#This Row],[Equipo ]],LISTA_MAQUINARIA,0)))</f>
        <v/>
      </c>
      <c r="X50" s="12" t="str">
        <f>IF(Tabla551[[#This Row],[Equipo ]]="","",INDEX(CONSUMO_COMBUSTIBLE_H,MATCH(Tabla551[[#This Row],[Equipo ]],LISTA_MAQUINARIA,0)))</f>
        <v/>
      </c>
      <c r="Y50" s="166" t="str">
        <f>IF(Tabla551[[#This Row],[Equipo ]]="","",INDEX(V_GALON,MATCH(Tabla551[[#This Row],[Equipo ]],LISTA_MAQUINARIA,0)))</f>
        <v/>
      </c>
      <c r="Z50" s="10"/>
      <c r="AA50" s="165" t="str">
        <f>IF(Tabla551[[#This Row],[Equipo ]]="","",Tabla551[[#This Row],[Valor mensual]]+Tabla551[[#This Row],[Combustible Hora ]]*Tabla551[[#This Row],[Valor galon]]*Tabla551[[#This Row],[Horas mes]])</f>
        <v/>
      </c>
      <c r="AB50" s="168" t="str">
        <f>IF(Tabla551[[#This Row],[Valor mensual + Combustible]]="","",Tabla551[[#This Row],[Valor mensual + Combustible]]*Tabla551[[#This Row],[Cantidad]])</f>
        <v/>
      </c>
      <c r="AD50" s="9"/>
      <c r="AE50" s="10"/>
      <c r="AF50" s="165" t="str">
        <f>IF(Tabla554[[#This Row],[Equipo ]]="","",INDEX(V_MENSUAL,MATCH(Tabla554[[#This Row],[Equipo ]],LISTA_MAQUINARIA,0)))</f>
        <v/>
      </c>
      <c r="AG50" s="12" t="str">
        <f>IF(Tabla554[[#This Row],[Equipo ]]="","",INDEX(CONSUMO_COMBUSTIBLE_H,MATCH(Tabla554[[#This Row],[Equipo ]],LISTA_MAQUINARIA,0)))</f>
        <v/>
      </c>
      <c r="AH50" s="166" t="str">
        <f>IF(Tabla554[[#This Row],[Equipo ]]="","",INDEX(V_GALON,MATCH(Tabla554[[#This Row],[Equipo ]],LISTA_MAQUINARIA,0)))</f>
        <v/>
      </c>
      <c r="AI50" s="10"/>
      <c r="AJ50" s="165" t="str">
        <f>IF(Tabla554[[#This Row],[Equipo ]]="","",Tabla554[[#This Row],[Valor mensual]]+Tabla554[[#This Row],[Combustible Hora ]]*Tabla554[[#This Row],[Valor galon]]*Tabla554[[#This Row],[Horas mes]])</f>
        <v/>
      </c>
      <c r="AK50" s="168" t="str">
        <f>IF(Tabla554[[#This Row],[Valor mensual + Combustible]]="","",Tabla554[[#This Row],[Valor mensual + Combustible]]*Tabla554[[#This Row],[Cantidad]])</f>
        <v/>
      </c>
      <c r="AN50" s="9"/>
      <c r="AO50" s="10"/>
      <c r="AP50" s="165" t="str">
        <f>IF(Tabla557[[#This Row],[Equipo ]]="","",INDEX(V_MENSUAL,MATCH(Tabla557[[#This Row],[Equipo ]],LISTA_MAQUINARIA,0)))</f>
        <v/>
      </c>
      <c r="AQ50" s="12" t="str">
        <f>IF(Tabla557[[#This Row],[Equipo ]]="","",INDEX(CONSUMO_COMBUSTIBLE_H,MATCH(Tabla557[[#This Row],[Equipo ]],LISTA_MAQUINARIA,0)))</f>
        <v/>
      </c>
      <c r="AR50" s="166" t="str">
        <f>IF(Tabla557[[#This Row],[Equipo ]]="","",INDEX(V_GALON,MATCH(Tabla557[[#This Row],[Equipo ]],LISTA_MAQUINARIA,0)))</f>
        <v/>
      </c>
      <c r="AS50" s="10"/>
      <c r="AT50" s="165" t="str">
        <f>IF(Tabla557[[#This Row],[Equipo ]]="","",Tabla557[[#This Row],[Valor mensual]]+Tabla557[[#This Row],[Combustible Hora ]]*Tabla557[[#This Row],[Valor galon]]*Tabla557[[#This Row],[Horas mes]])</f>
        <v/>
      </c>
      <c r="AU50" s="168" t="str">
        <f>IF(Tabla557[[#This Row],[Valor mensual + Combustible]]="","",Tabla557[[#This Row],[Valor mensual + Combustible]]*Tabla557[[#This Row],[Cantidad]])</f>
        <v/>
      </c>
      <c r="AX50" s="9"/>
      <c r="AY50" s="10"/>
      <c r="AZ50" s="165" t="str">
        <f>IF(Tabla560[[#This Row],[Equipo ]]="","",INDEX(V_MENSUAL,MATCH(Tabla560[[#This Row],[Equipo ]],LISTA_MAQUINARIA,0)))</f>
        <v/>
      </c>
      <c r="BA50" s="12" t="str">
        <f>IF(Tabla560[[#This Row],[Equipo ]]="","",INDEX(CONSUMO_COMBUSTIBLE_H,MATCH(Tabla560[[#This Row],[Equipo ]],LISTA_MAQUINARIA,0)))</f>
        <v/>
      </c>
      <c r="BB50" s="166" t="str">
        <f>IF(Tabla560[[#This Row],[Equipo ]]="","",INDEX(V_GALON,MATCH(Tabla560[[#This Row],[Equipo ]],LISTA_MAQUINARIA,0)))</f>
        <v/>
      </c>
      <c r="BC50" s="10"/>
      <c r="BD50" s="165" t="str">
        <f>IF(Tabla560[[#This Row],[Equipo ]]="","",Tabla560[[#This Row],[Valor mensual]]+Tabla560[[#This Row],[Combustible Hora ]]*Tabla560[[#This Row],[Valor galon]]*Tabla560[[#This Row],[Horas mes]])</f>
        <v/>
      </c>
      <c r="BE50" s="168" t="str">
        <f>IF(Tabla560[[#This Row],[Valor mensual + Combustible]]="","",Tabla560[[#This Row],[Valor mensual + Combustible]]*Tabla560[[#This Row],[Cantidad]])</f>
        <v/>
      </c>
      <c r="BH50" s="9"/>
      <c r="BI50" s="10"/>
      <c r="BJ50" s="165" t="str">
        <f>IF(Tabla563[[#This Row],[Equipo ]]="","",INDEX(V_MENSUAL,MATCH(Tabla563[[#This Row],[Equipo ]],LISTA_MAQUINARIA,0)))</f>
        <v/>
      </c>
      <c r="BK50" s="12" t="str">
        <f>IF(Tabla563[[#This Row],[Equipo ]]="","",INDEX(CONSUMO_COMBUSTIBLE_H,MATCH(Tabla563[[#This Row],[Equipo ]],LISTA_MAQUINARIA,0)))</f>
        <v/>
      </c>
      <c r="BL50" s="166" t="str">
        <f>IF(Tabla563[[#This Row],[Equipo ]]="","",INDEX(V_GALON,MATCH(Tabla563[[#This Row],[Equipo ]],LISTA_MAQUINARIA,0)))</f>
        <v/>
      </c>
      <c r="BM50" s="10"/>
      <c r="BN50" s="165" t="str">
        <f>IF(Tabla563[[#This Row],[Equipo ]]="","",Tabla563[[#This Row],[Valor mensual]]+Tabla563[[#This Row],[Combustible Hora ]]*Tabla563[[#This Row],[Valor galon]]*Tabla563[[#This Row],[Horas mes]])</f>
        <v/>
      </c>
      <c r="BO50" s="168" t="str">
        <f>IF(Tabla563[[#This Row],[Valor mensual + Combustible]]="","",Tabla563[[#This Row],[Valor mensual + Combustible]]*Tabla563[[#This Row],[Cantidad]])</f>
        <v/>
      </c>
      <c r="BR50" s="9"/>
      <c r="BS50" s="10"/>
      <c r="BT50" s="165" t="str">
        <f>IF(Tabla566[[#This Row],[Equipo ]]="","",INDEX(V_MENSUAL,MATCH(Tabla566[[#This Row],[Equipo ]],LISTA_MAQUINARIA,0)))</f>
        <v/>
      </c>
      <c r="BU50" s="12" t="str">
        <f>IF(Tabla566[[#This Row],[Equipo ]]="","",INDEX(CONSUMO_COMBUSTIBLE_H,MATCH(Tabla566[[#This Row],[Equipo ]],LISTA_MAQUINARIA,0)))</f>
        <v/>
      </c>
      <c r="BV50" s="166" t="str">
        <f>IF(Tabla566[[#This Row],[Equipo ]]="","",INDEX(V_GALON,MATCH(Tabla566[[#This Row],[Equipo ]],LISTA_MAQUINARIA,0)))</f>
        <v/>
      </c>
      <c r="BW50" s="10"/>
      <c r="BX50" s="165" t="str">
        <f>IF(Tabla566[[#This Row],[Equipo ]]="","",Tabla566[[#This Row],[Valor mensual]]+Tabla566[[#This Row],[Combustible Hora ]]*Tabla566[[#This Row],[Valor galon]]*Tabla566[[#This Row],[Horas mes]])</f>
        <v/>
      </c>
      <c r="BY50" s="168" t="str">
        <f>IF(Tabla566[[#This Row],[Valor mensual + Combustible]]="","",Tabla566[[#This Row],[Valor mensual + Combustible]]*Tabla566[[#This Row],[Cantidad]])</f>
        <v/>
      </c>
      <c r="CB50" s="9"/>
      <c r="CC50" s="10"/>
      <c r="CD50" s="165" t="str">
        <f>IF(Tabla569[[#This Row],[Equipo ]]="","",INDEX(V_MENSUAL,MATCH(Tabla569[[#This Row],[Equipo ]],LISTA_MAQUINARIA,0)))</f>
        <v/>
      </c>
      <c r="CE50" s="12" t="str">
        <f>IF(Tabla569[[#This Row],[Equipo ]]="","",INDEX(CONSUMO_COMBUSTIBLE_H,MATCH(Tabla569[[#This Row],[Equipo ]],LISTA_MAQUINARIA,0)))</f>
        <v/>
      </c>
      <c r="CF50" s="166" t="str">
        <f>IF(Tabla569[[#This Row],[Equipo ]]="","",INDEX(V_GALON,MATCH(Tabla569[[#This Row],[Equipo ]],LISTA_MAQUINARIA,0)))</f>
        <v/>
      </c>
      <c r="CG50" s="10"/>
      <c r="CH50" s="165" t="str">
        <f>IF(Tabla569[[#This Row],[Equipo ]]="","",Tabla569[[#This Row],[Valor mensual]]+Tabla569[[#This Row],[Combustible Hora ]]*Tabla569[[#This Row],[Valor galon]]*Tabla569[[#This Row],[Horas mes]])</f>
        <v/>
      </c>
      <c r="CI50" s="168" t="str">
        <f>IF(Tabla569[[#This Row],[Valor mensual + Combustible]]="","",Tabla569[[#This Row],[Valor mensual + Combustible]]*Tabla569[[#This Row],[Cantidad]])</f>
        <v/>
      </c>
      <c r="CL50" s="9"/>
      <c r="CM50" s="10"/>
      <c r="CN50" s="165" t="str">
        <f>IF(Tabla572[[#This Row],[Equipo ]]="","",INDEX(V_MENSUAL,MATCH(Tabla572[[#This Row],[Equipo ]],LISTA_MAQUINARIA,0)))</f>
        <v/>
      </c>
      <c r="CO50" s="12" t="str">
        <f>IF(Tabla572[[#This Row],[Equipo ]]="","",INDEX(CONSUMO_COMBUSTIBLE_H,MATCH(Tabla572[[#This Row],[Equipo ]],LISTA_MAQUINARIA,0)))</f>
        <v/>
      </c>
      <c r="CP50" s="166" t="str">
        <f>IF(Tabla572[[#This Row],[Equipo ]]="","",INDEX(V_GALON,MATCH(Tabla572[[#This Row],[Equipo ]],LISTA_MAQUINARIA,0)))</f>
        <v/>
      </c>
      <c r="CQ50" s="10"/>
      <c r="CR50" s="165" t="str">
        <f>IF(Tabla572[[#This Row],[Equipo ]]="","",Tabla572[[#This Row],[Valor mensual]]+Tabla572[[#This Row],[Combustible Hora ]]*Tabla572[[#This Row],[Valor galon]]*Tabla572[[#This Row],[Horas mes]])</f>
        <v/>
      </c>
      <c r="CS50" s="168" t="str">
        <f>IF(Tabla572[[#This Row],[Valor mensual + Combustible]]="","",Tabla572[[#This Row],[Valor mensual + Combustible]]*Tabla572[[#This Row],[Cantidad]])</f>
        <v/>
      </c>
      <c r="CV50" s="9"/>
      <c r="CW50" s="10"/>
      <c r="CX50" s="165" t="str">
        <f>IF(Tabla575[[#This Row],[Equipo ]]="","",INDEX(V_MENSUAL,MATCH(Tabla575[[#This Row],[Equipo ]],LISTA_MAQUINARIA,0)))</f>
        <v/>
      </c>
      <c r="CY50" s="12" t="str">
        <f>IF(Tabla575[[#This Row],[Equipo ]]="","",INDEX(CONSUMO_COMBUSTIBLE_H,MATCH(Tabla575[[#This Row],[Equipo ]],LISTA_MAQUINARIA,0)))</f>
        <v/>
      </c>
      <c r="CZ50" s="166" t="str">
        <f>IF(Tabla575[[#This Row],[Equipo ]]="","",INDEX(V_GALON,MATCH(Tabla575[[#This Row],[Equipo ]],LISTA_MAQUINARIA,0)))</f>
        <v/>
      </c>
      <c r="DA50" s="10"/>
      <c r="DB50" s="165" t="str">
        <f>IF(Tabla575[[#This Row],[Equipo ]]="","",Tabla575[[#This Row],[Valor mensual]]+Tabla575[[#This Row],[Combustible Hora ]]*Tabla575[[#This Row],[Valor galon]]*Tabla575[[#This Row],[Horas mes]])</f>
        <v/>
      </c>
      <c r="DC50" s="168" t="str">
        <f>IF(Tabla575[[#This Row],[Valor mensual + Combustible]]="","",Tabla575[[#This Row],[Valor mensual + Combustible]]*Tabla575[[#This Row],[Cantidad]])</f>
        <v/>
      </c>
      <c r="DF50" s="9"/>
      <c r="DG50" s="10"/>
      <c r="DH50" s="165" t="str">
        <f>IF(Tabla578[[#This Row],[Equipo ]]="","",INDEX(V_MENSUAL,MATCH(Tabla578[[#This Row],[Equipo ]],LISTA_MAQUINARIA,0)))</f>
        <v/>
      </c>
      <c r="DI50" s="12" t="str">
        <f>IF(Tabla578[[#This Row],[Equipo ]]="","",INDEX(CONSUMO_COMBUSTIBLE_H,MATCH(Tabla578[[#This Row],[Equipo ]],LISTA_MAQUINARIA,0)))</f>
        <v/>
      </c>
      <c r="DJ50" s="166" t="str">
        <f>IF(Tabla578[[#This Row],[Equipo ]]="","",INDEX(V_GALON,MATCH(Tabla578[[#This Row],[Equipo ]],LISTA_MAQUINARIA,0)))</f>
        <v/>
      </c>
      <c r="DK50" s="10"/>
      <c r="DL50" s="165" t="str">
        <f>IF(Tabla578[[#This Row],[Equipo ]]="","",Tabla578[[#This Row],[Valor mensual]]+Tabla578[[#This Row],[Combustible Hora ]]*Tabla578[[#This Row],[Valor galon]]*Tabla578[[#This Row],[Horas mes]])</f>
        <v/>
      </c>
      <c r="DM50" s="168" t="str">
        <f>IF(Tabla578[[#This Row],[Valor mensual + Combustible]]="","",Tabla578[[#This Row],[Valor mensual + Combustible]]*Tabla578[[#This Row],[Cantidad]])</f>
        <v/>
      </c>
      <c r="DP50" s="9"/>
      <c r="DQ50" s="10"/>
      <c r="DR50" s="165" t="str">
        <f>IF(Tabla581[[#This Row],[Equipo ]]="","",INDEX(V_MENSUAL,MATCH(Tabla581[[#This Row],[Equipo ]],LISTA_MAQUINARIA,0)))</f>
        <v/>
      </c>
      <c r="DS50" s="12" t="str">
        <f>IF(Tabla581[[#This Row],[Equipo ]]="","",INDEX(CONSUMO_COMBUSTIBLE_H,MATCH(Tabla581[[#This Row],[Equipo ]],LISTA_MAQUINARIA,0)))</f>
        <v/>
      </c>
      <c r="DT50" s="166" t="str">
        <f>IF(Tabla581[[#This Row],[Equipo ]]="","",INDEX(V_GALON,MATCH(Tabla581[[#This Row],[Equipo ]],LISTA_MAQUINARIA,0)))</f>
        <v/>
      </c>
      <c r="DU50" s="10"/>
      <c r="DV50" s="165" t="str">
        <f>IF(Tabla581[[#This Row],[Equipo ]]="","",Tabla581[[#This Row],[Valor mensual]]+Tabla581[[#This Row],[Combustible Hora ]]*Tabla581[[#This Row],[Valor galon]]*Tabla581[[#This Row],[Horas mes]])</f>
        <v/>
      </c>
      <c r="DW50" s="168" t="str">
        <f>IF(Tabla581[[#This Row],[Valor mensual + Combustible]]="","",Tabla581[[#This Row],[Valor mensual + Combustible]]*Tabla581[[#This Row],[Cantidad]])</f>
        <v/>
      </c>
      <c r="DZ50" s="9"/>
      <c r="EA50" s="10"/>
      <c r="EB50" s="165" t="str">
        <f>IF(Tabla584[[#This Row],[Equipo ]]="","",INDEX(V_MENSUAL,MATCH(Tabla584[[#This Row],[Equipo ]],LISTA_MAQUINARIA,0)))</f>
        <v/>
      </c>
      <c r="EC50" s="12" t="str">
        <f>IF(Tabla584[[#This Row],[Equipo ]]="","",INDEX(CONSUMO_COMBUSTIBLE_H,MATCH(Tabla584[[#This Row],[Equipo ]],LISTA_MAQUINARIA,0)))</f>
        <v/>
      </c>
      <c r="ED50" s="166" t="str">
        <f>IF(Tabla584[[#This Row],[Equipo ]]="","",INDEX(V_GALON,MATCH(Tabla584[[#This Row],[Equipo ]],LISTA_MAQUINARIA,0)))</f>
        <v/>
      </c>
      <c r="EE50" s="10"/>
      <c r="EF50" s="165" t="str">
        <f>IF(Tabla584[[#This Row],[Equipo ]]="","",Tabla584[[#This Row],[Valor mensual]]+Tabla584[[#This Row],[Combustible Hora ]]*Tabla584[[#This Row],[Valor galon]]*Tabla584[[#This Row],[Horas mes]])</f>
        <v/>
      </c>
      <c r="EG50" s="168" t="str">
        <f>IF(Tabla584[[#This Row],[Valor mensual + Combustible]]="","",Tabla584[[#This Row],[Valor mensual + Combustible]]*Tabla584[[#This Row],[Cantidad]])</f>
        <v/>
      </c>
      <c r="EJ50" s="9"/>
      <c r="EK50" s="10"/>
      <c r="EL50" s="165" t="str">
        <f>IF(Tabla587[[#This Row],[Equipo ]]="","",INDEX(V_MENSUAL,MATCH(Tabla587[[#This Row],[Equipo ]],LISTA_MAQUINARIA,0)))</f>
        <v/>
      </c>
      <c r="EM50" s="12" t="str">
        <f>IF(Tabla587[[#This Row],[Equipo ]]="","",INDEX(CONSUMO_COMBUSTIBLE_H,MATCH(Tabla587[[#This Row],[Equipo ]],LISTA_MAQUINARIA,0)))</f>
        <v/>
      </c>
      <c r="EN50" s="166" t="str">
        <f>IF(Tabla587[[#This Row],[Equipo ]]="","",INDEX(V_GALON,MATCH(Tabla587[[#This Row],[Equipo ]],LISTA_MAQUINARIA,0)))</f>
        <v/>
      </c>
      <c r="EO50" s="10"/>
      <c r="EP50" s="165" t="str">
        <f>IF(Tabla587[[#This Row],[Equipo ]]="","",Tabla587[[#This Row],[Valor mensual]]+Tabla587[[#This Row],[Combustible Hora ]]*Tabla587[[#This Row],[Valor galon]]*Tabla587[[#This Row],[Horas mes]])</f>
        <v/>
      </c>
      <c r="EQ50" s="168" t="str">
        <f>IF(Tabla587[[#This Row],[Valor mensual + Combustible]]="","",Tabla587[[#This Row],[Valor mensual + Combustible]]*Tabla587[[#This Row],[Cantidad]])</f>
        <v/>
      </c>
      <c r="ET50" s="9"/>
      <c r="EU50" s="10"/>
      <c r="EV50" s="165" t="str">
        <f>IF(Tabla590[[#This Row],[Equipo ]]="","",INDEX(V_MENSUAL,MATCH(Tabla590[[#This Row],[Equipo ]],LISTA_MAQUINARIA,0)))</f>
        <v/>
      </c>
      <c r="EW50" s="12" t="str">
        <f>IF(Tabla590[[#This Row],[Equipo ]]="","",INDEX(CONSUMO_COMBUSTIBLE_H,MATCH(Tabla590[[#This Row],[Equipo ]],LISTA_MAQUINARIA,0)))</f>
        <v/>
      </c>
      <c r="EX50" s="166" t="str">
        <f>IF(Tabla590[[#This Row],[Equipo ]]="","",INDEX(V_GALON,MATCH(Tabla590[[#This Row],[Equipo ]],LISTA_MAQUINARIA,0)))</f>
        <v/>
      </c>
      <c r="EY50" s="10"/>
      <c r="EZ50" s="165" t="str">
        <f>IF(Tabla590[[#This Row],[Equipo ]]="","",Tabla590[[#This Row],[Valor mensual]]+Tabla590[[#This Row],[Combustible Hora ]]*Tabla590[[#This Row],[Valor galon]]*Tabla590[[#This Row],[Horas mes]])</f>
        <v/>
      </c>
      <c r="FA50" s="168" t="str">
        <f>IF(Tabla590[[#This Row],[Valor mensual + Combustible]]="","",Tabla590[[#This Row],[Valor mensual + Combustible]]*Tabla590[[#This Row],[Cantidad]])</f>
        <v/>
      </c>
      <c r="FD50" s="9"/>
      <c r="FE50" s="10"/>
      <c r="FF50" s="165" t="str">
        <f>IF(Tabla593[[#This Row],[Equipo ]]="","",INDEX(V_MENSUAL,MATCH(Tabla593[[#This Row],[Equipo ]],LISTA_MAQUINARIA,0)))</f>
        <v/>
      </c>
      <c r="FG50" s="12" t="str">
        <f>IF(Tabla593[[#This Row],[Equipo ]]="","",INDEX(CONSUMO_COMBUSTIBLE_H,MATCH(Tabla593[[#This Row],[Equipo ]],LISTA_MAQUINARIA,0)))</f>
        <v/>
      </c>
      <c r="FH50" s="166" t="str">
        <f>IF(Tabla593[[#This Row],[Equipo ]]="","",INDEX(V_GALON,MATCH(Tabla593[[#This Row],[Equipo ]],LISTA_MAQUINARIA,0)))</f>
        <v/>
      </c>
      <c r="FI50" s="10"/>
      <c r="FJ50" s="165" t="str">
        <f>IF(Tabla593[[#This Row],[Equipo ]]="","",Tabla593[[#This Row],[Valor mensual]]+Tabla593[[#This Row],[Combustible Hora ]]*Tabla593[[#This Row],[Valor galon]]*Tabla593[[#This Row],[Horas mes]])</f>
        <v/>
      </c>
      <c r="FK50" s="168" t="str">
        <f>IF(Tabla593[[#This Row],[Valor mensual + Combustible]]="","",Tabla593[[#This Row],[Valor mensual + Combustible]]*Tabla593[[#This Row],[Cantidad]])</f>
        <v/>
      </c>
      <c r="FN50" s="9"/>
      <c r="FO50" s="10"/>
      <c r="FP50" s="165" t="str">
        <f>IF(Tabla596[[#This Row],[Equipo ]]="","",INDEX(V_MENSUAL,MATCH(Tabla596[[#This Row],[Equipo ]],LISTA_MAQUINARIA,0)))</f>
        <v/>
      </c>
      <c r="FQ50" s="12" t="str">
        <f>IF(Tabla596[[#This Row],[Equipo ]]="","",INDEX(CONSUMO_COMBUSTIBLE_H,MATCH(Tabla596[[#This Row],[Equipo ]],LISTA_MAQUINARIA,0)))</f>
        <v/>
      </c>
      <c r="FR50" s="166" t="str">
        <f>IF(Tabla596[[#This Row],[Equipo ]]="","",INDEX(V_GALON,MATCH(Tabla596[[#This Row],[Equipo ]],LISTA_MAQUINARIA,0)))</f>
        <v/>
      </c>
      <c r="FS50" s="10"/>
      <c r="FT50" s="165" t="str">
        <f>IF(Tabla596[[#This Row],[Equipo ]]="","",Tabla596[[#This Row],[Valor mensual]]+Tabla596[[#This Row],[Combustible Hora ]]*Tabla596[[#This Row],[Valor galon]]*Tabla596[[#This Row],[Horas mes]])</f>
        <v/>
      </c>
      <c r="FU50" s="168" t="str">
        <f>IF(Tabla596[[#This Row],[Valor mensual + Combustible]]="","",Tabla596[[#This Row],[Valor mensual + Combustible]]*Tabla596[[#This Row],[Cantidad]])</f>
        <v/>
      </c>
    </row>
    <row r="51" spans="1:177" x14ac:dyDescent="0.3">
      <c r="A51" s="9" t="s">
        <v>504</v>
      </c>
      <c r="B51" s="10">
        <v>1</v>
      </c>
      <c r="C51" s="165">
        <f>IF(Tabla5[[#This Row],[Equipo ]]="","",INDEX(V_MENSUAL,MATCH(Tabla5[[#This Row],[Equipo ]],LISTA_MAQUINARIA,0)))</f>
        <v>1500000</v>
      </c>
      <c r="D51" s="12">
        <f>IF(Tabla5[[#This Row],[Equipo ]]="","",INDEX(CONSUMO_COMBUSTIBLE_H,MATCH(Tabla5[[#This Row],[Equipo ]],LISTA_MAQUINARIA,0)))</f>
        <v>0</v>
      </c>
      <c r="E51" s="166">
        <f>IF(Tabla5[[#This Row],[Equipo ]]="","",INDEX(V_GALON,MATCH(Tabla5[[#This Row],[Equipo ]],LISTA_MAQUINARIA,0)))</f>
        <v>10800</v>
      </c>
      <c r="F51" s="10"/>
      <c r="G51" s="165">
        <f>IF(Tabla5[[#This Row],[Equipo ]]="","",Tabla5[[#This Row],[Valor mensual]]+Tabla5[[#This Row],[Combustible Hora ]]*Tabla5[[#This Row],[Valor galon]]*Tabla5[[#This Row],[Horas mes]])</f>
        <v>1500000</v>
      </c>
      <c r="H51" s="168">
        <f>IF(Tabla5[[#This Row],[Valor mensual + Combustible]]="","",Tabla5[[#This Row],[Valor mensual + Combustible]]*Tabla5[[#This Row],[Cantidad]])</f>
        <v>1500000</v>
      </c>
      <c r="K51" s="9" t="s">
        <v>504</v>
      </c>
      <c r="L51" s="10">
        <v>1</v>
      </c>
      <c r="M51" s="165" cm="1">
        <f t="array" ref="M51">IF(Tabla548[[#This Row],[Equipo ]]="","",INDEX(V_MENSUAL,MATCH(Tabla548[[#This Row],[Equipo ]],LISTA_MAQUINARIA,0)))</f>
        <v>1500000</v>
      </c>
      <c r="N51" s="12">
        <f>IF(Tabla548[[#This Row],[Equipo ]]="","",INDEX(CONSUMO_COMBUSTIBLE_H,MATCH(Tabla548[[#This Row],[Equipo ]],LISTA_MAQUINARIA,0)))</f>
        <v>0</v>
      </c>
      <c r="O51" s="166">
        <f>IF(Tabla548[[#This Row],[Equipo ]]="","",INDEX(V_GALON,MATCH(Tabla548[[#This Row],[Equipo ]],LISTA_MAQUINARIA,0)))</f>
        <v>10800</v>
      </c>
      <c r="P51" s="10"/>
      <c r="Q51" s="165">
        <f>IF(Tabla548[[#This Row],[Equipo ]]="","",Tabla548[[#This Row],[Valor mensual]]+Tabla548[[#This Row],[Combustible Hora ]]*Tabla548[[#This Row],[Valor galon]]*Tabla548[[#This Row],[Horas mes]])</f>
        <v>1500000</v>
      </c>
      <c r="R51" s="168">
        <f>IF(Tabla548[[#This Row],[Valor mensual + Combustible]]="","",Tabla548[[#This Row],[Valor mensual + Combustible]]*Tabla548[[#This Row],[Cantidad]])</f>
        <v>1500000</v>
      </c>
      <c r="U51" s="9" t="s">
        <v>504</v>
      </c>
      <c r="V51" s="10">
        <v>1</v>
      </c>
      <c r="W51" s="165">
        <f>IF(Tabla551[[#This Row],[Equipo ]]="","",INDEX(V_MENSUAL,MATCH(Tabla551[[#This Row],[Equipo ]],LISTA_MAQUINARIA,0)))</f>
        <v>1500000</v>
      </c>
      <c r="X51" s="12">
        <f>IF(Tabla551[[#This Row],[Equipo ]]="","",INDEX(CONSUMO_COMBUSTIBLE_H,MATCH(Tabla551[[#This Row],[Equipo ]],LISTA_MAQUINARIA,0)))</f>
        <v>0</v>
      </c>
      <c r="Y51" s="166">
        <f>IF(Tabla551[[#This Row],[Equipo ]]="","",INDEX(V_GALON,MATCH(Tabla551[[#This Row],[Equipo ]],LISTA_MAQUINARIA,0)))</f>
        <v>10800</v>
      </c>
      <c r="Z51" s="10"/>
      <c r="AA51" s="165">
        <f>IF(Tabla551[[#This Row],[Equipo ]]="","",Tabla551[[#This Row],[Valor mensual]]+Tabla551[[#This Row],[Combustible Hora ]]*Tabla551[[#This Row],[Valor galon]]*Tabla551[[#This Row],[Horas mes]])</f>
        <v>1500000</v>
      </c>
      <c r="AB51" s="168">
        <f>IF(Tabla551[[#This Row],[Valor mensual + Combustible]]="","",Tabla551[[#This Row],[Valor mensual + Combustible]]*Tabla551[[#This Row],[Cantidad]])</f>
        <v>1500000</v>
      </c>
      <c r="AD51" s="9"/>
      <c r="AE51" s="10"/>
      <c r="AF51" s="165" t="str">
        <f>IF(Tabla554[[#This Row],[Equipo ]]="","",INDEX(V_MENSUAL,MATCH(Tabla554[[#This Row],[Equipo ]],LISTA_MAQUINARIA,0)))</f>
        <v/>
      </c>
      <c r="AG51" s="12" t="str">
        <f>IF(Tabla554[[#This Row],[Equipo ]]="","",INDEX(CONSUMO_COMBUSTIBLE_H,MATCH(Tabla554[[#This Row],[Equipo ]],LISTA_MAQUINARIA,0)))</f>
        <v/>
      </c>
      <c r="AH51" s="166" t="str">
        <f>IF(Tabla554[[#This Row],[Equipo ]]="","",INDEX(V_GALON,MATCH(Tabla554[[#This Row],[Equipo ]],LISTA_MAQUINARIA,0)))</f>
        <v/>
      </c>
      <c r="AI51" s="10"/>
      <c r="AJ51" s="165" t="str">
        <f>IF(Tabla554[[#This Row],[Equipo ]]="","",Tabla554[[#This Row],[Valor mensual]]+Tabla554[[#This Row],[Combustible Hora ]]*Tabla554[[#This Row],[Valor galon]]*Tabla554[[#This Row],[Horas mes]])</f>
        <v/>
      </c>
      <c r="AK51" s="168" t="str">
        <f>IF(Tabla554[[#This Row],[Valor mensual + Combustible]]="","",Tabla554[[#This Row],[Valor mensual + Combustible]]*Tabla554[[#This Row],[Cantidad]])</f>
        <v/>
      </c>
      <c r="AN51" s="9"/>
      <c r="AO51" s="10"/>
      <c r="AP51" s="165" t="str">
        <f>IF(Tabla557[[#This Row],[Equipo ]]="","",INDEX(V_MENSUAL,MATCH(Tabla557[[#This Row],[Equipo ]],LISTA_MAQUINARIA,0)))</f>
        <v/>
      </c>
      <c r="AQ51" s="12" t="str">
        <f>IF(Tabla557[[#This Row],[Equipo ]]="","",INDEX(CONSUMO_COMBUSTIBLE_H,MATCH(Tabla557[[#This Row],[Equipo ]],LISTA_MAQUINARIA,0)))</f>
        <v/>
      </c>
      <c r="AR51" s="166" t="str">
        <f>IF(Tabla557[[#This Row],[Equipo ]]="","",INDEX(V_GALON,MATCH(Tabla557[[#This Row],[Equipo ]],LISTA_MAQUINARIA,0)))</f>
        <v/>
      </c>
      <c r="AS51" s="10"/>
      <c r="AT51" s="165" t="str">
        <f>IF(Tabla557[[#This Row],[Equipo ]]="","",Tabla557[[#This Row],[Valor mensual]]+Tabla557[[#This Row],[Combustible Hora ]]*Tabla557[[#This Row],[Valor galon]]*Tabla557[[#This Row],[Horas mes]])</f>
        <v/>
      </c>
      <c r="AU51" s="168" t="str">
        <f>IF(Tabla557[[#This Row],[Valor mensual + Combustible]]="","",Tabla557[[#This Row],[Valor mensual + Combustible]]*Tabla557[[#This Row],[Cantidad]])</f>
        <v/>
      </c>
      <c r="AX51" s="9"/>
      <c r="AY51" s="10"/>
      <c r="AZ51" s="165" t="str">
        <f>IF(Tabla560[[#This Row],[Equipo ]]="","",INDEX(V_MENSUAL,MATCH(Tabla560[[#This Row],[Equipo ]],LISTA_MAQUINARIA,0)))</f>
        <v/>
      </c>
      <c r="BA51" s="12" t="str">
        <f>IF(Tabla560[[#This Row],[Equipo ]]="","",INDEX(CONSUMO_COMBUSTIBLE_H,MATCH(Tabla560[[#This Row],[Equipo ]],LISTA_MAQUINARIA,0)))</f>
        <v/>
      </c>
      <c r="BB51" s="166" t="str">
        <f>IF(Tabla560[[#This Row],[Equipo ]]="","",INDEX(V_GALON,MATCH(Tabla560[[#This Row],[Equipo ]],LISTA_MAQUINARIA,0)))</f>
        <v/>
      </c>
      <c r="BC51" s="10"/>
      <c r="BD51" s="165" t="str">
        <f>IF(Tabla560[[#This Row],[Equipo ]]="","",Tabla560[[#This Row],[Valor mensual]]+Tabla560[[#This Row],[Combustible Hora ]]*Tabla560[[#This Row],[Valor galon]]*Tabla560[[#This Row],[Horas mes]])</f>
        <v/>
      </c>
      <c r="BE51" s="168" t="str">
        <f>IF(Tabla560[[#This Row],[Valor mensual + Combustible]]="","",Tabla560[[#This Row],[Valor mensual + Combustible]]*Tabla560[[#This Row],[Cantidad]])</f>
        <v/>
      </c>
      <c r="BH51" s="9"/>
      <c r="BI51" s="10"/>
      <c r="BJ51" s="165" t="str">
        <f>IF(Tabla563[[#This Row],[Equipo ]]="","",INDEX(V_MENSUAL,MATCH(Tabla563[[#This Row],[Equipo ]],LISTA_MAQUINARIA,0)))</f>
        <v/>
      </c>
      <c r="BK51" s="12" t="str">
        <f>IF(Tabla563[[#This Row],[Equipo ]]="","",INDEX(CONSUMO_COMBUSTIBLE_H,MATCH(Tabla563[[#This Row],[Equipo ]],LISTA_MAQUINARIA,0)))</f>
        <v/>
      </c>
      <c r="BL51" s="166" t="str">
        <f>IF(Tabla563[[#This Row],[Equipo ]]="","",INDEX(V_GALON,MATCH(Tabla563[[#This Row],[Equipo ]],LISTA_MAQUINARIA,0)))</f>
        <v/>
      </c>
      <c r="BM51" s="10"/>
      <c r="BN51" s="165" t="str">
        <f>IF(Tabla563[[#This Row],[Equipo ]]="","",Tabla563[[#This Row],[Valor mensual]]+Tabla563[[#This Row],[Combustible Hora ]]*Tabla563[[#This Row],[Valor galon]]*Tabla563[[#This Row],[Horas mes]])</f>
        <v/>
      </c>
      <c r="BO51" s="168" t="str">
        <f>IF(Tabla563[[#This Row],[Valor mensual + Combustible]]="","",Tabla563[[#This Row],[Valor mensual + Combustible]]*Tabla563[[#This Row],[Cantidad]])</f>
        <v/>
      </c>
      <c r="BR51" s="9"/>
      <c r="BS51" s="10"/>
      <c r="BT51" s="165" t="str">
        <f>IF(Tabla566[[#This Row],[Equipo ]]="","",INDEX(V_MENSUAL,MATCH(Tabla566[[#This Row],[Equipo ]],LISTA_MAQUINARIA,0)))</f>
        <v/>
      </c>
      <c r="BU51" s="12" t="str">
        <f>IF(Tabla566[[#This Row],[Equipo ]]="","",INDEX(CONSUMO_COMBUSTIBLE_H,MATCH(Tabla566[[#This Row],[Equipo ]],LISTA_MAQUINARIA,0)))</f>
        <v/>
      </c>
      <c r="BV51" s="166" t="str">
        <f>IF(Tabla566[[#This Row],[Equipo ]]="","",INDEX(V_GALON,MATCH(Tabla566[[#This Row],[Equipo ]],LISTA_MAQUINARIA,0)))</f>
        <v/>
      </c>
      <c r="BW51" s="10"/>
      <c r="BX51" s="165" t="str">
        <f>IF(Tabla566[[#This Row],[Equipo ]]="","",Tabla566[[#This Row],[Valor mensual]]+Tabla566[[#This Row],[Combustible Hora ]]*Tabla566[[#This Row],[Valor galon]]*Tabla566[[#This Row],[Horas mes]])</f>
        <v/>
      </c>
      <c r="BY51" s="168" t="str">
        <f>IF(Tabla566[[#This Row],[Valor mensual + Combustible]]="","",Tabla566[[#This Row],[Valor mensual + Combustible]]*Tabla566[[#This Row],[Cantidad]])</f>
        <v/>
      </c>
      <c r="CB51" s="9"/>
      <c r="CC51" s="10"/>
      <c r="CD51" s="165" t="str">
        <f>IF(Tabla569[[#This Row],[Equipo ]]="","",INDEX(V_MENSUAL,MATCH(Tabla569[[#This Row],[Equipo ]],LISTA_MAQUINARIA,0)))</f>
        <v/>
      </c>
      <c r="CE51" s="12" t="str">
        <f>IF(Tabla569[[#This Row],[Equipo ]]="","",INDEX(CONSUMO_COMBUSTIBLE_H,MATCH(Tabla569[[#This Row],[Equipo ]],LISTA_MAQUINARIA,0)))</f>
        <v/>
      </c>
      <c r="CF51" s="166" t="str">
        <f>IF(Tabla569[[#This Row],[Equipo ]]="","",INDEX(V_GALON,MATCH(Tabla569[[#This Row],[Equipo ]],LISTA_MAQUINARIA,0)))</f>
        <v/>
      </c>
      <c r="CG51" s="10"/>
      <c r="CH51" s="165" t="str">
        <f>IF(Tabla569[[#This Row],[Equipo ]]="","",Tabla569[[#This Row],[Valor mensual]]+Tabla569[[#This Row],[Combustible Hora ]]*Tabla569[[#This Row],[Valor galon]]*Tabla569[[#This Row],[Horas mes]])</f>
        <v/>
      </c>
      <c r="CI51" s="168" t="str">
        <f>IF(Tabla569[[#This Row],[Valor mensual + Combustible]]="","",Tabla569[[#This Row],[Valor mensual + Combustible]]*Tabla569[[#This Row],[Cantidad]])</f>
        <v/>
      </c>
      <c r="CL51" s="9"/>
      <c r="CM51" s="10"/>
      <c r="CN51" s="165" t="str">
        <f>IF(Tabla572[[#This Row],[Equipo ]]="","",INDEX(V_MENSUAL,MATCH(Tabla572[[#This Row],[Equipo ]],LISTA_MAQUINARIA,0)))</f>
        <v/>
      </c>
      <c r="CO51" s="12" t="str">
        <f>IF(Tabla572[[#This Row],[Equipo ]]="","",INDEX(CONSUMO_COMBUSTIBLE_H,MATCH(Tabla572[[#This Row],[Equipo ]],LISTA_MAQUINARIA,0)))</f>
        <v/>
      </c>
      <c r="CP51" s="166" t="str">
        <f>IF(Tabla572[[#This Row],[Equipo ]]="","",INDEX(V_GALON,MATCH(Tabla572[[#This Row],[Equipo ]],LISTA_MAQUINARIA,0)))</f>
        <v/>
      </c>
      <c r="CQ51" s="10"/>
      <c r="CR51" s="165" t="str">
        <f>IF(Tabla572[[#This Row],[Equipo ]]="","",Tabla572[[#This Row],[Valor mensual]]+Tabla572[[#This Row],[Combustible Hora ]]*Tabla572[[#This Row],[Valor galon]]*Tabla572[[#This Row],[Horas mes]])</f>
        <v/>
      </c>
      <c r="CS51" s="168" t="str">
        <f>IF(Tabla572[[#This Row],[Valor mensual + Combustible]]="","",Tabla572[[#This Row],[Valor mensual + Combustible]]*Tabla572[[#This Row],[Cantidad]])</f>
        <v/>
      </c>
      <c r="CV51" s="9"/>
      <c r="CW51" s="10"/>
      <c r="CX51" s="165" t="str">
        <f>IF(Tabla575[[#This Row],[Equipo ]]="","",INDEX(V_MENSUAL,MATCH(Tabla575[[#This Row],[Equipo ]],LISTA_MAQUINARIA,0)))</f>
        <v/>
      </c>
      <c r="CY51" s="12" t="str">
        <f>IF(Tabla575[[#This Row],[Equipo ]]="","",INDEX(CONSUMO_COMBUSTIBLE_H,MATCH(Tabla575[[#This Row],[Equipo ]],LISTA_MAQUINARIA,0)))</f>
        <v/>
      </c>
      <c r="CZ51" s="166" t="str">
        <f>IF(Tabla575[[#This Row],[Equipo ]]="","",INDEX(V_GALON,MATCH(Tabla575[[#This Row],[Equipo ]],LISTA_MAQUINARIA,0)))</f>
        <v/>
      </c>
      <c r="DA51" s="10"/>
      <c r="DB51" s="165" t="str">
        <f>IF(Tabla575[[#This Row],[Equipo ]]="","",Tabla575[[#This Row],[Valor mensual]]+Tabla575[[#This Row],[Combustible Hora ]]*Tabla575[[#This Row],[Valor galon]]*Tabla575[[#This Row],[Horas mes]])</f>
        <v/>
      </c>
      <c r="DC51" s="168" t="str">
        <f>IF(Tabla575[[#This Row],[Valor mensual + Combustible]]="","",Tabla575[[#This Row],[Valor mensual + Combustible]]*Tabla575[[#This Row],[Cantidad]])</f>
        <v/>
      </c>
      <c r="DF51" s="9"/>
      <c r="DG51" s="10"/>
      <c r="DH51" s="165" t="str">
        <f>IF(Tabla578[[#This Row],[Equipo ]]="","",INDEX(V_MENSUAL,MATCH(Tabla578[[#This Row],[Equipo ]],LISTA_MAQUINARIA,0)))</f>
        <v/>
      </c>
      <c r="DI51" s="12" t="str">
        <f>IF(Tabla578[[#This Row],[Equipo ]]="","",INDEX(CONSUMO_COMBUSTIBLE_H,MATCH(Tabla578[[#This Row],[Equipo ]],LISTA_MAQUINARIA,0)))</f>
        <v/>
      </c>
      <c r="DJ51" s="166" t="str">
        <f>IF(Tabla578[[#This Row],[Equipo ]]="","",INDEX(V_GALON,MATCH(Tabla578[[#This Row],[Equipo ]],LISTA_MAQUINARIA,0)))</f>
        <v/>
      </c>
      <c r="DK51" s="10"/>
      <c r="DL51" s="165" t="str">
        <f>IF(Tabla578[[#This Row],[Equipo ]]="","",Tabla578[[#This Row],[Valor mensual]]+Tabla578[[#This Row],[Combustible Hora ]]*Tabla578[[#This Row],[Valor galon]]*Tabla578[[#This Row],[Horas mes]])</f>
        <v/>
      </c>
      <c r="DM51" s="168" t="str">
        <f>IF(Tabla578[[#This Row],[Valor mensual + Combustible]]="","",Tabla578[[#This Row],[Valor mensual + Combustible]]*Tabla578[[#This Row],[Cantidad]])</f>
        <v/>
      </c>
      <c r="DP51" s="9"/>
      <c r="DQ51" s="10"/>
      <c r="DR51" s="165" t="str">
        <f>IF(Tabla581[[#This Row],[Equipo ]]="","",INDEX(V_MENSUAL,MATCH(Tabla581[[#This Row],[Equipo ]],LISTA_MAQUINARIA,0)))</f>
        <v/>
      </c>
      <c r="DS51" s="12" t="str">
        <f>IF(Tabla581[[#This Row],[Equipo ]]="","",INDEX(CONSUMO_COMBUSTIBLE_H,MATCH(Tabla581[[#This Row],[Equipo ]],LISTA_MAQUINARIA,0)))</f>
        <v/>
      </c>
      <c r="DT51" s="166" t="str">
        <f>IF(Tabla581[[#This Row],[Equipo ]]="","",INDEX(V_GALON,MATCH(Tabla581[[#This Row],[Equipo ]],LISTA_MAQUINARIA,0)))</f>
        <v/>
      </c>
      <c r="DU51" s="10"/>
      <c r="DV51" s="165" t="str">
        <f>IF(Tabla581[[#This Row],[Equipo ]]="","",Tabla581[[#This Row],[Valor mensual]]+Tabla581[[#This Row],[Combustible Hora ]]*Tabla581[[#This Row],[Valor galon]]*Tabla581[[#This Row],[Horas mes]])</f>
        <v/>
      </c>
      <c r="DW51" s="168" t="str">
        <f>IF(Tabla581[[#This Row],[Valor mensual + Combustible]]="","",Tabla581[[#This Row],[Valor mensual + Combustible]]*Tabla581[[#This Row],[Cantidad]])</f>
        <v/>
      </c>
      <c r="DZ51" s="9"/>
      <c r="EA51" s="10"/>
      <c r="EB51" s="165" t="str">
        <f>IF(Tabla584[[#This Row],[Equipo ]]="","",INDEX(V_MENSUAL,MATCH(Tabla584[[#This Row],[Equipo ]],LISTA_MAQUINARIA,0)))</f>
        <v/>
      </c>
      <c r="EC51" s="12" t="str">
        <f>IF(Tabla584[[#This Row],[Equipo ]]="","",INDEX(CONSUMO_COMBUSTIBLE_H,MATCH(Tabla584[[#This Row],[Equipo ]],LISTA_MAQUINARIA,0)))</f>
        <v/>
      </c>
      <c r="ED51" s="166" t="str">
        <f>IF(Tabla584[[#This Row],[Equipo ]]="","",INDEX(V_GALON,MATCH(Tabla584[[#This Row],[Equipo ]],LISTA_MAQUINARIA,0)))</f>
        <v/>
      </c>
      <c r="EE51" s="10"/>
      <c r="EF51" s="165" t="str">
        <f>IF(Tabla584[[#This Row],[Equipo ]]="","",Tabla584[[#This Row],[Valor mensual]]+Tabla584[[#This Row],[Combustible Hora ]]*Tabla584[[#This Row],[Valor galon]]*Tabla584[[#This Row],[Horas mes]])</f>
        <v/>
      </c>
      <c r="EG51" s="168" t="str">
        <f>IF(Tabla584[[#This Row],[Valor mensual + Combustible]]="","",Tabla584[[#This Row],[Valor mensual + Combustible]]*Tabla584[[#This Row],[Cantidad]])</f>
        <v/>
      </c>
      <c r="EJ51" s="9"/>
      <c r="EK51" s="10"/>
      <c r="EL51" s="165" t="str">
        <f>IF(Tabla587[[#This Row],[Equipo ]]="","",INDEX(V_MENSUAL,MATCH(Tabla587[[#This Row],[Equipo ]],LISTA_MAQUINARIA,0)))</f>
        <v/>
      </c>
      <c r="EM51" s="12" t="str">
        <f>IF(Tabla587[[#This Row],[Equipo ]]="","",INDEX(CONSUMO_COMBUSTIBLE_H,MATCH(Tabla587[[#This Row],[Equipo ]],LISTA_MAQUINARIA,0)))</f>
        <v/>
      </c>
      <c r="EN51" s="166" t="str">
        <f>IF(Tabla587[[#This Row],[Equipo ]]="","",INDEX(V_GALON,MATCH(Tabla587[[#This Row],[Equipo ]],LISTA_MAQUINARIA,0)))</f>
        <v/>
      </c>
      <c r="EO51" s="10"/>
      <c r="EP51" s="165" t="str">
        <f>IF(Tabla587[[#This Row],[Equipo ]]="","",Tabla587[[#This Row],[Valor mensual]]+Tabla587[[#This Row],[Combustible Hora ]]*Tabla587[[#This Row],[Valor galon]]*Tabla587[[#This Row],[Horas mes]])</f>
        <v/>
      </c>
      <c r="EQ51" s="168" t="str">
        <f>IF(Tabla587[[#This Row],[Valor mensual + Combustible]]="","",Tabla587[[#This Row],[Valor mensual + Combustible]]*Tabla587[[#This Row],[Cantidad]])</f>
        <v/>
      </c>
      <c r="ET51" s="9"/>
      <c r="EU51" s="10"/>
      <c r="EV51" s="165" t="str">
        <f>IF(Tabla590[[#This Row],[Equipo ]]="","",INDEX(V_MENSUAL,MATCH(Tabla590[[#This Row],[Equipo ]],LISTA_MAQUINARIA,0)))</f>
        <v/>
      </c>
      <c r="EW51" s="12" t="str">
        <f>IF(Tabla590[[#This Row],[Equipo ]]="","",INDEX(CONSUMO_COMBUSTIBLE_H,MATCH(Tabla590[[#This Row],[Equipo ]],LISTA_MAQUINARIA,0)))</f>
        <v/>
      </c>
      <c r="EX51" s="166" t="str">
        <f>IF(Tabla590[[#This Row],[Equipo ]]="","",INDEX(V_GALON,MATCH(Tabla590[[#This Row],[Equipo ]],LISTA_MAQUINARIA,0)))</f>
        <v/>
      </c>
      <c r="EY51" s="10"/>
      <c r="EZ51" s="165" t="str">
        <f>IF(Tabla590[[#This Row],[Equipo ]]="","",Tabla590[[#This Row],[Valor mensual]]+Tabla590[[#This Row],[Combustible Hora ]]*Tabla590[[#This Row],[Valor galon]]*Tabla590[[#This Row],[Horas mes]])</f>
        <v/>
      </c>
      <c r="FA51" s="168" t="str">
        <f>IF(Tabla590[[#This Row],[Valor mensual + Combustible]]="","",Tabla590[[#This Row],[Valor mensual + Combustible]]*Tabla590[[#This Row],[Cantidad]])</f>
        <v/>
      </c>
      <c r="FD51" s="9"/>
      <c r="FE51" s="10"/>
      <c r="FF51" s="165" t="str">
        <f>IF(Tabla593[[#This Row],[Equipo ]]="","",INDEX(V_MENSUAL,MATCH(Tabla593[[#This Row],[Equipo ]],LISTA_MAQUINARIA,0)))</f>
        <v/>
      </c>
      <c r="FG51" s="12" t="str">
        <f>IF(Tabla593[[#This Row],[Equipo ]]="","",INDEX(CONSUMO_COMBUSTIBLE_H,MATCH(Tabla593[[#This Row],[Equipo ]],LISTA_MAQUINARIA,0)))</f>
        <v/>
      </c>
      <c r="FH51" s="166" t="str">
        <f>IF(Tabla593[[#This Row],[Equipo ]]="","",INDEX(V_GALON,MATCH(Tabla593[[#This Row],[Equipo ]],LISTA_MAQUINARIA,0)))</f>
        <v/>
      </c>
      <c r="FI51" s="10"/>
      <c r="FJ51" s="165" t="str">
        <f>IF(Tabla593[[#This Row],[Equipo ]]="","",Tabla593[[#This Row],[Valor mensual]]+Tabla593[[#This Row],[Combustible Hora ]]*Tabla593[[#This Row],[Valor galon]]*Tabla593[[#This Row],[Horas mes]])</f>
        <v/>
      </c>
      <c r="FK51" s="168" t="str">
        <f>IF(Tabla593[[#This Row],[Valor mensual + Combustible]]="","",Tabla593[[#This Row],[Valor mensual + Combustible]]*Tabla593[[#This Row],[Cantidad]])</f>
        <v/>
      </c>
      <c r="FN51" s="9"/>
      <c r="FO51" s="10"/>
      <c r="FP51" s="165" t="str">
        <f>IF(Tabla596[[#This Row],[Equipo ]]="","",INDEX(V_MENSUAL,MATCH(Tabla596[[#This Row],[Equipo ]],LISTA_MAQUINARIA,0)))</f>
        <v/>
      </c>
      <c r="FQ51" s="12" t="str">
        <f>IF(Tabla596[[#This Row],[Equipo ]]="","",INDEX(CONSUMO_COMBUSTIBLE_H,MATCH(Tabla596[[#This Row],[Equipo ]],LISTA_MAQUINARIA,0)))</f>
        <v/>
      </c>
      <c r="FR51" s="166" t="str">
        <f>IF(Tabla596[[#This Row],[Equipo ]]="","",INDEX(V_GALON,MATCH(Tabla596[[#This Row],[Equipo ]],LISTA_MAQUINARIA,0)))</f>
        <v/>
      </c>
      <c r="FS51" s="10"/>
      <c r="FT51" s="165" t="str">
        <f>IF(Tabla596[[#This Row],[Equipo ]]="","",Tabla596[[#This Row],[Valor mensual]]+Tabla596[[#This Row],[Combustible Hora ]]*Tabla596[[#This Row],[Valor galon]]*Tabla596[[#This Row],[Horas mes]])</f>
        <v/>
      </c>
      <c r="FU51" s="168" t="str">
        <f>IF(Tabla596[[#This Row],[Valor mensual + Combustible]]="","",Tabla596[[#This Row],[Valor mensual + Combustible]]*Tabla596[[#This Row],[Cantidad]])</f>
        <v/>
      </c>
    </row>
    <row r="52" spans="1:177" x14ac:dyDescent="0.3">
      <c r="A52" s="9" t="s">
        <v>368</v>
      </c>
      <c r="B52" s="10">
        <v>2</v>
      </c>
      <c r="C52" s="165">
        <f>IF(Tabla5[[#This Row],[Equipo ]]="","",INDEX(V_MENSUAL,MATCH(Tabla5[[#This Row],[Equipo ]],LISTA_MAQUINARIA,0)))</f>
        <v>6500000</v>
      </c>
      <c r="D52" s="12">
        <f>IF(Tabla5[[#This Row],[Equipo ]]="","",INDEX(CONSUMO_COMBUSTIBLE_H,MATCH(Tabla5[[#This Row],[Equipo ]],LISTA_MAQUINARIA,0)))</f>
        <v>2</v>
      </c>
      <c r="E52" s="166">
        <f>IF(Tabla5[[#This Row],[Equipo ]]="","",INDEX(V_GALON,MATCH(Tabla5[[#This Row],[Equipo ]],LISTA_MAQUINARIA,0)))</f>
        <v>10800</v>
      </c>
      <c r="F52" s="10">
        <v>88</v>
      </c>
      <c r="G52" s="165">
        <f>IF(Tabla5[[#This Row],[Equipo ]]="","",Tabla5[[#This Row],[Valor mensual]]+Tabla5[[#This Row],[Combustible Hora ]]*Tabla5[[#This Row],[Valor galon]]*Tabla5[[#This Row],[Horas mes]])</f>
        <v>8400800</v>
      </c>
      <c r="H52" s="168">
        <f>IF(Tabla5[[#This Row],[Valor mensual + Combustible]]="","",Tabla5[[#This Row],[Valor mensual + Combustible]]*Tabla5[[#This Row],[Cantidad]])</f>
        <v>16801600</v>
      </c>
      <c r="K52" s="9" t="s">
        <v>368</v>
      </c>
      <c r="L52" s="10">
        <v>2</v>
      </c>
      <c r="M52" s="165" cm="1">
        <f t="array" ref="M52">IF(Tabla548[[#This Row],[Equipo ]]="","",INDEX(V_MENSUAL,MATCH(Tabla548[[#This Row],[Equipo ]],LISTA_MAQUINARIA,0)))</f>
        <v>6500000</v>
      </c>
      <c r="N52" s="12">
        <f>IF(Tabla548[[#This Row],[Equipo ]]="","",INDEX(CONSUMO_COMBUSTIBLE_H,MATCH(Tabla548[[#This Row],[Equipo ]],LISTA_MAQUINARIA,0)))</f>
        <v>2</v>
      </c>
      <c r="O52" s="166">
        <f>IF(Tabla548[[#This Row],[Equipo ]]="","",INDEX(V_GALON,MATCH(Tabla548[[#This Row],[Equipo ]],LISTA_MAQUINARIA,0)))</f>
        <v>10800</v>
      </c>
      <c r="P52" s="10">
        <v>88</v>
      </c>
      <c r="Q52" s="165">
        <f>IF(Tabla548[[#This Row],[Equipo ]]="","",Tabla548[[#This Row],[Valor mensual]]+Tabla548[[#This Row],[Combustible Hora ]]*Tabla548[[#This Row],[Valor galon]]*Tabla548[[#This Row],[Horas mes]])</f>
        <v>8400800</v>
      </c>
      <c r="R52" s="168">
        <f>IF(Tabla548[[#This Row],[Valor mensual + Combustible]]="","",Tabla548[[#This Row],[Valor mensual + Combustible]]*Tabla548[[#This Row],[Cantidad]])</f>
        <v>16801600</v>
      </c>
      <c r="U52" s="9" t="s">
        <v>368</v>
      </c>
      <c r="V52" s="10">
        <v>2</v>
      </c>
      <c r="W52" s="165">
        <f>IF(Tabla551[[#This Row],[Equipo ]]="","",INDEX(V_MENSUAL,MATCH(Tabla551[[#This Row],[Equipo ]],LISTA_MAQUINARIA,0)))</f>
        <v>6500000</v>
      </c>
      <c r="X52" s="12">
        <f>IF(Tabla551[[#This Row],[Equipo ]]="","",INDEX(CONSUMO_COMBUSTIBLE_H,MATCH(Tabla551[[#This Row],[Equipo ]],LISTA_MAQUINARIA,0)))</f>
        <v>2</v>
      </c>
      <c r="Y52" s="166">
        <f>IF(Tabla551[[#This Row],[Equipo ]]="","",INDEX(V_GALON,MATCH(Tabla551[[#This Row],[Equipo ]],LISTA_MAQUINARIA,0)))</f>
        <v>10800</v>
      </c>
      <c r="Z52" s="10"/>
      <c r="AA52" s="165">
        <f>IF(Tabla551[[#This Row],[Equipo ]]="","",Tabla551[[#This Row],[Valor mensual]]+Tabla551[[#This Row],[Combustible Hora ]]*Tabla551[[#This Row],[Valor galon]]*Tabla551[[#This Row],[Horas mes]])</f>
        <v>6500000</v>
      </c>
      <c r="AB52" s="168">
        <f>IF(Tabla551[[#This Row],[Valor mensual + Combustible]]="","",Tabla551[[#This Row],[Valor mensual + Combustible]]*Tabla551[[#This Row],[Cantidad]])</f>
        <v>13000000</v>
      </c>
      <c r="AD52" s="9"/>
      <c r="AE52" s="10"/>
      <c r="AF52" s="165" t="str">
        <f>IF(Tabla554[[#This Row],[Equipo ]]="","",INDEX(V_MENSUAL,MATCH(Tabla554[[#This Row],[Equipo ]],LISTA_MAQUINARIA,0)))</f>
        <v/>
      </c>
      <c r="AG52" s="12" t="str">
        <f>IF(Tabla554[[#This Row],[Equipo ]]="","",INDEX(CONSUMO_COMBUSTIBLE_H,MATCH(Tabla554[[#This Row],[Equipo ]],LISTA_MAQUINARIA,0)))</f>
        <v/>
      </c>
      <c r="AH52" s="166" t="str">
        <f>IF(Tabla554[[#This Row],[Equipo ]]="","",INDEX(V_GALON,MATCH(Tabla554[[#This Row],[Equipo ]],LISTA_MAQUINARIA,0)))</f>
        <v/>
      </c>
      <c r="AI52" s="10"/>
      <c r="AJ52" s="165" t="str">
        <f>IF(Tabla554[[#This Row],[Equipo ]]="","",Tabla554[[#This Row],[Valor mensual]]+Tabla554[[#This Row],[Combustible Hora ]]*Tabla554[[#This Row],[Valor galon]]*Tabla554[[#This Row],[Horas mes]])</f>
        <v/>
      </c>
      <c r="AK52" s="168" t="str">
        <f>IF(Tabla554[[#This Row],[Valor mensual + Combustible]]="","",Tabla554[[#This Row],[Valor mensual + Combustible]]*Tabla554[[#This Row],[Cantidad]])</f>
        <v/>
      </c>
      <c r="AN52" s="9"/>
      <c r="AO52" s="10"/>
      <c r="AP52" s="165" t="str">
        <f>IF(Tabla557[[#This Row],[Equipo ]]="","",INDEX(V_MENSUAL,MATCH(Tabla557[[#This Row],[Equipo ]],LISTA_MAQUINARIA,0)))</f>
        <v/>
      </c>
      <c r="AQ52" s="12" t="str">
        <f>IF(Tabla557[[#This Row],[Equipo ]]="","",INDEX(CONSUMO_COMBUSTIBLE_H,MATCH(Tabla557[[#This Row],[Equipo ]],LISTA_MAQUINARIA,0)))</f>
        <v/>
      </c>
      <c r="AR52" s="166" t="str">
        <f>IF(Tabla557[[#This Row],[Equipo ]]="","",INDEX(V_GALON,MATCH(Tabla557[[#This Row],[Equipo ]],LISTA_MAQUINARIA,0)))</f>
        <v/>
      </c>
      <c r="AS52" s="10"/>
      <c r="AT52" s="165" t="str">
        <f>IF(Tabla557[[#This Row],[Equipo ]]="","",Tabla557[[#This Row],[Valor mensual]]+Tabla557[[#This Row],[Combustible Hora ]]*Tabla557[[#This Row],[Valor galon]]*Tabla557[[#This Row],[Horas mes]])</f>
        <v/>
      </c>
      <c r="AU52" s="168" t="str">
        <f>IF(Tabla557[[#This Row],[Valor mensual + Combustible]]="","",Tabla557[[#This Row],[Valor mensual + Combustible]]*Tabla557[[#This Row],[Cantidad]])</f>
        <v/>
      </c>
      <c r="AX52" s="9"/>
      <c r="AY52" s="10"/>
      <c r="AZ52" s="165" t="str">
        <f>IF(Tabla560[[#This Row],[Equipo ]]="","",INDEX(V_MENSUAL,MATCH(Tabla560[[#This Row],[Equipo ]],LISTA_MAQUINARIA,0)))</f>
        <v/>
      </c>
      <c r="BA52" s="12" t="str">
        <f>IF(Tabla560[[#This Row],[Equipo ]]="","",INDEX(CONSUMO_COMBUSTIBLE_H,MATCH(Tabla560[[#This Row],[Equipo ]],LISTA_MAQUINARIA,0)))</f>
        <v/>
      </c>
      <c r="BB52" s="166" t="str">
        <f>IF(Tabla560[[#This Row],[Equipo ]]="","",INDEX(V_GALON,MATCH(Tabla560[[#This Row],[Equipo ]],LISTA_MAQUINARIA,0)))</f>
        <v/>
      </c>
      <c r="BC52" s="10"/>
      <c r="BD52" s="165" t="str">
        <f>IF(Tabla560[[#This Row],[Equipo ]]="","",Tabla560[[#This Row],[Valor mensual]]+Tabla560[[#This Row],[Combustible Hora ]]*Tabla560[[#This Row],[Valor galon]]*Tabla560[[#This Row],[Horas mes]])</f>
        <v/>
      </c>
      <c r="BE52" s="168" t="str">
        <f>IF(Tabla560[[#This Row],[Valor mensual + Combustible]]="","",Tabla560[[#This Row],[Valor mensual + Combustible]]*Tabla560[[#This Row],[Cantidad]])</f>
        <v/>
      </c>
      <c r="BH52" s="9"/>
      <c r="BI52" s="10"/>
      <c r="BJ52" s="165" t="str">
        <f>IF(Tabla563[[#This Row],[Equipo ]]="","",INDEX(V_MENSUAL,MATCH(Tabla563[[#This Row],[Equipo ]],LISTA_MAQUINARIA,0)))</f>
        <v/>
      </c>
      <c r="BK52" s="12" t="str">
        <f>IF(Tabla563[[#This Row],[Equipo ]]="","",INDEX(CONSUMO_COMBUSTIBLE_H,MATCH(Tabla563[[#This Row],[Equipo ]],LISTA_MAQUINARIA,0)))</f>
        <v/>
      </c>
      <c r="BL52" s="166" t="str">
        <f>IF(Tabla563[[#This Row],[Equipo ]]="","",INDEX(V_GALON,MATCH(Tabla563[[#This Row],[Equipo ]],LISTA_MAQUINARIA,0)))</f>
        <v/>
      </c>
      <c r="BM52" s="10"/>
      <c r="BN52" s="165" t="str">
        <f>IF(Tabla563[[#This Row],[Equipo ]]="","",Tabla563[[#This Row],[Valor mensual]]+Tabla563[[#This Row],[Combustible Hora ]]*Tabla563[[#This Row],[Valor galon]]*Tabla563[[#This Row],[Horas mes]])</f>
        <v/>
      </c>
      <c r="BO52" s="168" t="str">
        <f>IF(Tabla563[[#This Row],[Valor mensual + Combustible]]="","",Tabla563[[#This Row],[Valor mensual + Combustible]]*Tabla563[[#This Row],[Cantidad]])</f>
        <v/>
      </c>
      <c r="BR52" s="9"/>
      <c r="BS52" s="10"/>
      <c r="BT52" s="165" t="str">
        <f>IF(Tabla566[[#This Row],[Equipo ]]="","",INDEX(V_MENSUAL,MATCH(Tabla566[[#This Row],[Equipo ]],LISTA_MAQUINARIA,0)))</f>
        <v/>
      </c>
      <c r="BU52" s="12" t="str">
        <f>IF(Tabla566[[#This Row],[Equipo ]]="","",INDEX(CONSUMO_COMBUSTIBLE_H,MATCH(Tabla566[[#This Row],[Equipo ]],LISTA_MAQUINARIA,0)))</f>
        <v/>
      </c>
      <c r="BV52" s="166" t="str">
        <f>IF(Tabla566[[#This Row],[Equipo ]]="","",INDEX(V_GALON,MATCH(Tabla566[[#This Row],[Equipo ]],LISTA_MAQUINARIA,0)))</f>
        <v/>
      </c>
      <c r="BW52" s="10"/>
      <c r="BX52" s="165" t="str">
        <f>IF(Tabla566[[#This Row],[Equipo ]]="","",Tabla566[[#This Row],[Valor mensual]]+Tabla566[[#This Row],[Combustible Hora ]]*Tabla566[[#This Row],[Valor galon]]*Tabla566[[#This Row],[Horas mes]])</f>
        <v/>
      </c>
      <c r="BY52" s="168" t="str">
        <f>IF(Tabla566[[#This Row],[Valor mensual + Combustible]]="","",Tabla566[[#This Row],[Valor mensual + Combustible]]*Tabla566[[#This Row],[Cantidad]])</f>
        <v/>
      </c>
      <c r="CB52" s="9"/>
      <c r="CC52" s="10"/>
      <c r="CD52" s="165" t="str">
        <f>IF(Tabla569[[#This Row],[Equipo ]]="","",INDEX(V_MENSUAL,MATCH(Tabla569[[#This Row],[Equipo ]],LISTA_MAQUINARIA,0)))</f>
        <v/>
      </c>
      <c r="CE52" s="12" t="str">
        <f>IF(Tabla569[[#This Row],[Equipo ]]="","",INDEX(CONSUMO_COMBUSTIBLE_H,MATCH(Tabla569[[#This Row],[Equipo ]],LISTA_MAQUINARIA,0)))</f>
        <v/>
      </c>
      <c r="CF52" s="166" t="str">
        <f>IF(Tabla569[[#This Row],[Equipo ]]="","",INDEX(V_GALON,MATCH(Tabla569[[#This Row],[Equipo ]],LISTA_MAQUINARIA,0)))</f>
        <v/>
      </c>
      <c r="CG52" s="10"/>
      <c r="CH52" s="165" t="str">
        <f>IF(Tabla569[[#This Row],[Equipo ]]="","",Tabla569[[#This Row],[Valor mensual]]+Tabla569[[#This Row],[Combustible Hora ]]*Tabla569[[#This Row],[Valor galon]]*Tabla569[[#This Row],[Horas mes]])</f>
        <v/>
      </c>
      <c r="CI52" s="168" t="str">
        <f>IF(Tabla569[[#This Row],[Valor mensual + Combustible]]="","",Tabla569[[#This Row],[Valor mensual + Combustible]]*Tabla569[[#This Row],[Cantidad]])</f>
        <v/>
      </c>
      <c r="CL52" s="9"/>
      <c r="CM52" s="10"/>
      <c r="CN52" s="165" t="str">
        <f>IF(Tabla572[[#This Row],[Equipo ]]="","",INDEX(V_MENSUAL,MATCH(Tabla572[[#This Row],[Equipo ]],LISTA_MAQUINARIA,0)))</f>
        <v/>
      </c>
      <c r="CO52" s="12" t="str">
        <f>IF(Tabla572[[#This Row],[Equipo ]]="","",INDEX(CONSUMO_COMBUSTIBLE_H,MATCH(Tabla572[[#This Row],[Equipo ]],LISTA_MAQUINARIA,0)))</f>
        <v/>
      </c>
      <c r="CP52" s="166" t="str">
        <f>IF(Tabla572[[#This Row],[Equipo ]]="","",INDEX(V_GALON,MATCH(Tabla572[[#This Row],[Equipo ]],LISTA_MAQUINARIA,0)))</f>
        <v/>
      </c>
      <c r="CQ52" s="10"/>
      <c r="CR52" s="165" t="str">
        <f>IF(Tabla572[[#This Row],[Equipo ]]="","",Tabla572[[#This Row],[Valor mensual]]+Tabla572[[#This Row],[Combustible Hora ]]*Tabla572[[#This Row],[Valor galon]]*Tabla572[[#This Row],[Horas mes]])</f>
        <v/>
      </c>
      <c r="CS52" s="168" t="str">
        <f>IF(Tabla572[[#This Row],[Valor mensual + Combustible]]="","",Tabla572[[#This Row],[Valor mensual + Combustible]]*Tabla572[[#This Row],[Cantidad]])</f>
        <v/>
      </c>
      <c r="CV52" s="9"/>
      <c r="CW52" s="10"/>
      <c r="CX52" s="165" t="str">
        <f>IF(Tabla575[[#This Row],[Equipo ]]="","",INDEX(V_MENSUAL,MATCH(Tabla575[[#This Row],[Equipo ]],LISTA_MAQUINARIA,0)))</f>
        <v/>
      </c>
      <c r="CY52" s="12" t="str">
        <f>IF(Tabla575[[#This Row],[Equipo ]]="","",INDEX(CONSUMO_COMBUSTIBLE_H,MATCH(Tabla575[[#This Row],[Equipo ]],LISTA_MAQUINARIA,0)))</f>
        <v/>
      </c>
      <c r="CZ52" s="166" t="str">
        <f>IF(Tabla575[[#This Row],[Equipo ]]="","",INDEX(V_GALON,MATCH(Tabla575[[#This Row],[Equipo ]],LISTA_MAQUINARIA,0)))</f>
        <v/>
      </c>
      <c r="DA52" s="10"/>
      <c r="DB52" s="165" t="str">
        <f>IF(Tabla575[[#This Row],[Equipo ]]="","",Tabla575[[#This Row],[Valor mensual]]+Tabla575[[#This Row],[Combustible Hora ]]*Tabla575[[#This Row],[Valor galon]]*Tabla575[[#This Row],[Horas mes]])</f>
        <v/>
      </c>
      <c r="DC52" s="168" t="str">
        <f>IF(Tabla575[[#This Row],[Valor mensual + Combustible]]="","",Tabla575[[#This Row],[Valor mensual + Combustible]]*Tabla575[[#This Row],[Cantidad]])</f>
        <v/>
      </c>
      <c r="DF52" s="9"/>
      <c r="DG52" s="10"/>
      <c r="DH52" s="165" t="str">
        <f>IF(Tabla578[[#This Row],[Equipo ]]="","",INDEX(V_MENSUAL,MATCH(Tabla578[[#This Row],[Equipo ]],LISTA_MAQUINARIA,0)))</f>
        <v/>
      </c>
      <c r="DI52" s="12" t="str">
        <f>IF(Tabla578[[#This Row],[Equipo ]]="","",INDEX(CONSUMO_COMBUSTIBLE_H,MATCH(Tabla578[[#This Row],[Equipo ]],LISTA_MAQUINARIA,0)))</f>
        <v/>
      </c>
      <c r="DJ52" s="166" t="str">
        <f>IF(Tabla578[[#This Row],[Equipo ]]="","",INDEX(V_GALON,MATCH(Tabla578[[#This Row],[Equipo ]],LISTA_MAQUINARIA,0)))</f>
        <v/>
      </c>
      <c r="DK52" s="10"/>
      <c r="DL52" s="165" t="str">
        <f>IF(Tabla578[[#This Row],[Equipo ]]="","",Tabla578[[#This Row],[Valor mensual]]+Tabla578[[#This Row],[Combustible Hora ]]*Tabla578[[#This Row],[Valor galon]]*Tabla578[[#This Row],[Horas mes]])</f>
        <v/>
      </c>
      <c r="DM52" s="168" t="str">
        <f>IF(Tabla578[[#This Row],[Valor mensual + Combustible]]="","",Tabla578[[#This Row],[Valor mensual + Combustible]]*Tabla578[[#This Row],[Cantidad]])</f>
        <v/>
      </c>
      <c r="DP52" s="9"/>
      <c r="DQ52" s="10"/>
      <c r="DR52" s="165" t="str">
        <f>IF(Tabla581[[#This Row],[Equipo ]]="","",INDEX(V_MENSUAL,MATCH(Tabla581[[#This Row],[Equipo ]],LISTA_MAQUINARIA,0)))</f>
        <v/>
      </c>
      <c r="DS52" s="12" t="str">
        <f>IF(Tabla581[[#This Row],[Equipo ]]="","",INDEX(CONSUMO_COMBUSTIBLE_H,MATCH(Tabla581[[#This Row],[Equipo ]],LISTA_MAQUINARIA,0)))</f>
        <v/>
      </c>
      <c r="DT52" s="166" t="str">
        <f>IF(Tabla581[[#This Row],[Equipo ]]="","",INDEX(V_GALON,MATCH(Tabla581[[#This Row],[Equipo ]],LISTA_MAQUINARIA,0)))</f>
        <v/>
      </c>
      <c r="DU52" s="10"/>
      <c r="DV52" s="165" t="str">
        <f>IF(Tabla581[[#This Row],[Equipo ]]="","",Tabla581[[#This Row],[Valor mensual]]+Tabla581[[#This Row],[Combustible Hora ]]*Tabla581[[#This Row],[Valor galon]]*Tabla581[[#This Row],[Horas mes]])</f>
        <v/>
      </c>
      <c r="DW52" s="168" t="str">
        <f>IF(Tabla581[[#This Row],[Valor mensual + Combustible]]="","",Tabla581[[#This Row],[Valor mensual + Combustible]]*Tabla581[[#This Row],[Cantidad]])</f>
        <v/>
      </c>
      <c r="DZ52" s="9"/>
      <c r="EA52" s="10"/>
      <c r="EB52" s="165" t="str">
        <f>IF(Tabla584[[#This Row],[Equipo ]]="","",INDEX(V_MENSUAL,MATCH(Tabla584[[#This Row],[Equipo ]],LISTA_MAQUINARIA,0)))</f>
        <v/>
      </c>
      <c r="EC52" s="12" t="str">
        <f>IF(Tabla584[[#This Row],[Equipo ]]="","",INDEX(CONSUMO_COMBUSTIBLE_H,MATCH(Tabla584[[#This Row],[Equipo ]],LISTA_MAQUINARIA,0)))</f>
        <v/>
      </c>
      <c r="ED52" s="166" t="str">
        <f>IF(Tabla584[[#This Row],[Equipo ]]="","",INDEX(V_GALON,MATCH(Tabla584[[#This Row],[Equipo ]],LISTA_MAQUINARIA,0)))</f>
        <v/>
      </c>
      <c r="EE52" s="10"/>
      <c r="EF52" s="165" t="str">
        <f>IF(Tabla584[[#This Row],[Equipo ]]="","",Tabla584[[#This Row],[Valor mensual]]+Tabla584[[#This Row],[Combustible Hora ]]*Tabla584[[#This Row],[Valor galon]]*Tabla584[[#This Row],[Horas mes]])</f>
        <v/>
      </c>
      <c r="EG52" s="168" t="str">
        <f>IF(Tabla584[[#This Row],[Valor mensual + Combustible]]="","",Tabla584[[#This Row],[Valor mensual + Combustible]]*Tabla584[[#This Row],[Cantidad]])</f>
        <v/>
      </c>
      <c r="EJ52" s="9"/>
      <c r="EK52" s="10"/>
      <c r="EL52" s="165" t="str">
        <f>IF(Tabla587[[#This Row],[Equipo ]]="","",INDEX(V_MENSUAL,MATCH(Tabla587[[#This Row],[Equipo ]],LISTA_MAQUINARIA,0)))</f>
        <v/>
      </c>
      <c r="EM52" s="12" t="str">
        <f>IF(Tabla587[[#This Row],[Equipo ]]="","",INDEX(CONSUMO_COMBUSTIBLE_H,MATCH(Tabla587[[#This Row],[Equipo ]],LISTA_MAQUINARIA,0)))</f>
        <v/>
      </c>
      <c r="EN52" s="166" t="str">
        <f>IF(Tabla587[[#This Row],[Equipo ]]="","",INDEX(V_GALON,MATCH(Tabla587[[#This Row],[Equipo ]],LISTA_MAQUINARIA,0)))</f>
        <v/>
      </c>
      <c r="EO52" s="10"/>
      <c r="EP52" s="165" t="str">
        <f>IF(Tabla587[[#This Row],[Equipo ]]="","",Tabla587[[#This Row],[Valor mensual]]+Tabla587[[#This Row],[Combustible Hora ]]*Tabla587[[#This Row],[Valor galon]]*Tabla587[[#This Row],[Horas mes]])</f>
        <v/>
      </c>
      <c r="EQ52" s="168" t="str">
        <f>IF(Tabla587[[#This Row],[Valor mensual + Combustible]]="","",Tabla587[[#This Row],[Valor mensual + Combustible]]*Tabla587[[#This Row],[Cantidad]])</f>
        <v/>
      </c>
      <c r="ET52" s="9"/>
      <c r="EU52" s="10"/>
      <c r="EV52" s="165" t="str">
        <f>IF(Tabla590[[#This Row],[Equipo ]]="","",INDEX(V_MENSUAL,MATCH(Tabla590[[#This Row],[Equipo ]],LISTA_MAQUINARIA,0)))</f>
        <v/>
      </c>
      <c r="EW52" s="12" t="str">
        <f>IF(Tabla590[[#This Row],[Equipo ]]="","",INDEX(CONSUMO_COMBUSTIBLE_H,MATCH(Tabla590[[#This Row],[Equipo ]],LISTA_MAQUINARIA,0)))</f>
        <v/>
      </c>
      <c r="EX52" s="166" t="str">
        <f>IF(Tabla590[[#This Row],[Equipo ]]="","",INDEX(V_GALON,MATCH(Tabla590[[#This Row],[Equipo ]],LISTA_MAQUINARIA,0)))</f>
        <v/>
      </c>
      <c r="EY52" s="10"/>
      <c r="EZ52" s="165" t="str">
        <f>IF(Tabla590[[#This Row],[Equipo ]]="","",Tabla590[[#This Row],[Valor mensual]]+Tabla590[[#This Row],[Combustible Hora ]]*Tabla590[[#This Row],[Valor galon]]*Tabla590[[#This Row],[Horas mes]])</f>
        <v/>
      </c>
      <c r="FA52" s="168" t="str">
        <f>IF(Tabla590[[#This Row],[Valor mensual + Combustible]]="","",Tabla590[[#This Row],[Valor mensual + Combustible]]*Tabla590[[#This Row],[Cantidad]])</f>
        <v/>
      </c>
      <c r="FD52" s="9"/>
      <c r="FE52" s="10"/>
      <c r="FF52" s="165" t="str">
        <f>IF(Tabla593[[#This Row],[Equipo ]]="","",INDEX(V_MENSUAL,MATCH(Tabla593[[#This Row],[Equipo ]],LISTA_MAQUINARIA,0)))</f>
        <v/>
      </c>
      <c r="FG52" s="12" t="str">
        <f>IF(Tabla593[[#This Row],[Equipo ]]="","",INDEX(CONSUMO_COMBUSTIBLE_H,MATCH(Tabla593[[#This Row],[Equipo ]],LISTA_MAQUINARIA,0)))</f>
        <v/>
      </c>
      <c r="FH52" s="166" t="str">
        <f>IF(Tabla593[[#This Row],[Equipo ]]="","",INDEX(V_GALON,MATCH(Tabla593[[#This Row],[Equipo ]],LISTA_MAQUINARIA,0)))</f>
        <v/>
      </c>
      <c r="FI52" s="10"/>
      <c r="FJ52" s="165" t="str">
        <f>IF(Tabla593[[#This Row],[Equipo ]]="","",Tabla593[[#This Row],[Valor mensual]]+Tabla593[[#This Row],[Combustible Hora ]]*Tabla593[[#This Row],[Valor galon]]*Tabla593[[#This Row],[Horas mes]])</f>
        <v/>
      </c>
      <c r="FK52" s="168" t="str">
        <f>IF(Tabla593[[#This Row],[Valor mensual + Combustible]]="","",Tabla593[[#This Row],[Valor mensual + Combustible]]*Tabla593[[#This Row],[Cantidad]])</f>
        <v/>
      </c>
      <c r="FN52" s="9"/>
      <c r="FO52" s="10"/>
      <c r="FP52" s="165" t="str">
        <f>IF(Tabla596[[#This Row],[Equipo ]]="","",INDEX(V_MENSUAL,MATCH(Tabla596[[#This Row],[Equipo ]],LISTA_MAQUINARIA,0)))</f>
        <v/>
      </c>
      <c r="FQ52" s="12" t="str">
        <f>IF(Tabla596[[#This Row],[Equipo ]]="","",INDEX(CONSUMO_COMBUSTIBLE_H,MATCH(Tabla596[[#This Row],[Equipo ]],LISTA_MAQUINARIA,0)))</f>
        <v/>
      </c>
      <c r="FR52" s="166" t="str">
        <f>IF(Tabla596[[#This Row],[Equipo ]]="","",INDEX(V_GALON,MATCH(Tabla596[[#This Row],[Equipo ]],LISTA_MAQUINARIA,0)))</f>
        <v/>
      </c>
      <c r="FS52" s="10"/>
      <c r="FT52" s="165" t="str">
        <f>IF(Tabla596[[#This Row],[Equipo ]]="","",Tabla596[[#This Row],[Valor mensual]]+Tabla596[[#This Row],[Combustible Hora ]]*Tabla596[[#This Row],[Valor galon]]*Tabla596[[#This Row],[Horas mes]])</f>
        <v/>
      </c>
      <c r="FU52" s="168" t="str">
        <f>IF(Tabla596[[#This Row],[Valor mensual + Combustible]]="","",Tabla596[[#This Row],[Valor mensual + Combustible]]*Tabla596[[#This Row],[Cantidad]])</f>
        <v/>
      </c>
    </row>
    <row r="53" spans="1:177" x14ac:dyDescent="0.3">
      <c r="A53" s="9" t="s">
        <v>508</v>
      </c>
      <c r="B53" s="10">
        <v>8</v>
      </c>
      <c r="C53" s="165">
        <f>IF(Tabla5[[#This Row],[Equipo ]]="","",INDEX(V_MENSUAL,MATCH(Tabla5[[#This Row],[Equipo ]],LISTA_MAQUINARIA,0)))</f>
        <v>1800000</v>
      </c>
      <c r="D53" s="12">
        <f>IF(Tabla5[[#This Row],[Equipo ]]="","",INDEX(CONSUMO_COMBUSTIBLE_H,MATCH(Tabla5[[#This Row],[Equipo ]],LISTA_MAQUINARIA,0)))</f>
        <v>0</v>
      </c>
      <c r="E53" s="166">
        <f>IF(Tabla5[[#This Row],[Equipo ]]="","",INDEX(V_GALON,MATCH(Tabla5[[#This Row],[Equipo ]],LISTA_MAQUINARIA,0)))</f>
        <v>10800</v>
      </c>
      <c r="F53" s="10"/>
      <c r="G53" s="165">
        <f>IF(Tabla5[[#This Row],[Equipo ]]="","",Tabla5[[#This Row],[Valor mensual]]+Tabla5[[#This Row],[Combustible Hora ]]*Tabla5[[#This Row],[Valor galon]]*Tabla5[[#This Row],[Horas mes]])</f>
        <v>1800000</v>
      </c>
      <c r="H53" s="168">
        <f>IF(Tabla5[[#This Row],[Valor mensual + Combustible]]="","",Tabla5[[#This Row],[Valor mensual + Combustible]]*Tabla5[[#This Row],[Cantidad]])</f>
        <v>14400000</v>
      </c>
      <c r="K53" s="9" t="s">
        <v>508</v>
      </c>
      <c r="L53" s="10">
        <v>8</v>
      </c>
      <c r="M53" s="165" cm="1">
        <f t="array" ref="M53">IF(Tabla548[[#This Row],[Equipo ]]="","",INDEX(V_MENSUAL,MATCH(Tabla548[[#This Row],[Equipo ]],LISTA_MAQUINARIA,0)))</f>
        <v>1800000</v>
      </c>
      <c r="N53" s="12">
        <f>IF(Tabla548[[#This Row],[Equipo ]]="","",INDEX(CONSUMO_COMBUSTIBLE_H,MATCH(Tabla548[[#This Row],[Equipo ]],LISTA_MAQUINARIA,0)))</f>
        <v>0</v>
      </c>
      <c r="O53" s="166">
        <f>IF(Tabla548[[#This Row],[Equipo ]]="","",INDEX(V_GALON,MATCH(Tabla548[[#This Row],[Equipo ]],LISTA_MAQUINARIA,0)))</f>
        <v>10800</v>
      </c>
      <c r="P53" s="10"/>
      <c r="Q53" s="165">
        <f>IF(Tabla548[[#This Row],[Equipo ]]="","",Tabla548[[#This Row],[Valor mensual]]+Tabla548[[#This Row],[Combustible Hora ]]*Tabla548[[#This Row],[Valor galon]]*Tabla548[[#This Row],[Horas mes]])</f>
        <v>1800000</v>
      </c>
      <c r="R53" s="168">
        <f>IF(Tabla548[[#This Row],[Valor mensual + Combustible]]="","",Tabla548[[#This Row],[Valor mensual + Combustible]]*Tabla548[[#This Row],[Cantidad]])</f>
        <v>14400000</v>
      </c>
      <c r="U53" s="9" t="s">
        <v>508</v>
      </c>
      <c r="V53" s="10">
        <v>8</v>
      </c>
      <c r="W53" s="165">
        <f>IF(Tabla551[[#This Row],[Equipo ]]="","",INDEX(V_MENSUAL,MATCH(Tabla551[[#This Row],[Equipo ]],LISTA_MAQUINARIA,0)))</f>
        <v>1800000</v>
      </c>
      <c r="X53" s="12">
        <f>IF(Tabla551[[#This Row],[Equipo ]]="","",INDEX(CONSUMO_COMBUSTIBLE_H,MATCH(Tabla551[[#This Row],[Equipo ]],LISTA_MAQUINARIA,0)))</f>
        <v>0</v>
      </c>
      <c r="Y53" s="166">
        <f>IF(Tabla551[[#This Row],[Equipo ]]="","",INDEX(V_GALON,MATCH(Tabla551[[#This Row],[Equipo ]],LISTA_MAQUINARIA,0)))</f>
        <v>10800</v>
      </c>
      <c r="Z53" s="10"/>
      <c r="AA53" s="165">
        <f>IF(Tabla551[[#This Row],[Equipo ]]="","",Tabla551[[#This Row],[Valor mensual]]+Tabla551[[#This Row],[Combustible Hora ]]*Tabla551[[#This Row],[Valor galon]]*Tabla551[[#This Row],[Horas mes]])</f>
        <v>1800000</v>
      </c>
      <c r="AB53" s="168">
        <f>IF(Tabla551[[#This Row],[Valor mensual + Combustible]]="","",Tabla551[[#This Row],[Valor mensual + Combustible]]*Tabla551[[#This Row],[Cantidad]])</f>
        <v>14400000</v>
      </c>
      <c r="AD53" s="9"/>
      <c r="AE53" s="10"/>
      <c r="AF53" s="165" t="str">
        <f>IF(Tabla554[[#This Row],[Equipo ]]="","",INDEX(V_MENSUAL,MATCH(Tabla554[[#This Row],[Equipo ]],LISTA_MAQUINARIA,0)))</f>
        <v/>
      </c>
      <c r="AG53" s="12" t="str">
        <f>IF(Tabla554[[#This Row],[Equipo ]]="","",INDEX(CONSUMO_COMBUSTIBLE_H,MATCH(Tabla554[[#This Row],[Equipo ]],LISTA_MAQUINARIA,0)))</f>
        <v/>
      </c>
      <c r="AH53" s="166" t="str">
        <f>IF(Tabla554[[#This Row],[Equipo ]]="","",INDEX(V_GALON,MATCH(Tabla554[[#This Row],[Equipo ]],LISTA_MAQUINARIA,0)))</f>
        <v/>
      </c>
      <c r="AI53" s="10"/>
      <c r="AJ53" s="165" t="str">
        <f>IF(Tabla554[[#This Row],[Equipo ]]="","",Tabla554[[#This Row],[Valor mensual]]+Tabla554[[#This Row],[Combustible Hora ]]*Tabla554[[#This Row],[Valor galon]]*Tabla554[[#This Row],[Horas mes]])</f>
        <v/>
      </c>
      <c r="AK53" s="168" t="str">
        <f>IF(Tabla554[[#This Row],[Valor mensual + Combustible]]="","",Tabla554[[#This Row],[Valor mensual + Combustible]]*Tabla554[[#This Row],[Cantidad]])</f>
        <v/>
      </c>
      <c r="AN53" s="9"/>
      <c r="AO53" s="10"/>
      <c r="AP53" s="165" t="str">
        <f>IF(Tabla557[[#This Row],[Equipo ]]="","",INDEX(V_MENSUAL,MATCH(Tabla557[[#This Row],[Equipo ]],LISTA_MAQUINARIA,0)))</f>
        <v/>
      </c>
      <c r="AQ53" s="12" t="str">
        <f>IF(Tabla557[[#This Row],[Equipo ]]="","",INDEX(CONSUMO_COMBUSTIBLE_H,MATCH(Tabla557[[#This Row],[Equipo ]],LISTA_MAQUINARIA,0)))</f>
        <v/>
      </c>
      <c r="AR53" s="166" t="str">
        <f>IF(Tabla557[[#This Row],[Equipo ]]="","",INDEX(V_GALON,MATCH(Tabla557[[#This Row],[Equipo ]],LISTA_MAQUINARIA,0)))</f>
        <v/>
      </c>
      <c r="AS53" s="10"/>
      <c r="AT53" s="165" t="str">
        <f>IF(Tabla557[[#This Row],[Equipo ]]="","",Tabla557[[#This Row],[Valor mensual]]+Tabla557[[#This Row],[Combustible Hora ]]*Tabla557[[#This Row],[Valor galon]]*Tabla557[[#This Row],[Horas mes]])</f>
        <v/>
      </c>
      <c r="AU53" s="168" t="str">
        <f>IF(Tabla557[[#This Row],[Valor mensual + Combustible]]="","",Tabla557[[#This Row],[Valor mensual + Combustible]]*Tabla557[[#This Row],[Cantidad]])</f>
        <v/>
      </c>
      <c r="AX53" s="9"/>
      <c r="AY53" s="10"/>
      <c r="AZ53" s="165" t="str">
        <f>IF(Tabla560[[#This Row],[Equipo ]]="","",INDEX(V_MENSUAL,MATCH(Tabla560[[#This Row],[Equipo ]],LISTA_MAQUINARIA,0)))</f>
        <v/>
      </c>
      <c r="BA53" s="12" t="str">
        <f>IF(Tabla560[[#This Row],[Equipo ]]="","",INDEX(CONSUMO_COMBUSTIBLE_H,MATCH(Tabla560[[#This Row],[Equipo ]],LISTA_MAQUINARIA,0)))</f>
        <v/>
      </c>
      <c r="BB53" s="166" t="str">
        <f>IF(Tabla560[[#This Row],[Equipo ]]="","",INDEX(V_GALON,MATCH(Tabla560[[#This Row],[Equipo ]],LISTA_MAQUINARIA,0)))</f>
        <v/>
      </c>
      <c r="BC53" s="10"/>
      <c r="BD53" s="165" t="str">
        <f>IF(Tabla560[[#This Row],[Equipo ]]="","",Tabla560[[#This Row],[Valor mensual]]+Tabla560[[#This Row],[Combustible Hora ]]*Tabla560[[#This Row],[Valor galon]]*Tabla560[[#This Row],[Horas mes]])</f>
        <v/>
      </c>
      <c r="BE53" s="168" t="str">
        <f>IF(Tabla560[[#This Row],[Valor mensual + Combustible]]="","",Tabla560[[#This Row],[Valor mensual + Combustible]]*Tabla560[[#This Row],[Cantidad]])</f>
        <v/>
      </c>
      <c r="BH53" s="9"/>
      <c r="BI53" s="10"/>
      <c r="BJ53" s="165" t="str">
        <f>IF(Tabla563[[#This Row],[Equipo ]]="","",INDEX(V_MENSUAL,MATCH(Tabla563[[#This Row],[Equipo ]],LISTA_MAQUINARIA,0)))</f>
        <v/>
      </c>
      <c r="BK53" s="12" t="str">
        <f>IF(Tabla563[[#This Row],[Equipo ]]="","",INDEX(CONSUMO_COMBUSTIBLE_H,MATCH(Tabla563[[#This Row],[Equipo ]],LISTA_MAQUINARIA,0)))</f>
        <v/>
      </c>
      <c r="BL53" s="166" t="str">
        <f>IF(Tabla563[[#This Row],[Equipo ]]="","",INDEX(V_GALON,MATCH(Tabla563[[#This Row],[Equipo ]],LISTA_MAQUINARIA,0)))</f>
        <v/>
      </c>
      <c r="BM53" s="10"/>
      <c r="BN53" s="165" t="str">
        <f>IF(Tabla563[[#This Row],[Equipo ]]="","",Tabla563[[#This Row],[Valor mensual]]+Tabla563[[#This Row],[Combustible Hora ]]*Tabla563[[#This Row],[Valor galon]]*Tabla563[[#This Row],[Horas mes]])</f>
        <v/>
      </c>
      <c r="BO53" s="168" t="str">
        <f>IF(Tabla563[[#This Row],[Valor mensual + Combustible]]="","",Tabla563[[#This Row],[Valor mensual + Combustible]]*Tabla563[[#This Row],[Cantidad]])</f>
        <v/>
      </c>
      <c r="BR53" s="9"/>
      <c r="BS53" s="10"/>
      <c r="BT53" s="165" t="str">
        <f>IF(Tabla566[[#This Row],[Equipo ]]="","",INDEX(V_MENSUAL,MATCH(Tabla566[[#This Row],[Equipo ]],LISTA_MAQUINARIA,0)))</f>
        <v/>
      </c>
      <c r="BU53" s="12" t="str">
        <f>IF(Tabla566[[#This Row],[Equipo ]]="","",INDEX(CONSUMO_COMBUSTIBLE_H,MATCH(Tabla566[[#This Row],[Equipo ]],LISTA_MAQUINARIA,0)))</f>
        <v/>
      </c>
      <c r="BV53" s="166" t="str">
        <f>IF(Tabla566[[#This Row],[Equipo ]]="","",INDEX(V_GALON,MATCH(Tabla566[[#This Row],[Equipo ]],LISTA_MAQUINARIA,0)))</f>
        <v/>
      </c>
      <c r="BW53" s="10"/>
      <c r="BX53" s="165" t="str">
        <f>IF(Tabla566[[#This Row],[Equipo ]]="","",Tabla566[[#This Row],[Valor mensual]]+Tabla566[[#This Row],[Combustible Hora ]]*Tabla566[[#This Row],[Valor galon]]*Tabla566[[#This Row],[Horas mes]])</f>
        <v/>
      </c>
      <c r="BY53" s="168" t="str">
        <f>IF(Tabla566[[#This Row],[Valor mensual + Combustible]]="","",Tabla566[[#This Row],[Valor mensual + Combustible]]*Tabla566[[#This Row],[Cantidad]])</f>
        <v/>
      </c>
      <c r="CB53" s="9"/>
      <c r="CC53" s="10"/>
      <c r="CD53" s="165" t="str">
        <f>IF(Tabla569[[#This Row],[Equipo ]]="","",INDEX(V_MENSUAL,MATCH(Tabla569[[#This Row],[Equipo ]],LISTA_MAQUINARIA,0)))</f>
        <v/>
      </c>
      <c r="CE53" s="12" t="str">
        <f>IF(Tabla569[[#This Row],[Equipo ]]="","",INDEX(CONSUMO_COMBUSTIBLE_H,MATCH(Tabla569[[#This Row],[Equipo ]],LISTA_MAQUINARIA,0)))</f>
        <v/>
      </c>
      <c r="CF53" s="166" t="str">
        <f>IF(Tabla569[[#This Row],[Equipo ]]="","",INDEX(V_GALON,MATCH(Tabla569[[#This Row],[Equipo ]],LISTA_MAQUINARIA,0)))</f>
        <v/>
      </c>
      <c r="CG53" s="10"/>
      <c r="CH53" s="165" t="str">
        <f>IF(Tabla569[[#This Row],[Equipo ]]="","",Tabla569[[#This Row],[Valor mensual]]+Tabla569[[#This Row],[Combustible Hora ]]*Tabla569[[#This Row],[Valor galon]]*Tabla569[[#This Row],[Horas mes]])</f>
        <v/>
      </c>
      <c r="CI53" s="168" t="str">
        <f>IF(Tabla569[[#This Row],[Valor mensual + Combustible]]="","",Tabla569[[#This Row],[Valor mensual + Combustible]]*Tabla569[[#This Row],[Cantidad]])</f>
        <v/>
      </c>
      <c r="CL53" s="9"/>
      <c r="CM53" s="10"/>
      <c r="CN53" s="165" t="str">
        <f>IF(Tabla572[[#This Row],[Equipo ]]="","",INDEX(V_MENSUAL,MATCH(Tabla572[[#This Row],[Equipo ]],LISTA_MAQUINARIA,0)))</f>
        <v/>
      </c>
      <c r="CO53" s="12" t="str">
        <f>IF(Tabla572[[#This Row],[Equipo ]]="","",INDEX(CONSUMO_COMBUSTIBLE_H,MATCH(Tabla572[[#This Row],[Equipo ]],LISTA_MAQUINARIA,0)))</f>
        <v/>
      </c>
      <c r="CP53" s="166" t="str">
        <f>IF(Tabla572[[#This Row],[Equipo ]]="","",INDEX(V_GALON,MATCH(Tabla572[[#This Row],[Equipo ]],LISTA_MAQUINARIA,0)))</f>
        <v/>
      </c>
      <c r="CQ53" s="10"/>
      <c r="CR53" s="165" t="str">
        <f>IF(Tabla572[[#This Row],[Equipo ]]="","",Tabla572[[#This Row],[Valor mensual]]+Tabla572[[#This Row],[Combustible Hora ]]*Tabla572[[#This Row],[Valor galon]]*Tabla572[[#This Row],[Horas mes]])</f>
        <v/>
      </c>
      <c r="CS53" s="168" t="str">
        <f>IF(Tabla572[[#This Row],[Valor mensual + Combustible]]="","",Tabla572[[#This Row],[Valor mensual + Combustible]]*Tabla572[[#This Row],[Cantidad]])</f>
        <v/>
      </c>
      <c r="CV53" s="9"/>
      <c r="CW53" s="10"/>
      <c r="CX53" s="165" t="str">
        <f>IF(Tabla575[[#This Row],[Equipo ]]="","",INDEX(V_MENSUAL,MATCH(Tabla575[[#This Row],[Equipo ]],LISTA_MAQUINARIA,0)))</f>
        <v/>
      </c>
      <c r="CY53" s="12" t="str">
        <f>IF(Tabla575[[#This Row],[Equipo ]]="","",INDEX(CONSUMO_COMBUSTIBLE_H,MATCH(Tabla575[[#This Row],[Equipo ]],LISTA_MAQUINARIA,0)))</f>
        <v/>
      </c>
      <c r="CZ53" s="166" t="str">
        <f>IF(Tabla575[[#This Row],[Equipo ]]="","",INDEX(V_GALON,MATCH(Tabla575[[#This Row],[Equipo ]],LISTA_MAQUINARIA,0)))</f>
        <v/>
      </c>
      <c r="DA53" s="10"/>
      <c r="DB53" s="165" t="str">
        <f>IF(Tabla575[[#This Row],[Equipo ]]="","",Tabla575[[#This Row],[Valor mensual]]+Tabla575[[#This Row],[Combustible Hora ]]*Tabla575[[#This Row],[Valor galon]]*Tabla575[[#This Row],[Horas mes]])</f>
        <v/>
      </c>
      <c r="DC53" s="168" t="str">
        <f>IF(Tabla575[[#This Row],[Valor mensual + Combustible]]="","",Tabla575[[#This Row],[Valor mensual + Combustible]]*Tabla575[[#This Row],[Cantidad]])</f>
        <v/>
      </c>
      <c r="DF53" s="9"/>
      <c r="DG53" s="10"/>
      <c r="DH53" s="165" t="str">
        <f>IF(Tabla578[[#This Row],[Equipo ]]="","",INDEX(V_MENSUAL,MATCH(Tabla578[[#This Row],[Equipo ]],LISTA_MAQUINARIA,0)))</f>
        <v/>
      </c>
      <c r="DI53" s="12" t="str">
        <f>IF(Tabla578[[#This Row],[Equipo ]]="","",INDEX(CONSUMO_COMBUSTIBLE_H,MATCH(Tabla578[[#This Row],[Equipo ]],LISTA_MAQUINARIA,0)))</f>
        <v/>
      </c>
      <c r="DJ53" s="166" t="str">
        <f>IF(Tabla578[[#This Row],[Equipo ]]="","",INDEX(V_GALON,MATCH(Tabla578[[#This Row],[Equipo ]],LISTA_MAQUINARIA,0)))</f>
        <v/>
      </c>
      <c r="DK53" s="10"/>
      <c r="DL53" s="165" t="str">
        <f>IF(Tabla578[[#This Row],[Equipo ]]="","",Tabla578[[#This Row],[Valor mensual]]+Tabla578[[#This Row],[Combustible Hora ]]*Tabla578[[#This Row],[Valor galon]]*Tabla578[[#This Row],[Horas mes]])</f>
        <v/>
      </c>
      <c r="DM53" s="168" t="str">
        <f>IF(Tabla578[[#This Row],[Valor mensual + Combustible]]="","",Tabla578[[#This Row],[Valor mensual + Combustible]]*Tabla578[[#This Row],[Cantidad]])</f>
        <v/>
      </c>
      <c r="DP53" s="9"/>
      <c r="DQ53" s="10"/>
      <c r="DR53" s="165" t="str">
        <f>IF(Tabla581[[#This Row],[Equipo ]]="","",INDEX(V_MENSUAL,MATCH(Tabla581[[#This Row],[Equipo ]],LISTA_MAQUINARIA,0)))</f>
        <v/>
      </c>
      <c r="DS53" s="12" t="str">
        <f>IF(Tabla581[[#This Row],[Equipo ]]="","",INDEX(CONSUMO_COMBUSTIBLE_H,MATCH(Tabla581[[#This Row],[Equipo ]],LISTA_MAQUINARIA,0)))</f>
        <v/>
      </c>
      <c r="DT53" s="166" t="str">
        <f>IF(Tabla581[[#This Row],[Equipo ]]="","",INDEX(V_GALON,MATCH(Tabla581[[#This Row],[Equipo ]],LISTA_MAQUINARIA,0)))</f>
        <v/>
      </c>
      <c r="DU53" s="10"/>
      <c r="DV53" s="165" t="str">
        <f>IF(Tabla581[[#This Row],[Equipo ]]="","",Tabla581[[#This Row],[Valor mensual]]+Tabla581[[#This Row],[Combustible Hora ]]*Tabla581[[#This Row],[Valor galon]]*Tabla581[[#This Row],[Horas mes]])</f>
        <v/>
      </c>
      <c r="DW53" s="168" t="str">
        <f>IF(Tabla581[[#This Row],[Valor mensual + Combustible]]="","",Tabla581[[#This Row],[Valor mensual + Combustible]]*Tabla581[[#This Row],[Cantidad]])</f>
        <v/>
      </c>
      <c r="DZ53" s="9"/>
      <c r="EA53" s="10"/>
      <c r="EB53" s="165" t="str">
        <f>IF(Tabla584[[#This Row],[Equipo ]]="","",INDEX(V_MENSUAL,MATCH(Tabla584[[#This Row],[Equipo ]],LISTA_MAQUINARIA,0)))</f>
        <v/>
      </c>
      <c r="EC53" s="12" t="str">
        <f>IF(Tabla584[[#This Row],[Equipo ]]="","",INDEX(CONSUMO_COMBUSTIBLE_H,MATCH(Tabla584[[#This Row],[Equipo ]],LISTA_MAQUINARIA,0)))</f>
        <v/>
      </c>
      <c r="ED53" s="166" t="str">
        <f>IF(Tabla584[[#This Row],[Equipo ]]="","",INDEX(V_GALON,MATCH(Tabla584[[#This Row],[Equipo ]],LISTA_MAQUINARIA,0)))</f>
        <v/>
      </c>
      <c r="EE53" s="10"/>
      <c r="EF53" s="165" t="str">
        <f>IF(Tabla584[[#This Row],[Equipo ]]="","",Tabla584[[#This Row],[Valor mensual]]+Tabla584[[#This Row],[Combustible Hora ]]*Tabla584[[#This Row],[Valor galon]]*Tabla584[[#This Row],[Horas mes]])</f>
        <v/>
      </c>
      <c r="EG53" s="168" t="str">
        <f>IF(Tabla584[[#This Row],[Valor mensual + Combustible]]="","",Tabla584[[#This Row],[Valor mensual + Combustible]]*Tabla584[[#This Row],[Cantidad]])</f>
        <v/>
      </c>
      <c r="EJ53" s="9"/>
      <c r="EK53" s="10"/>
      <c r="EL53" s="165" t="str">
        <f>IF(Tabla587[[#This Row],[Equipo ]]="","",INDEX(V_MENSUAL,MATCH(Tabla587[[#This Row],[Equipo ]],LISTA_MAQUINARIA,0)))</f>
        <v/>
      </c>
      <c r="EM53" s="12" t="str">
        <f>IF(Tabla587[[#This Row],[Equipo ]]="","",INDEX(CONSUMO_COMBUSTIBLE_H,MATCH(Tabla587[[#This Row],[Equipo ]],LISTA_MAQUINARIA,0)))</f>
        <v/>
      </c>
      <c r="EN53" s="166" t="str">
        <f>IF(Tabla587[[#This Row],[Equipo ]]="","",INDEX(V_GALON,MATCH(Tabla587[[#This Row],[Equipo ]],LISTA_MAQUINARIA,0)))</f>
        <v/>
      </c>
      <c r="EO53" s="10"/>
      <c r="EP53" s="165" t="str">
        <f>IF(Tabla587[[#This Row],[Equipo ]]="","",Tabla587[[#This Row],[Valor mensual]]+Tabla587[[#This Row],[Combustible Hora ]]*Tabla587[[#This Row],[Valor galon]]*Tabla587[[#This Row],[Horas mes]])</f>
        <v/>
      </c>
      <c r="EQ53" s="168" t="str">
        <f>IF(Tabla587[[#This Row],[Valor mensual + Combustible]]="","",Tabla587[[#This Row],[Valor mensual + Combustible]]*Tabla587[[#This Row],[Cantidad]])</f>
        <v/>
      </c>
      <c r="ET53" s="9"/>
      <c r="EU53" s="10"/>
      <c r="EV53" s="165" t="str">
        <f>IF(Tabla590[[#This Row],[Equipo ]]="","",INDEX(V_MENSUAL,MATCH(Tabla590[[#This Row],[Equipo ]],LISTA_MAQUINARIA,0)))</f>
        <v/>
      </c>
      <c r="EW53" s="12" t="str">
        <f>IF(Tabla590[[#This Row],[Equipo ]]="","",INDEX(CONSUMO_COMBUSTIBLE_H,MATCH(Tabla590[[#This Row],[Equipo ]],LISTA_MAQUINARIA,0)))</f>
        <v/>
      </c>
      <c r="EX53" s="166" t="str">
        <f>IF(Tabla590[[#This Row],[Equipo ]]="","",INDEX(V_GALON,MATCH(Tabla590[[#This Row],[Equipo ]],LISTA_MAQUINARIA,0)))</f>
        <v/>
      </c>
      <c r="EY53" s="10"/>
      <c r="EZ53" s="165" t="str">
        <f>IF(Tabla590[[#This Row],[Equipo ]]="","",Tabla590[[#This Row],[Valor mensual]]+Tabla590[[#This Row],[Combustible Hora ]]*Tabla590[[#This Row],[Valor galon]]*Tabla590[[#This Row],[Horas mes]])</f>
        <v/>
      </c>
      <c r="FA53" s="168" t="str">
        <f>IF(Tabla590[[#This Row],[Valor mensual + Combustible]]="","",Tabla590[[#This Row],[Valor mensual + Combustible]]*Tabla590[[#This Row],[Cantidad]])</f>
        <v/>
      </c>
      <c r="FD53" s="9"/>
      <c r="FE53" s="10"/>
      <c r="FF53" s="165" t="str">
        <f>IF(Tabla593[[#This Row],[Equipo ]]="","",INDEX(V_MENSUAL,MATCH(Tabla593[[#This Row],[Equipo ]],LISTA_MAQUINARIA,0)))</f>
        <v/>
      </c>
      <c r="FG53" s="12" t="str">
        <f>IF(Tabla593[[#This Row],[Equipo ]]="","",INDEX(CONSUMO_COMBUSTIBLE_H,MATCH(Tabla593[[#This Row],[Equipo ]],LISTA_MAQUINARIA,0)))</f>
        <v/>
      </c>
      <c r="FH53" s="166" t="str">
        <f>IF(Tabla593[[#This Row],[Equipo ]]="","",INDEX(V_GALON,MATCH(Tabla593[[#This Row],[Equipo ]],LISTA_MAQUINARIA,0)))</f>
        <v/>
      </c>
      <c r="FI53" s="10"/>
      <c r="FJ53" s="165" t="str">
        <f>IF(Tabla593[[#This Row],[Equipo ]]="","",Tabla593[[#This Row],[Valor mensual]]+Tabla593[[#This Row],[Combustible Hora ]]*Tabla593[[#This Row],[Valor galon]]*Tabla593[[#This Row],[Horas mes]])</f>
        <v/>
      </c>
      <c r="FK53" s="168" t="str">
        <f>IF(Tabla593[[#This Row],[Valor mensual + Combustible]]="","",Tabla593[[#This Row],[Valor mensual + Combustible]]*Tabla593[[#This Row],[Cantidad]])</f>
        <v/>
      </c>
      <c r="FN53" s="9"/>
      <c r="FO53" s="10"/>
      <c r="FP53" s="165" t="str">
        <f>IF(Tabla596[[#This Row],[Equipo ]]="","",INDEX(V_MENSUAL,MATCH(Tabla596[[#This Row],[Equipo ]],LISTA_MAQUINARIA,0)))</f>
        <v/>
      </c>
      <c r="FQ53" s="12" t="str">
        <f>IF(Tabla596[[#This Row],[Equipo ]]="","",INDEX(CONSUMO_COMBUSTIBLE_H,MATCH(Tabla596[[#This Row],[Equipo ]],LISTA_MAQUINARIA,0)))</f>
        <v/>
      </c>
      <c r="FR53" s="166" t="str">
        <f>IF(Tabla596[[#This Row],[Equipo ]]="","",INDEX(V_GALON,MATCH(Tabla596[[#This Row],[Equipo ]],LISTA_MAQUINARIA,0)))</f>
        <v/>
      </c>
      <c r="FS53" s="10"/>
      <c r="FT53" s="165" t="str">
        <f>IF(Tabla596[[#This Row],[Equipo ]]="","",Tabla596[[#This Row],[Valor mensual]]+Tabla596[[#This Row],[Combustible Hora ]]*Tabla596[[#This Row],[Valor galon]]*Tabla596[[#This Row],[Horas mes]])</f>
        <v/>
      </c>
      <c r="FU53" s="168" t="str">
        <f>IF(Tabla596[[#This Row],[Valor mensual + Combustible]]="","",Tabla596[[#This Row],[Valor mensual + Combustible]]*Tabla596[[#This Row],[Cantidad]])</f>
        <v/>
      </c>
    </row>
    <row r="54" spans="1:177" x14ac:dyDescent="0.3">
      <c r="A54" s="9" t="s">
        <v>509</v>
      </c>
      <c r="B54" s="10">
        <v>1</v>
      </c>
      <c r="C54" s="165">
        <f>IF(Tabla5[[#This Row],[Equipo ]]="","",INDEX(V_MENSUAL,MATCH(Tabla5[[#This Row],[Equipo ]],LISTA_MAQUINARIA,0)))</f>
        <v>1000000</v>
      </c>
      <c r="D54" s="12">
        <f>IF(Tabla5[[#This Row],[Equipo ]]="","",INDEX(CONSUMO_COMBUSTIBLE_H,MATCH(Tabla5[[#This Row],[Equipo ]],LISTA_MAQUINARIA,0)))</f>
        <v>0</v>
      </c>
      <c r="E54" s="166">
        <f>IF(Tabla5[[#This Row],[Equipo ]]="","",INDEX(V_GALON,MATCH(Tabla5[[#This Row],[Equipo ]],LISTA_MAQUINARIA,0)))</f>
        <v>10800</v>
      </c>
      <c r="F54" s="10"/>
      <c r="G54" s="165">
        <f>IF(Tabla5[[#This Row],[Equipo ]]="","",Tabla5[[#This Row],[Valor mensual]]+Tabla5[[#This Row],[Combustible Hora ]]*Tabla5[[#This Row],[Valor galon]]*Tabla5[[#This Row],[Horas mes]])</f>
        <v>1000000</v>
      </c>
      <c r="H54" s="168">
        <f>IF(Tabla5[[#This Row],[Valor mensual + Combustible]]="","",Tabla5[[#This Row],[Valor mensual + Combustible]]*Tabla5[[#This Row],[Cantidad]])</f>
        <v>1000000</v>
      </c>
      <c r="K54" s="9"/>
      <c r="L54" s="10"/>
      <c r="M54" s="165"/>
      <c r="N54" s="12" t="str">
        <f>IF(Tabla548[[#This Row],[Equipo ]]="","",INDEX(CONSUMO_COMBUSTIBLE_H,MATCH(Tabla548[[#This Row],[Equipo ]],LISTA_MAQUINARIA,0)))</f>
        <v/>
      </c>
      <c r="O54" s="166" t="str">
        <f>IF(Tabla548[[#This Row],[Equipo ]]="","",INDEX(V_GALON,MATCH(Tabla548[[#This Row],[Equipo ]],LISTA_MAQUINARIA,0)))</f>
        <v/>
      </c>
      <c r="P54" s="10"/>
      <c r="Q54" s="165" t="str">
        <f>IF(Tabla548[[#This Row],[Equipo ]]="","",Tabla548[[#This Row],[Valor mensual]]+Tabla548[[#This Row],[Combustible Hora ]]*Tabla548[[#This Row],[Valor galon]]*Tabla548[[#This Row],[Horas mes]])</f>
        <v/>
      </c>
      <c r="R54" s="168" t="str">
        <f>IF(Tabla548[[#This Row],[Valor mensual + Combustible]]="","",Tabla548[[#This Row],[Valor mensual + Combustible]]*Tabla548[[#This Row],[Cantidad]])</f>
        <v/>
      </c>
      <c r="U54" s="9"/>
      <c r="V54" s="10"/>
      <c r="W54" s="165" t="str">
        <f>IF(Tabla551[[#This Row],[Equipo ]]="","",INDEX(V_MENSUAL,MATCH(Tabla551[[#This Row],[Equipo ]],LISTA_MAQUINARIA,0)))</f>
        <v/>
      </c>
      <c r="X54" s="12" t="str">
        <f>IF(Tabla551[[#This Row],[Equipo ]]="","",INDEX(CONSUMO_COMBUSTIBLE_H,MATCH(Tabla551[[#This Row],[Equipo ]],LISTA_MAQUINARIA,0)))</f>
        <v/>
      </c>
      <c r="Y54" s="166" t="str">
        <f>IF(Tabla551[[#This Row],[Equipo ]]="","",INDEX(V_GALON,MATCH(Tabla551[[#This Row],[Equipo ]],LISTA_MAQUINARIA,0)))</f>
        <v/>
      </c>
      <c r="Z54" s="10"/>
      <c r="AA54" s="165" t="str">
        <f>IF(Tabla551[[#This Row],[Equipo ]]="","",Tabla551[[#This Row],[Valor mensual]]+Tabla551[[#This Row],[Combustible Hora ]]*Tabla551[[#This Row],[Valor galon]]*Tabla551[[#This Row],[Horas mes]])</f>
        <v/>
      </c>
      <c r="AB54" s="168" t="str">
        <f>IF(Tabla551[[#This Row],[Valor mensual + Combustible]]="","",Tabla551[[#This Row],[Valor mensual + Combustible]]*Tabla551[[#This Row],[Cantidad]])</f>
        <v/>
      </c>
      <c r="AD54" s="9"/>
      <c r="AE54" s="10"/>
      <c r="AF54" s="165" t="str">
        <f>IF(Tabla554[[#This Row],[Equipo ]]="","",INDEX(V_MENSUAL,MATCH(Tabla554[[#This Row],[Equipo ]],LISTA_MAQUINARIA,0)))</f>
        <v/>
      </c>
      <c r="AG54" s="12" t="str">
        <f>IF(Tabla554[[#This Row],[Equipo ]]="","",INDEX(CONSUMO_COMBUSTIBLE_H,MATCH(Tabla554[[#This Row],[Equipo ]],LISTA_MAQUINARIA,0)))</f>
        <v/>
      </c>
      <c r="AH54" s="166" t="str">
        <f>IF(Tabla554[[#This Row],[Equipo ]]="","",INDEX(V_GALON,MATCH(Tabla554[[#This Row],[Equipo ]],LISTA_MAQUINARIA,0)))</f>
        <v/>
      </c>
      <c r="AI54" s="10"/>
      <c r="AJ54" s="165" t="str">
        <f>IF(Tabla554[[#This Row],[Equipo ]]="","",Tabla554[[#This Row],[Valor mensual]]+Tabla554[[#This Row],[Combustible Hora ]]*Tabla554[[#This Row],[Valor galon]]*Tabla554[[#This Row],[Horas mes]])</f>
        <v/>
      </c>
      <c r="AK54" s="168" t="str">
        <f>IF(Tabla554[[#This Row],[Valor mensual + Combustible]]="","",Tabla554[[#This Row],[Valor mensual + Combustible]]*Tabla554[[#This Row],[Cantidad]])</f>
        <v/>
      </c>
      <c r="AN54" s="9"/>
      <c r="AO54" s="10"/>
      <c r="AP54" s="165"/>
      <c r="AQ54" s="12"/>
      <c r="AR54" s="166"/>
      <c r="AS54" s="10"/>
      <c r="AT54" s="165"/>
      <c r="AU54" s="168"/>
      <c r="AX54" s="9"/>
      <c r="AY54" s="10"/>
      <c r="AZ54" s="165"/>
      <c r="BA54" s="12"/>
      <c r="BB54" s="166"/>
      <c r="BC54" s="10"/>
      <c r="BD54" s="165"/>
      <c r="BE54" s="168"/>
      <c r="BH54" s="9"/>
      <c r="BI54" s="10"/>
      <c r="BJ54" s="165"/>
      <c r="BK54" s="12"/>
      <c r="BL54" s="166"/>
      <c r="BM54" s="10"/>
      <c r="BN54" s="165"/>
      <c r="BO54" s="168"/>
      <c r="BR54" s="9"/>
      <c r="BS54" s="10"/>
      <c r="BT54" s="165"/>
      <c r="BU54" s="12"/>
      <c r="BV54" s="166"/>
      <c r="BW54" s="10"/>
      <c r="BX54" s="165"/>
      <c r="BY54" s="168"/>
      <c r="CB54" s="9"/>
      <c r="CC54" s="10"/>
      <c r="CD54" s="165"/>
      <c r="CE54" s="12"/>
      <c r="CF54" s="166"/>
      <c r="CG54" s="10"/>
      <c r="CH54" s="165"/>
      <c r="CI54" s="168"/>
      <c r="CL54" s="9"/>
      <c r="CM54" s="10"/>
      <c r="CN54" s="165"/>
      <c r="CO54" s="12"/>
      <c r="CP54" s="166"/>
      <c r="CQ54" s="10"/>
      <c r="CR54" s="165"/>
      <c r="CS54" s="168"/>
      <c r="CV54" s="9"/>
      <c r="CW54" s="10"/>
      <c r="CX54" s="165"/>
      <c r="CY54" s="12"/>
      <c r="CZ54" s="166"/>
      <c r="DA54" s="10"/>
      <c r="DB54" s="165"/>
      <c r="DC54" s="168"/>
      <c r="DF54" s="9"/>
      <c r="DG54" s="10"/>
      <c r="DH54" s="165"/>
      <c r="DI54" s="12"/>
      <c r="DJ54" s="166"/>
      <c r="DK54" s="10"/>
      <c r="DL54" s="165"/>
      <c r="DM54" s="168"/>
      <c r="DP54" s="9"/>
      <c r="DQ54" s="10"/>
      <c r="DR54" s="165"/>
      <c r="DS54" s="12"/>
      <c r="DT54" s="166"/>
      <c r="DU54" s="10"/>
      <c r="DV54" s="165"/>
      <c r="DW54" s="168"/>
      <c r="DZ54" s="9"/>
      <c r="EA54" s="10"/>
      <c r="EB54" s="165"/>
      <c r="EC54" s="12"/>
      <c r="ED54" s="166"/>
      <c r="EE54" s="10"/>
      <c r="EF54" s="165"/>
      <c r="EG54" s="168"/>
      <c r="EJ54" s="9"/>
      <c r="EK54" s="10"/>
      <c r="EL54" s="165"/>
      <c r="EM54" s="12"/>
      <c r="EN54" s="166"/>
      <c r="EO54" s="10"/>
      <c r="EP54" s="165"/>
      <c r="EQ54" s="168"/>
      <c r="ET54" s="9"/>
      <c r="EU54" s="10"/>
      <c r="EV54" s="165"/>
      <c r="EW54" s="12"/>
      <c r="EX54" s="166"/>
      <c r="EY54" s="10"/>
      <c r="EZ54" s="165"/>
      <c r="FA54" s="168"/>
      <c r="FD54" s="9"/>
      <c r="FE54" s="10"/>
      <c r="FF54" s="165"/>
      <c r="FG54" s="12"/>
      <c r="FH54" s="166"/>
      <c r="FI54" s="10"/>
      <c r="FJ54" s="165"/>
      <c r="FK54" s="168"/>
      <c r="FN54" s="9"/>
      <c r="FO54" s="10"/>
      <c r="FP54" s="165"/>
      <c r="FQ54" s="12"/>
      <c r="FR54" s="166"/>
      <c r="FS54" s="10"/>
      <c r="FT54" s="165"/>
      <c r="FU54" s="168"/>
    </row>
    <row r="55" spans="1:177" x14ac:dyDescent="0.3">
      <c r="A55" s="9" t="s">
        <v>510</v>
      </c>
      <c r="B55" s="10">
        <v>1</v>
      </c>
      <c r="C55" s="165">
        <f>IF(Tabla5[[#This Row],[Equipo ]]="","",INDEX(V_MENSUAL,MATCH(Tabla5[[#This Row],[Equipo ]],LISTA_MAQUINARIA,0)))</f>
        <v>1800000</v>
      </c>
      <c r="D55" s="12">
        <f>IF(Tabla5[[#This Row],[Equipo ]]="","",INDEX(CONSUMO_COMBUSTIBLE_H,MATCH(Tabla5[[#This Row],[Equipo ]],LISTA_MAQUINARIA,0)))</f>
        <v>0</v>
      </c>
      <c r="E55" s="166">
        <f>IF(Tabla5[[#This Row],[Equipo ]]="","",INDEX(V_GALON,MATCH(Tabla5[[#This Row],[Equipo ]],LISTA_MAQUINARIA,0)))</f>
        <v>10800</v>
      </c>
      <c r="F55" s="10"/>
      <c r="G55" s="165">
        <f>IF(Tabla5[[#This Row],[Equipo ]]="","",Tabla5[[#This Row],[Valor mensual]]+Tabla5[[#This Row],[Combustible Hora ]]*Tabla5[[#This Row],[Valor galon]]*Tabla5[[#This Row],[Horas mes]])</f>
        <v>1800000</v>
      </c>
      <c r="H55" s="168">
        <f>IF(Tabla5[[#This Row],[Valor mensual + Combustible]]="","",Tabla5[[#This Row],[Valor mensual + Combustible]]*Tabla5[[#This Row],[Cantidad]])</f>
        <v>1800000</v>
      </c>
      <c r="K55" s="9"/>
      <c r="L55" s="10"/>
      <c r="M55" s="165" t="str" cm="1">
        <f t="array" ref="M55">IF(Tabla548[[#This Row],[Equipo ]]="","",INDEX(V_MENSUAL,MATCH(Tabla548[[#This Row],[Equipo ]],LISTA_MAQUINARIA,0)))</f>
        <v/>
      </c>
      <c r="N55" s="12" t="str">
        <f>IF(Tabla548[[#This Row],[Equipo ]]="","",INDEX(CONSUMO_COMBUSTIBLE_H,MATCH(Tabla548[[#This Row],[Equipo ]],LISTA_MAQUINARIA,0)))</f>
        <v/>
      </c>
      <c r="O55" s="166" t="str">
        <f>IF(Tabla548[[#This Row],[Equipo ]]="","",INDEX(V_GALON,MATCH(Tabla548[[#This Row],[Equipo ]],LISTA_MAQUINARIA,0)))</f>
        <v/>
      </c>
      <c r="P55" s="10">
        <v>88</v>
      </c>
      <c r="Q55" s="165" t="str">
        <f>IF(Tabla548[[#This Row],[Equipo ]]="","",Tabla548[[#This Row],[Valor mensual]]+Tabla548[[#This Row],[Combustible Hora ]]*Tabla548[[#This Row],[Valor galon]]*Tabla548[[#This Row],[Horas mes]])</f>
        <v/>
      </c>
      <c r="R55" s="168" t="str">
        <f>IF(Tabla548[[#This Row],[Valor mensual + Combustible]]="","",Tabla548[[#This Row],[Valor mensual + Combustible]]*Tabla548[[#This Row],[Cantidad]])</f>
        <v/>
      </c>
      <c r="U55" s="9"/>
      <c r="V55" s="10"/>
      <c r="W55" s="165" t="str">
        <f>IF(Tabla551[[#This Row],[Equipo ]]="","",INDEX(V_MENSUAL,MATCH(Tabla551[[#This Row],[Equipo ]],LISTA_MAQUINARIA,0)))</f>
        <v/>
      </c>
      <c r="X55" s="12" t="str">
        <f>IF(Tabla551[[#This Row],[Equipo ]]="","",INDEX(CONSUMO_COMBUSTIBLE_H,MATCH(Tabla551[[#This Row],[Equipo ]],LISTA_MAQUINARIA,0)))</f>
        <v/>
      </c>
      <c r="Y55" s="166" t="str">
        <f>IF(Tabla551[[#This Row],[Equipo ]]="","",INDEX(V_GALON,MATCH(Tabla551[[#This Row],[Equipo ]],LISTA_MAQUINARIA,0)))</f>
        <v/>
      </c>
      <c r="Z55" s="10"/>
      <c r="AA55" s="165" t="str">
        <f>IF(Tabla551[[#This Row],[Equipo ]]="","",Tabla551[[#This Row],[Valor mensual]]+Tabla551[[#This Row],[Combustible Hora ]]*Tabla551[[#This Row],[Valor galon]]*Tabla551[[#This Row],[Horas mes]])</f>
        <v/>
      </c>
      <c r="AB55" s="168" t="str">
        <f>IF(Tabla551[[#This Row],[Valor mensual + Combustible]]="","",Tabla551[[#This Row],[Valor mensual + Combustible]]*Tabla551[[#This Row],[Cantidad]])</f>
        <v/>
      </c>
      <c r="AD55" s="9"/>
      <c r="AE55" s="10"/>
      <c r="AF55" s="165" t="str">
        <f>IF(Tabla554[[#This Row],[Equipo ]]="","",INDEX(V_MENSUAL,MATCH(Tabla554[[#This Row],[Equipo ]],LISTA_MAQUINARIA,0)))</f>
        <v/>
      </c>
      <c r="AG55" s="12" t="str">
        <f>IF(Tabla554[[#This Row],[Equipo ]]="","",INDEX(CONSUMO_COMBUSTIBLE_H,MATCH(Tabla554[[#This Row],[Equipo ]],LISTA_MAQUINARIA,0)))</f>
        <v/>
      </c>
      <c r="AH55" s="166" t="str">
        <f>IF(Tabla554[[#This Row],[Equipo ]]="","",INDEX(V_GALON,MATCH(Tabla554[[#This Row],[Equipo ]],LISTA_MAQUINARIA,0)))</f>
        <v/>
      </c>
      <c r="AI55" s="10"/>
      <c r="AJ55" s="165" t="str">
        <f>IF(Tabla554[[#This Row],[Equipo ]]="","",Tabla554[[#This Row],[Valor mensual]]+Tabla554[[#This Row],[Combustible Hora ]]*Tabla554[[#This Row],[Valor galon]]*Tabla554[[#This Row],[Horas mes]])</f>
        <v/>
      </c>
      <c r="AK55" s="168" t="str">
        <f>IF(Tabla554[[#This Row],[Valor mensual + Combustible]]="","",Tabla554[[#This Row],[Valor mensual + Combustible]]*Tabla554[[#This Row],[Cantidad]])</f>
        <v/>
      </c>
      <c r="AN55" s="9"/>
      <c r="AO55" s="10"/>
      <c r="AP55" s="165"/>
      <c r="AQ55" s="12"/>
      <c r="AR55" s="166"/>
      <c r="AS55" s="10"/>
      <c r="AT55" s="165"/>
      <c r="AU55" s="168"/>
      <c r="AX55" s="9"/>
      <c r="AY55" s="10"/>
      <c r="AZ55" s="165"/>
      <c r="BA55" s="12"/>
      <c r="BB55" s="166"/>
      <c r="BC55" s="10"/>
      <c r="BD55" s="165"/>
      <c r="BE55" s="168"/>
      <c r="BH55" s="9"/>
      <c r="BI55" s="10"/>
      <c r="BJ55" s="165"/>
      <c r="BK55" s="12"/>
      <c r="BL55" s="166"/>
      <c r="BM55" s="10"/>
      <c r="BN55" s="165"/>
      <c r="BO55" s="168"/>
      <c r="BR55" s="9"/>
      <c r="BS55" s="10"/>
      <c r="BT55" s="165"/>
      <c r="BU55" s="12"/>
      <c r="BV55" s="166"/>
      <c r="BW55" s="10"/>
      <c r="BX55" s="165"/>
      <c r="BY55" s="168"/>
      <c r="CB55" s="9"/>
      <c r="CC55" s="10"/>
      <c r="CD55" s="165"/>
      <c r="CE55" s="12"/>
      <c r="CF55" s="166"/>
      <c r="CG55" s="10"/>
      <c r="CH55" s="165"/>
      <c r="CI55" s="168"/>
      <c r="CL55" s="9"/>
      <c r="CM55" s="10"/>
      <c r="CN55" s="165"/>
      <c r="CO55" s="12"/>
      <c r="CP55" s="166"/>
      <c r="CQ55" s="10"/>
      <c r="CR55" s="165"/>
      <c r="CS55" s="168"/>
      <c r="CV55" s="9"/>
      <c r="CW55" s="10"/>
      <c r="CX55" s="165"/>
      <c r="CY55" s="12"/>
      <c r="CZ55" s="166"/>
      <c r="DA55" s="10"/>
      <c r="DB55" s="165"/>
      <c r="DC55" s="168"/>
      <c r="DF55" s="9"/>
      <c r="DG55" s="10"/>
      <c r="DH55" s="165"/>
      <c r="DI55" s="12"/>
      <c r="DJ55" s="166"/>
      <c r="DK55" s="10"/>
      <c r="DL55" s="165"/>
      <c r="DM55" s="168"/>
      <c r="DP55" s="9"/>
      <c r="DQ55" s="10"/>
      <c r="DR55" s="165"/>
      <c r="DS55" s="12"/>
      <c r="DT55" s="166"/>
      <c r="DU55" s="10"/>
      <c r="DV55" s="165"/>
      <c r="DW55" s="168"/>
      <c r="DZ55" s="9"/>
      <c r="EA55" s="10"/>
      <c r="EB55" s="165"/>
      <c r="EC55" s="12"/>
      <c r="ED55" s="166"/>
      <c r="EE55" s="10"/>
      <c r="EF55" s="165"/>
      <c r="EG55" s="168"/>
      <c r="EJ55" s="9"/>
      <c r="EK55" s="10"/>
      <c r="EL55" s="165"/>
      <c r="EM55" s="12"/>
      <c r="EN55" s="166"/>
      <c r="EO55" s="10"/>
      <c r="EP55" s="165"/>
      <c r="EQ55" s="168"/>
      <c r="ET55" s="9"/>
      <c r="EU55" s="10"/>
      <c r="EV55" s="165"/>
      <c r="EW55" s="12"/>
      <c r="EX55" s="166"/>
      <c r="EY55" s="10"/>
      <c r="EZ55" s="165"/>
      <c r="FA55" s="168"/>
      <c r="FD55" s="9"/>
      <c r="FE55" s="10"/>
      <c r="FF55" s="165"/>
      <c r="FG55" s="12"/>
      <c r="FH55" s="166"/>
      <c r="FI55" s="10"/>
      <c r="FJ55" s="165"/>
      <c r="FK55" s="168"/>
      <c r="FN55" s="9"/>
      <c r="FO55" s="10"/>
      <c r="FP55" s="165"/>
      <c r="FQ55" s="12"/>
      <c r="FR55" s="166"/>
      <c r="FS55" s="10"/>
      <c r="FT55" s="165"/>
      <c r="FU55" s="168"/>
    </row>
    <row r="56" spans="1:177" x14ac:dyDescent="0.3">
      <c r="A56" s="9" t="s">
        <v>513</v>
      </c>
      <c r="B56" s="10">
        <v>1</v>
      </c>
      <c r="C56" s="165">
        <f>IF(Tabla5[[#This Row],[Equipo ]]="","",INDEX(V_MENSUAL,MATCH(Tabla5[[#This Row],[Equipo ]],LISTA_MAQUINARIA,0)))</f>
        <v>7000000</v>
      </c>
      <c r="D56" s="12">
        <f>IF(Tabla5[[#This Row],[Equipo ]]="","",INDEX(CONSUMO_COMBUSTIBLE_H,MATCH(Tabla5[[#This Row],[Equipo ]],LISTA_MAQUINARIA,0)))</f>
        <v>2</v>
      </c>
      <c r="E56" s="166">
        <f>IF(Tabla5[[#This Row],[Equipo ]]="","",INDEX(V_GALON,MATCH(Tabla5[[#This Row],[Equipo ]],LISTA_MAQUINARIA,0)))</f>
        <v>10800</v>
      </c>
      <c r="F56" s="10">
        <v>88</v>
      </c>
      <c r="G56" s="165">
        <f>IF(Tabla5[[#This Row],[Equipo ]]="","",Tabla5[[#This Row],[Valor mensual]]+Tabla5[[#This Row],[Combustible Hora ]]*Tabla5[[#This Row],[Valor galon]]*Tabla5[[#This Row],[Horas mes]])</f>
        <v>8900800</v>
      </c>
      <c r="H56" s="168">
        <f>IF(Tabla5[[#This Row],[Valor mensual + Combustible]]="","",Tabla5[[#This Row],[Valor mensual + Combustible]]*Tabla5[[#This Row],[Cantidad]])</f>
        <v>8900800</v>
      </c>
      <c r="K56" s="9" t="s">
        <v>513</v>
      </c>
      <c r="L56" s="10">
        <v>1</v>
      </c>
      <c r="M56" s="165" cm="1">
        <f t="array" ref="M56">IF(Tabla548[[#This Row],[Equipo ]]="","",INDEX(V_MENSUAL,MATCH(Tabla548[[#This Row],[Equipo ]],LISTA_MAQUINARIA,0)))</f>
        <v>7000000</v>
      </c>
      <c r="N56" s="12">
        <f>IF(Tabla548[[#This Row],[Equipo ]]="","",INDEX(CONSUMO_COMBUSTIBLE_H,MATCH(Tabla548[[#This Row],[Equipo ]],LISTA_MAQUINARIA,0)))</f>
        <v>2</v>
      </c>
      <c r="O56" s="166">
        <f>IF(Tabla548[[#This Row],[Equipo ]]="","",INDEX(V_GALON,MATCH(Tabla548[[#This Row],[Equipo ]],LISTA_MAQUINARIA,0)))</f>
        <v>10800</v>
      </c>
      <c r="P56" s="10"/>
      <c r="Q56" s="165">
        <f>IF(Tabla548[[#This Row],[Equipo ]]="","",Tabla548[[#This Row],[Valor mensual]]+Tabla548[[#This Row],[Combustible Hora ]]*Tabla548[[#This Row],[Valor galon]]*Tabla548[[#This Row],[Horas mes]])</f>
        <v>7000000</v>
      </c>
      <c r="R56" s="168">
        <f>IF(Tabla548[[#This Row],[Valor mensual + Combustible]]="","",Tabla548[[#This Row],[Valor mensual + Combustible]]*Tabla548[[#This Row],[Cantidad]])</f>
        <v>7000000</v>
      </c>
      <c r="U56" s="9" t="s">
        <v>513</v>
      </c>
      <c r="V56" s="10">
        <v>1</v>
      </c>
      <c r="W56" s="165">
        <f>IF(Tabla551[[#This Row],[Equipo ]]="","",INDEX(V_MENSUAL,MATCH(Tabla551[[#This Row],[Equipo ]],LISTA_MAQUINARIA,0)))</f>
        <v>7000000</v>
      </c>
      <c r="X56" s="12">
        <f>IF(Tabla551[[#This Row],[Equipo ]]="","",INDEX(CONSUMO_COMBUSTIBLE_H,MATCH(Tabla551[[#This Row],[Equipo ]],LISTA_MAQUINARIA,0)))</f>
        <v>2</v>
      </c>
      <c r="Y56" s="166">
        <f>IF(Tabla551[[#This Row],[Equipo ]]="","",INDEX(V_GALON,MATCH(Tabla551[[#This Row],[Equipo ]],LISTA_MAQUINARIA,0)))</f>
        <v>10800</v>
      </c>
      <c r="Z56" s="10"/>
      <c r="AA56" s="165">
        <f>IF(Tabla551[[#This Row],[Equipo ]]="","",Tabla551[[#This Row],[Valor mensual]]+Tabla551[[#This Row],[Combustible Hora ]]*Tabla551[[#This Row],[Valor galon]]*Tabla551[[#This Row],[Horas mes]])</f>
        <v>7000000</v>
      </c>
      <c r="AB56" s="168">
        <f>IF(Tabla551[[#This Row],[Valor mensual + Combustible]]="","",Tabla551[[#This Row],[Valor mensual + Combustible]]*Tabla551[[#This Row],[Cantidad]])</f>
        <v>7000000</v>
      </c>
      <c r="AD56" s="9"/>
      <c r="AE56" s="10"/>
      <c r="AF56" s="165" t="str">
        <f>IF(Tabla554[[#This Row],[Equipo ]]="","",INDEX(V_MENSUAL,MATCH(Tabla554[[#This Row],[Equipo ]],LISTA_MAQUINARIA,0)))</f>
        <v/>
      </c>
      <c r="AG56" s="12" t="str">
        <f>IF(Tabla554[[#This Row],[Equipo ]]="","",INDEX(CONSUMO_COMBUSTIBLE_H,MATCH(Tabla554[[#This Row],[Equipo ]],LISTA_MAQUINARIA,0)))</f>
        <v/>
      </c>
      <c r="AH56" s="166" t="str">
        <f>IF(Tabla554[[#This Row],[Equipo ]]="","",INDEX(V_GALON,MATCH(Tabla554[[#This Row],[Equipo ]],LISTA_MAQUINARIA,0)))</f>
        <v/>
      </c>
      <c r="AI56" s="10"/>
      <c r="AJ56" s="165" t="str">
        <f>IF(Tabla554[[#This Row],[Equipo ]]="","",Tabla554[[#This Row],[Valor mensual]]+Tabla554[[#This Row],[Combustible Hora ]]*Tabla554[[#This Row],[Valor galon]]*Tabla554[[#This Row],[Horas mes]])</f>
        <v/>
      </c>
      <c r="AK56" s="168" t="str">
        <f>IF(Tabla554[[#This Row],[Valor mensual + Combustible]]="","",Tabla554[[#This Row],[Valor mensual + Combustible]]*Tabla554[[#This Row],[Cantidad]])</f>
        <v/>
      </c>
      <c r="AN56" s="9"/>
      <c r="AO56" s="10"/>
      <c r="AP56" s="165"/>
      <c r="AQ56" s="12"/>
      <c r="AR56" s="166"/>
      <c r="AS56" s="10"/>
      <c r="AT56" s="165"/>
      <c r="AU56" s="168"/>
      <c r="AX56" s="9"/>
      <c r="AY56" s="10"/>
      <c r="AZ56" s="165"/>
      <c r="BA56" s="12"/>
      <c r="BB56" s="166"/>
      <c r="BC56" s="10"/>
      <c r="BD56" s="165"/>
      <c r="BE56" s="168"/>
      <c r="BH56" s="9"/>
      <c r="BI56" s="10"/>
      <c r="BJ56" s="165"/>
      <c r="BK56" s="12"/>
      <c r="BL56" s="166"/>
      <c r="BM56" s="10"/>
      <c r="BN56" s="165"/>
      <c r="BO56" s="168"/>
      <c r="BR56" s="9"/>
      <c r="BS56" s="10"/>
      <c r="BT56" s="165"/>
      <c r="BU56" s="12"/>
      <c r="BV56" s="166"/>
      <c r="BW56" s="10"/>
      <c r="BX56" s="165"/>
      <c r="BY56" s="168"/>
      <c r="CB56" s="9"/>
      <c r="CC56" s="10"/>
      <c r="CD56" s="165"/>
      <c r="CE56" s="12"/>
      <c r="CF56" s="166"/>
      <c r="CG56" s="10"/>
      <c r="CH56" s="165"/>
      <c r="CI56" s="168"/>
      <c r="CL56" s="9"/>
      <c r="CM56" s="10"/>
      <c r="CN56" s="165"/>
      <c r="CO56" s="12"/>
      <c r="CP56" s="166"/>
      <c r="CQ56" s="10"/>
      <c r="CR56" s="165"/>
      <c r="CS56" s="168"/>
      <c r="CV56" s="9"/>
      <c r="CW56" s="10"/>
      <c r="CX56" s="165"/>
      <c r="CY56" s="12"/>
      <c r="CZ56" s="166"/>
      <c r="DA56" s="10"/>
      <c r="DB56" s="165"/>
      <c r="DC56" s="168"/>
      <c r="DF56" s="9"/>
      <c r="DG56" s="10"/>
      <c r="DH56" s="165"/>
      <c r="DI56" s="12"/>
      <c r="DJ56" s="166"/>
      <c r="DK56" s="10"/>
      <c r="DL56" s="165"/>
      <c r="DM56" s="168"/>
      <c r="DP56" s="9"/>
      <c r="DQ56" s="10"/>
      <c r="DR56" s="165"/>
      <c r="DS56" s="12"/>
      <c r="DT56" s="166"/>
      <c r="DU56" s="10"/>
      <c r="DV56" s="165"/>
      <c r="DW56" s="168"/>
      <c r="DZ56" s="9"/>
      <c r="EA56" s="10"/>
      <c r="EB56" s="165"/>
      <c r="EC56" s="12"/>
      <c r="ED56" s="166"/>
      <c r="EE56" s="10"/>
      <c r="EF56" s="165"/>
      <c r="EG56" s="168"/>
      <c r="EJ56" s="9"/>
      <c r="EK56" s="10"/>
      <c r="EL56" s="165"/>
      <c r="EM56" s="12"/>
      <c r="EN56" s="166"/>
      <c r="EO56" s="10"/>
      <c r="EP56" s="165"/>
      <c r="EQ56" s="168"/>
      <c r="ET56" s="9"/>
      <c r="EU56" s="10"/>
      <c r="EV56" s="165"/>
      <c r="EW56" s="12"/>
      <c r="EX56" s="166"/>
      <c r="EY56" s="10"/>
      <c r="EZ56" s="165"/>
      <c r="FA56" s="168"/>
      <c r="FD56" s="9"/>
      <c r="FE56" s="10"/>
      <c r="FF56" s="165"/>
      <c r="FG56" s="12"/>
      <c r="FH56" s="166"/>
      <c r="FI56" s="10"/>
      <c r="FJ56" s="165"/>
      <c r="FK56" s="168"/>
      <c r="FN56" s="9"/>
      <c r="FO56" s="10"/>
      <c r="FP56" s="165"/>
      <c r="FQ56" s="12"/>
      <c r="FR56" s="166"/>
      <c r="FS56" s="10"/>
      <c r="FT56" s="165"/>
      <c r="FU56" s="168"/>
    </row>
    <row r="57" spans="1:177" x14ac:dyDescent="0.3">
      <c r="A57" s="9" t="s">
        <v>520</v>
      </c>
      <c r="B57" s="10">
        <v>1</v>
      </c>
      <c r="C57" s="165">
        <f>IF(Tabla5[[#This Row],[Equipo ]]="","",INDEX(V_MENSUAL,MATCH(Tabla5[[#This Row],[Equipo ]],LISTA_MAQUINARIA,0)))</f>
        <v>1000000</v>
      </c>
      <c r="D57" s="12">
        <f>IF(Tabla5[[#This Row],[Equipo ]]="","",INDEX(CONSUMO_COMBUSTIBLE_H,MATCH(Tabla5[[#This Row],[Equipo ]],LISTA_MAQUINARIA,0)))</f>
        <v>0</v>
      </c>
      <c r="E57" s="166">
        <f>IF(Tabla5[[#This Row],[Equipo ]]="","",INDEX(V_GALON,MATCH(Tabla5[[#This Row],[Equipo ]],LISTA_MAQUINARIA,0)))</f>
        <v>10800</v>
      </c>
      <c r="F57" s="10"/>
      <c r="G57" s="165">
        <f>IF(Tabla5[[#This Row],[Equipo ]]="","",Tabla5[[#This Row],[Valor mensual]]+Tabla5[[#This Row],[Combustible Hora ]]*Tabla5[[#This Row],[Valor galon]]*Tabla5[[#This Row],[Horas mes]])</f>
        <v>1000000</v>
      </c>
      <c r="H57" s="168">
        <f>IF(Tabla5[[#This Row],[Valor mensual + Combustible]]="","",Tabla5[[#This Row],[Valor mensual + Combustible]]*Tabla5[[#This Row],[Cantidad]])</f>
        <v>1000000</v>
      </c>
      <c r="K57" s="9" t="s">
        <v>520</v>
      </c>
      <c r="L57" s="10">
        <v>1</v>
      </c>
      <c r="M57" s="165" cm="1">
        <f t="array" ref="M57">IF(Tabla548[[#This Row],[Equipo ]]="","",INDEX(V_MENSUAL,MATCH(Tabla548[[#This Row],[Equipo ]],LISTA_MAQUINARIA,0)))</f>
        <v>1000000</v>
      </c>
      <c r="N57" s="12">
        <f>IF(Tabla548[[#This Row],[Equipo ]]="","",INDEX(CONSUMO_COMBUSTIBLE_H,MATCH(Tabla548[[#This Row],[Equipo ]],LISTA_MAQUINARIA,0)))</f>
        <v>0</v>
      </c>
      <c r="O57" s="166">
        <f>IF(Tabla548[[#This Row],[Equipo ]]="","",INDEX(V_GALON,MATCH(Tabla548[[#This Row],[Equipo ]],LISTA_MAQUINARIA,0)))</f>
        <v>10800</v>
      </c>
      <c r="P57" s="10"/>
      <c r="Q57" s="165">
        <f>IF(Tabla548[[#This Row],[Equipo ]]="","",Tabla548[[#This Row],[Valor mensual]]+Tabla548[[#This Row],[Combustible Hora ]]*Tabla548[[#This Row],[Valor galon]]*Tabla548[[#This Row],[Horas mes]])</f>
        <v>1000000</v>
      </c>
      <c r="R57" s="168">
        <f>IF(Tabla548[[#This Row],[Valor mensual + Combustible]]="","",Tabla548[[#This Row],[Valor mensual + Combustible]]*Tabla548[[#This Row],[Cantidad]])</f>
        <v>1000000</v>
      </c>
      <c r="U57" s="9" t="s">
        <v>520</v>
      </c>
      <c r="V57" s="10">
        <v>1</v>
      </c>
      <c r="W57" s="165">
        <f>IF(Tabla551[[#This Row],[Equipo ]]="","",INDEX(V_MENSUAL,MATCH(Tabla551[[#This Row],[Equipo ]],LISTA_MAQUINARIA,0)))</f>
        <v>1000000</v>
      </c>
      <c r="X57" s="12">
        <f>IF(Tabla551[[#This Row],[Equipo ]]="","",INDEX(CONSUMO_COMBUSTIBLE_H,MATCH(Tabla551[[#This Row],[Equipo ]],LISTA_MAQUINARIA,0)))</f>
        <v>0</v>
      </c>
      <c r="Y57" s="166">
        <f>IF(Tabla551[[#This Row],[Equipo ]]="","",INDEX(V_GALON,MATCH(Tabla551[[#This Row],[Equipo ]],LISTA_MAQUINARIA,0)))</f>
        <v>10800</v>
      </c>
      <c r="Z57" s="10"/>
      <c r="AA57" s="165">
        <f>IF(Tabla551[[#This Row],[Equipo ]]="","",Tabla551[[#This Row],[Valor mensual]]+Tabla551[[#This Row],[Combustible Hora ]]*Tabla551[[#This Row],[Valor galon]]*Tabla551[[#This Row],[Horas mes]])</f>
        <v>1000000</v>
      </c>
      <c r="AB57" s="168">
        <f>IF(Tabla551[[#This Row],[Valor mensual + Combustible]]="","",Tabla551[[#This Row],[Valor mensual + Combustible]]*Tabla551[[#This Row],[Cantidad]])</f>
        <v>1000000</v>
      </c>
      <c r="AD57" s="9"/>
      <c r="AE57" s="10"/>
      <c r="AF57" s="165" t="str">
        <f>IF(Tabla554[[#This Row],[Equipo ]]="","",INDEX(V_MENSUAL,MATCH(Tabla554[[#This Row],[Equipo ]],LISTA_MAQUINARIA,0)))</f>
        <v/>
      </c>
      <c r="AG57" s="12" t="str">
        <f>IF(Tabla554[[#This Row],[Equipo ]]="","",INDEX(CONSUMO_COMBUSTIBLE_H,MATCH(Tabla554[[#This Row],[Equipo ]],LISTA_MAQUINARIA,0)))</f>
        <v/>
      </c>
      <c r="AH57" s="166" t="str">
        <f>IF(Tabla554[[#This Row],[Equipo ]]="","",INDEX(V_GALON,MATCH(Tabla554[[#This Row],[Equipo ]],LISTA_MAQUINARIA,0)))</f>
        <v/>
      </c>
      <c r="AI57" s="10"/>
      <c r="AJ57" s="165" t="str">
        <f>IF(Tabla554[[#This Row],[Equipo ]]="","",Tabla554[[#This Row],[Valor mensual]]+Tabla554[[#This Row],[Combustible Hora ]]*Tabla554[[#This Row],[Valor galon]]*Tabla554[[#This Row],[Horas mes]])</f>
        <v/>
      </c>
      <c r="AK57" s="168" t="str">
        <f>IF(Tabla554[[#This Row],[Valor mensual + Combustible]]="","",Tabla554[[#This Row],[Valor mensual + Combustible]]*Tabla554[[#This Row],[Cantidad]])</f>
        <v/>
      </c>
      <c r="AN57" s="9"/>
      <c r="AO57" s="10"/>
      <c r="AP57" s="165"/>
      <c r="AQ57" s="12"/>
      <c r="AR57" s="166"/>
      <c r="AS57" s="10"/>
      <c r="AT57" s="165"/>
      <c r="AU57" s="168"/>
      <c r="AX57" s="9"/>
      <c r="AY57" s="10"/>
      <c r="AZ57" s="165"/>
      <c r="BA57" s="12"/>
      <c r="BB57" s="166"/>
      <c r="BC57" s="10"/>
      <c r="BD57" s="165"/>
      <c r="BE57" s="168"/>
      <c r="BH57" s="9"/>
      <c r="BI57" s="10"/>
      <c r="BJ57" s="165"/>
      <c r="BK57" s="12"/>
      <c r="BL57" s="166"/>
      <c r="BM57" s="10"/>
      <c r="BN57" s="165"/>
      <c r="BO57" s="168"/>
      <c r="BR57" s="9"/>
      <c r="BS57" s="10"/>
      <c r="BT57" s="165"/>
      <c r="BU57" s="12"/>
      <c r="BV57" s="166"/>
      <c r="BW57" s="10"/>
      <c r="BX57" s="165"/>
      <c r="BY57" s="168"/>
      <c r="CB57" s="9"/>
      <c r="CC57" s="10"/>
      <c r="CD57" s="165"/>
      <c r="CE57" s="12"/>
      <c r="CF57" s="166"/>
      <c r="CG57" s="10"/>
      <c r="CH57" s="165"/>
      <c r="CI57" s="168"/>
      <c r="CL57" s="9"/>
      <c r="CM57" s="10"/>
      <c r="CN57" s="165"/>
      <c r="CO57" s="12"/>
      <c r="CP57" s="166"/>
      <c r="CQ57" s="10"/>
      <c r="CR57" s="165"/>
      <c r="CS57" s="168"/>
      <c r="CV57" s="9"/>
      <c r="CW57" s="10"/>
      <c r="CX57" s="165"/>
      <c r="CY57" s="12"/>
      <c r="CZ57" s="166"/>
      <c r="DA57" s="10"/>
      <c r="DB57" s="165"/>
      <c r="DC57" s="168"/>
      <c r="DF57" s="9"/>
      <c r="DG57" s="10"/>
      <c r="DH57" s="165"/>
      <c r="DI57" s="12"/>
      <c r="DJ57" s="166"/>
      <c r="DK57" s="10"/>
      <c r="DL57" s="165"/>
      <c r="DM57" s="168"/>
      <c r="DP57" s="9"/>
      <c r="DQ57" s="10"/>
      <c r="DR57" s="165"/>
      <c r="DS57" s="12"/>
      <c r="DT57" s="166"/>
      <c r="DU57" s="10"/>
      <c r="DV57" s="165"/>
      <c r="DW57" s="168"/>
      <c r="DZ57" s="9"/>
      <c r="EA57" s="10"/>
      <c r="EB57" s="165"/>
      <c r="EC57" s="12"/>
      <c r="ED57" s="166"/>
      <c r="EE57" s="10"/>
      <c r="EF57" s="165"/>
      <c r="EG57" s="168"/>
      <c r="EJ57" s="9"/>
      <c r="EK57" s="10"/>
      <c r="EL57" s="165"/>
      <c r="EM57" s="12"/>
      <c r="EN57" s="166"/>
      <c r="EO57" s="10"/>
      <c r="EP57" s="165"/>
      <c r="EQ57" s="168"/>
      <c r="ET57" s="9"/>
      <c r="EU57" s="10"/>
      <c r="EV57" s="165"/>
      <c r="EW57" s="12"/>
      <c r="EX57" s="166"/>
      <c r="EY57" s="10"/>
      <c r="EZ57" s="165"/>
      <c r="FA57" s="168"/>
      <c r="FD57" s="9"/>
      <c r="FE57" s="10"/>
      <c r="FF57" s="165"/>
      <c r="FG57" s="12"/>
      <c r="FH57" s="166"/>
      <c r="FI57" s="10"/>
      <c r="FJ57" s="165"/>
      <c r="FK57" s="168"/>
      <c r="FN57" s="9"/>
      <c r="FO57" s="10"/>
      <c r="FP57" s="165"/>
      <c r="FQ57" s="12"/>
      <c r="FR57" s="166"/>
      <c r="FS57" s="10"/>
      <c r="FT57" s="165"/>
      <c r="FU57" s="168"/>
    </row>
    <row r="58" spans="1:177" x14ac:dyDescent="0.3">
      <c r="A58" s="9" t="s">
        <v>596</v>
      </c>
      <c r="B58" s="10">
        <v>1</v>
      </c>
      <c r="C58" s="165">
        <f>IF(Tabla5[[#This Row],[Equipo ]]="","",INDEX(V_MENSUAL,MATCH(Tabla5[[#This Row],[Equipo ]],LISTA_MAQUINARIA,0)))</f>
        <v>6500000</v>
      </c>
      <c r="D58" s="12">
        <f>IF(Tabla5[[#This Row],[Equipo ]]="","",INDEX(CONSUMO_COMBUSTIBLE_H,MATCH(Tabla5[[#This Row],[Equipo ]],LISTA_MAQUINARIA,0)))</f>
        <v>2</v>
      </c>
      <c r="E58" s="166">
        <f>IF(Tabla5[[#This Row],[Equipo ]]="","",INDEX(V_GALON,MATCH(Tabla5[[#This Row],[Equipo ]],LISTA_MAQUINARIA,0)))</f>
        <v>10800</v>
      </c>
      <c r="F58" s="10">
        <v>88</v>
      </c>
      <c r="G58" s="165">
        <f>IF(Tabla5[[#This Row],[Equipo ]]="","",Tabla5[[#This Row],[Valor mensual]]+Tabla5[[#This Row],[Combustible Hora ]]*Tabla5[[#This Row],[Valor galon]]*Tabla5[[#This Row],[Horas mes]])</f>
        <v>8400800</v>
      </c>
      <c r="H58" s="168">
        <f>IF(Tabla5[[#This Row],[Valor mensual + Combustible]]="","",Tabla5[[#This Row],[Valor mensual + Combustible]]*Tabla5[[#This Row],[Cantidad]])</f>
        <v>8400800</v>
      </c>
      <c r="K58" s="9" t="s">
        <v>596</v>
      </c>
      <c r="L58" s="10">
        <v>1</v>
      </c>
      <c r="M58" s="165" cm="1">
        <f t="array" ref="M58">IF(Tabla548[[#This Row],[Equipo ]]="","",INDEX(V_MENSUAL,MATCH(Tabla548[[#This Row],[Equipo ]],LISTA_MAQUINARIA,0)))</f>
        <v>6500000</v>
      </c>
      <c r="N58" s="12">
        <f>IF(Tabla548[[#This Row],[Equipo ]]="","",INDEX(CONSUMO_COMBUSTIBLE_H,MATCH(Tabla548[[#This Row],[Equipo ]],LISTA_MAQUINARIA,0)))</f>
        <v>2</v>
      </c>
      <c r="O58" s="166">
        <f>IF(Tabla548[[#This Row],[Equipo ]]="","",INDEX(V_GALON,MATCH(Tabla548[[#This Row],[Equipo ]],LISTA_MAQUINARIA,0)))</f>
        <v>10800</v>
      </c>
      <c r="P58" s="10"/>
      <c r="Q58" s="165">
        <f>IF(Tabla548[[#This Row],[Equipo ]]="","",Tabla548[[#This Row],[Valor mensual]]+Tabla548[[#This Row],[Combustible Hora ]]*Tabla548[[#This Row],[Valor galon]]*Tabla548[[#This Row],[Horas mes]])</f>
        <v>6500000</v>
      </c>
      <c r="R58" s="168">
        <f>IF(Tabla548[[#This Row],[Valor mensual + Combustible]]="","",Tabla548[[#This Row],[Valor mensual + Combustible]]*Tabla548[[#This Row],[Cantidad]])</f>
        <v>6500000</v>
      </c>
      <c r="U58" s="9" t="s">
        <v>596</v>
      </c>
      <c r="V58" s="10">
        <v>1</v>
      </c>
      <c r="W58" s="165">
        <f>IF(Tabla551[[#This Row],[Equipo ]]="","",INDEX(V_MENSUAL,MATCH(Tabla551[[#This Row],[Equipo ]],LISTA_MAQUINARIA,0)))</f>
        <v>6500000</v>
      </c>
      <c r="X58" s="12">
        <f>IF(Tabla551[[#This Row],[Equipo ]]="","",INDEX(CONSUMO_COMBUSTIBLE_H,MATCH(Tabla551[[#This Row],[Equipo ]],LISTA_MAQUINARIA,0)))</f>
        <v>2</v>
      </c>
      <c r="Y58" s="166">
        <f>IF(Tabla551[[#This Row],[Equipo ]]="","",INDEX(V_GALON,MATCH(Tabla551[[#This Row],[Equipo ]],LISTA_MAQUINARIA,0)))</f>
        <v>10800</v>
      </c>
      <c r="Z58" s="10"/>
      <c r="AA58" s="165">
        <f>IF(Tabla551[[#This Row],[Equipo ]]="","",Tabla551[[#This Row],[Valor mensual]]+Tabla551[[#This Row],[Combustible Hora ]]*Tabla551[[#This Row],[Valor galon]]*Tabla551[[#This Row],[Horas mes]])</f>
        <v>6500000</v>
      </c>
      <c r="AB58" s="168">
        <f>IF(Tabla551[[#This Row],[Valor mensual + Combustible]]="","",Tabla551[[#This Row],[Valor mensual + Combustible]]*Tabla551[[#This Row],[Cantidad]])</f>
        <v>6500000</v>
      </c>
      <c r="AD58" s="9"/>
      <c r="AE58" s="10"/>
      <c r="AF58" s="165"/>
      <c r="AG58" s="12"/>
      <c r="AH58" s="166"/>
      <c r="AI58" s="10"/>
      <c r="AJ58" s="165"/>
      <c r="AK58" s="168"/>
      <c r="AN58" s="9"/>
      <c r="AO58" s="10"/>
      <c r="AP58" s="165"/>
      <c r="AQ58" s="12"/>
      <c r="AR58" s="166"/>
      <c r="AS58" s="10"/>
      <c r="AT58" s="165"/>
      <c r="AU58" s="168"/>
      <c r="AX58" s="9"/>
      <c r="AY58" s="10"/>
      <c r="AZ58" s="165"/>
      <c r="BA58" s="12"/>
      <c r="BB58" s="166"/>
      <c r="BC58" s="10"/>
      <c r="BD58" s="165"/>
      <c r="BE58" s="168"/>
      <c r="BH58" s="9"/>
      <c r="BI58" s="10"/>
      <c r="BJ58" s="165"/>
      <c r="BK58" s="12"/>
      <c r="BL58" s="166"/>
      <c r="BM58" s="10"/>
      <c r="BN58" s="165"/>
      <c r="BO58" s="168"/>
      <c r="BR58" s="9"/>
      <c r="BS58" s="10"/>
      <c r="BT58" s="165"/>
      <c r="BU58" s="12"/>
      <c r="BV58" s="166"/>
      <c r="BW58" s="10"/>
      <c r="BX58" s="165"/>
      <c r="BY58" s="168"/>
      <c r="CB58" s="9"/>
      <c r="CC58" s="10"/>
      <c r="CD58" s="165"/>
      <c r="CE58" s="12"/>
      <c r="CF58" s="166"/>
      <c r="CG58" s="10"/>
      <c r="CH58" s="165"/>
      <c r="CI58" s="168"/>
      <c r="CL58" s="9"/>
      <c r="CM58" s="10"/>
      <c r="CN58" s="165"/>
      <c r="CO58" s="12"/>
      <c r="CP58" s="166"/>
      <c r="CQ58" s="10"/>
      <c r="CR58" s="165"/>
      <c r="CS58" s="168"/>
      <c r="CV58" s="9"/>
      <c r="CW58" s="10"/>
      <c r="CX58" s="165"/>
      <c r="CY58" s="12"/>
      <c r="CZ58" s="166"/>
      <c r="DA58" s="10"/>
      <c r="DB58" s="165"/>
      <c r="DC58" s="168"/>
      <c r="DF58" s="9"/>
      <c r="DG58" s="10"/>
      <c r="DH58" s="165"/>
      <c r="DI58" s="12"/>
      <c r="DJ58" s="166"/>
      <c r="DK58" s="10"/>
      <c r="DL58" s="165"/>
      <c r="DM58" s="168"/>
      <c r="DP58" s="9"/>
      <c r="DQ58" s="10"/>
      <c r="DR58" s="165"/>
      <c r="DS58" s="12"/>
      <c r="DT58" s="166"/>
      <c r="DU58" s="10"/>
      <c r="DV58" s="165"/>
      <c r="DW58" s="168"/>
      <c r="DZ58" s="9"/>
      <c r="EA58" s="10"/>
      <c r="EB58" s="165"/>
      <c r="EC58" s="12"/>
      <c r="ED58" s="166"/>
      <c r="EE58" s="10"/>
      <c r="EF58" s="165"/>
      <c r="EG58" s="168"/>
      <c r="EJ58" s="9"/>
      <c r="EK58" s="10"/>
      <c r="EL58" s="165"/>
      <c r="EM58" s="12"/>
      <c r="EN58" s="166"/>
      <c r="EO58" s="10"/>
      <c r="EP58" s="165"/>
      <c r="EQ58" s="168"/>
      <c r="ET58" s="9"/>
      <c r="EU58" s="10"/>
      <c r="EV58" s="165"/>
      <c r="EW58" s="12"/>
      <c r="EX58" s="166"/>
      <c r="EY58" s="10"/>
      <c r="EZ58" s="165"/>
      <c r="FA58" s="168"/>
      <c r="FD58" s="9"/>
      <c r="FE58" s="10"/>
      <c r="FF58" s="165"/>
      <c r="FG58" s="12"/>
      <c r="FH58" s="166"/>
      <c r="FI58" s="10"/>
      <c r="FJ58" s="165"/>
      <c r="FK58" s="168"/>
      <c r="FN58" s="9"/>
      <c r="FO58" s="10"/>
      <c r="FP58" s="165"/>
      <c r="FQ58" s="12"/>
      <c r="FR58" s="166"/>
      <c r="FS58" s="10"/>
      <c r="FT58" s="165"/>
      <c r="FU58" s="168"/>
    </row>
    <row r="59" spans="1:177" ht="17.25" thickBot="1" x14ac:dyDescent="0.35">
      <c r="A59" s="554" t="s">
        <v>36</v>
      </c>
      <c r="B59" s="555"/>
      <c r="C59" s="555"/>
      <c r="D59" s="555"/>
      <c r="E59" s="555"/>
      <c r="F59" s="555"/>
      <c r="G59" s="556"/>
      <c r="H59" s="16">
        <f>IF(G10&gt;$B$3,0,SUBTOTAL(109,Tabla5[Subtotal maquianria y equipo]))</f>
        <v>79803200</v>
      </c>
      <c r="K59" s="9"/>
      <c r="L59" s="10"/>
      <c r="M59" s="165"/>
      <c r="N59" s="12"/>
      <c r="O59" s="166"/>
      <c r="P59" s="10"/>
      <c r="Q59" s="165"/>
      <c r="R59" s="168"/>
      <c r="U59" s="9"/>
      <c r="V59" s="10"/>
      <c r="W59" s="165"/>
      <c r="X59" s="12"/>
      <c r="Y59" s="166"/>
      <c r="Z59" s="10"/>
      <c r="AA59" s="165"/>
      <c r="AB59" s="168"/>
      <c r="AD59" s="9"/>
      <c r="AE59" s="10"/>
      <c r="AF59" s="165"/>
      <c r="AG59" s="12"/>
      <c r="AH59" s="166"/>
      <c r="AI59" s="10"/>
      <c r="AJ59" s="165"/>
      <c r="AK59" s="168"/>
      <c r="AN59" s="554" t="s">
        <v>36</v>
      </c>
      <c r="AO59" s="555"/>
      <c r="AP59" s="555"/>
      <c r="AQ59" s="555"/>
      <c r="AR59" s="555"/>
      <c r="AS59" s="555"/>
      <c r="AT59" s="556"/>
      <c r="AU59" s="16">
        <f>IF(AT10&gt;$B$3,0,SUBTOTAL(109,Tabla557[Valor Total]))</f>
        <v>0</v>
      </c>
      <c r="AX59" s="554" t="s">
        <v>36</v>
      </c>
      <c r="AY59" s="555"/>
      <c r="AZ59" s="555"/>
      <c r="BA59" s="555"/>
      <c r="BB59" s="555"/>
      <c r="BC59" s="555"/>
      <c r="BD59" s="556"/>
      <c r="BE59" s="16">
        <f>IF(BD10&gt;$B$3,0,SUBTOTAL(109,Tabla560[Valor Total]))</f>
        <v>0</v>
      </c>
      <c r="BH59" s="554" t="s">
        <v>36</v>
      </c>
      <c r="BI59" s="555"/>
      <c r="BJ59" s="555"/>
      <c r="BK59" s="555"/>
      <c r="BL59" s="555"/>
      <c r="BM59" s="555"/>
      <c r="BN59" s="556"/>
      <c r="BO59" s="16">
        <f>SUBTOTAL(109,Tabla563[Valor Total])</f>
        <v>0</v>
      </c>
      <c r="BR59" s="554" t="s">
        <v>36</v>
      </c>
      <c r="BS59" s="555"/>
      <c r="BT59" s="555"/>
      <c r="BU59" s="555"/>
      <c r="BV59" s="555"/>
      <c r="BW59" s="555"/>
      <c r="BX59" s="556"/>
      <c r="BY59" s="16">
        <f>SUBTOTAL(109,Tabla566[Valor Total])</f>
        <v>0</v>
      </c>
      <c r="CB59" s="554" t="s">
        <v>36</v>
      </c>
      <c r="CC59" s="555"/>
      <c r="CD59" s="555"/>
      <c r="CE59" s="555"/>
      <c r="CF59" s="555"/>
      <c r="CG59" s="555"/>
      <c r="CH59" s="556"/>
      <c r="CI59" s="16">
        <f>SUBTOTAL(109,Tabla569[Valor Total])</f>
        <v>0</v>
      </c>
      <c r="CL59" s="554" t="s">
        <v>36</v>
      </c>
      <c r="CM59" s="555"/>
      <c r="CN59" s="555"/>
      <c r="CO59" s="555"/>
      <c r="CP59" s="555"/>
      <c r="CQ59" s="555"/>
      <c r="CR59" s="556"/>
      <c r="CS59" s="16">
        <f>SUBTOTAL(109,Tabla572[Valor Total])</f>
        <v>0</v>
      </c>
      <c r="CV59" s="554" t="s">
        <v>36</v>
      </c>
      <c r="CW59" s="555"/>
      <c r="CX59" s="555"/>
      <c r="CY59" s="555"/>
      <c r="CZ59" s="555"/>
      <c r="DA59" s="555"/>
      <c r="DB59" s="556"/>
      <c r="DC59" s="16">
        <f>SUBTOTAL(109,Tabla575[Valor Total])</f>
        <v>0</v>
      </c>
      <c r="DF59" s="554" t="s">
        <v>36</v>
      </c>
      <c r="DG59" s="555"/>
      <c r="DH59" s="555"/>
      <c r="DI59" s="555"/>
      <c r="DJ59" s="555"/>
      <c r="DK59" s="555"/>
      <c r="DL59" s="556"/>
      <c r="DM59" s="16">
        <f>SUBTOTAL(109,Tabla578[Valor Total])</f>
        <v>0</v>
      </c>
      <c r="DP59" s="554" t="s">
        <v>36</v>
      </c>
      <c r="DQ59" s="555"/>
      <c r="DR59" s="555"/>
      <c r="DS59" s="555"/>
      <c r="DT59" s="555"/>
      <c r="DU59" s="555"/>
      <c r="DV59" s="556"/>
      <c r="DW59" s="16">
        <f>SUBTOTAL(109,Tabla581[Valor Total])</f>
        <v>0</v>
      </c>
      <c r="DZ59" s="554" t="s">
        <v>36</v>
      </c>
      <c r="EA59" s="555"/>
      <c r="EB59" s="555"/>
      <c r="EC59" s="555"/>
      <c r="ED59" s="555"/>
      <c r="EE59" s="555"/>
      <c r="EF59" s="556"/>
      <c r="EG59" s="16">
        <f>SUBTOTAL(109,Tabla584[Valor Total])</f>
        <v>0</v>
      </c>
      <c r="EJ59" s="554" t="s">
        <v>36</v>
      </c>
      <c r="EK59" s="555"/>
      <c r="EL59" s="555"/>
      <c r="EM59" s="555"/>
      <c r="EN59" s="555"/>
      <c r="EO59" s="555"/>
      <c r="EP59" s="556"/>
      <c r="EQ59" s="16">
        <f>SUBTOTAL(109,Tabla587[Valor Total])</f>
        <v>0</v>
      </c>
      <c r="ET59" s="554" t="s">
        <v>36</v>
      </c>
      <c r="EU59" s="555"/>
      <c r="EV59" s="555"/>
      <c r="EW59" s="555"/>
      <c r="EX59" s="555"/>
      <c r="EY59" s="555"/>
      <c r="EZ59" s="556"/>
      <c r="FA59" s="16">
        <f>SUBTOTAL(109,Tabla590[Valor Total])</f>
        <v>0</v>
      </c>
      <c r="FD59" s="554" t="s">
        <v>36</v>
      </c>
      <c r="FE59" s="555"/>
      <c r="FF59" s="555"/>
      <c r="FG59" s="555"/>
      <c r="FH59" s="555"/>
      <c r="FI59" s="555"/>
      <c r="FJ59" s="556"/>
      <c r="FK59" s="16">
        <f>SUBTOTAL(109,Tabla593[Valor Total])</f>
        <v>0</v>
      </c>
      <c r="FN59" s="554" t="s">
        <v>36</v>
      </c>
      <c r="FO59" s="555"/>
      <c r="FP59" s="555"/>
      <c r="FQ59" s="555"/>
      <c r="FR59" s="555"/>
      <c r="FS59" s="555"/>
      <c r="FT59" s="556"/>
      <c r="FU59" s="16">
        <f>SUBTOTAL(109,Tabla596[Valor Total])</f>
        <v>0</v>
      </c>
    </row>
    <row r="60" spans="1:177" x14ac:dyDescent="0.3">
      <c r="A60" s="9"/>
      <c r="H60" s="11"/>
      <c r="K60" s="9"/>
      <c r="L60" s="10"/>
      <c r="M60" s="165"/>
      <c r="N60" s="12"/>
      <c r="O60" s="166"/>
      <c r="P60" s="10"/>
      <c r="Q60" s="165"/>
      <c r="R60" s="168"/>
      <c r="U60" s="9"/>
      <c r="V60" s="10"/>
      <c r="W60" s="165"/>
      <c r="X60" s="12"/>
      <c r="Y60" s="166"/>
      <c r="Z60" s="10"/>
      <c r="AA60" s="165"/>
      <c r="AB60" s="168"/>
      <c r="AD60" s="9"/>
      <c r="AE60" s="10"/>
      <c r="AF60" s="165"/>
      <c r="AG60" s="12"/>
      <c r="AH60" s="166"/>
      <c r="AI60" s="10"/>
      <c r="AJ60" s="165"/>
      <c r="AK60" s="168"/>
      <c r="AN60" s="9"/>
      <c r="AU60" s="11"/>
      <c r="AX60" s="9"/>
      <c r="BE60" s="11"/>
      <c r="BH60" s="9"/>
      <c r="BO60" s="11"/>
      <c r="BR60" s="9"/>
      <c r="BY60" s="11"/>
      <c r="CB60" s="9"/>
      <c r="CI60" s="11"/>
      <c r="CL60" s="9"/>
      <c r="CS60" s="11"/>
      <c r="CV60" s="9"/>
      <c r="DC60" s="11"/>
      <c r="DF60" s="9"/>
      <c r="DM60" s="11"/>
      <c r="DP60" s="9"/>
      <c r="DW60" s="11"/>
      <c r="DZ60" s="9"/>
      <c r="EG60" s="11"/>
      <c r="EJ60" s="9"/>
      <c r="EQ60" s="11"/>
      <c r="ET60" s="9"/>
      <c r="FA60" s="11"/>
      <c r="FD60" s="9"/>
      <c r="FK60" s="11"/>
      <c r="FN60" s="9"/>
      <c r="FU60" s="11"/>
    </row>
    <row r="61" spans="1:177" x14ac:dyDescent="0.3">
      <c r="A61" s="9"/>
      <c r="H61" s="11"/>
      <c r="K61" s="9"/>
      <c r="L61" s="10"/>
      <c r="M61" s="165"/>
      <c r="N61" s="12"/>
      <c r="O61" s="166"/>
      <c r="P61" s="10"/>
      <c r="Q61" s="165"/>
      <c r="R61" s="168"/>
      <c r="U61" s="9"/>
      <c r="V61" s="10"/>
      <c r="W61" s="165"/>
      <c r="X61" s="12"/>
      <c r="Y61" s="166"/>
      <c r="Z61" s="10"/>
      <c r="AA61" s="165"/>
      <c r="AB61" s="168"/>
      <c r="AD61" s="9"/>
      <c r="AE61" s="10"/>
      <c r="AF61" s="165"/>
      <c r="AG61" s="12"/>
      <c r="AH61" s="166"/>
      <c r="AI61" s="10"/>
      <c r="AJ61" s="165"/>
      <c r="AK61" s="168"/>
      <c r="AN61" s="9"/>
      <c r="AU61" s="11"/>
      <c r="AX61" s="9"/>
      <c r="BE61" s="11"/>
      <c r="BH61" s="9"/>
      <c r="BO61" s="11"/>
      <c r="BR61" s="9"/>
      <c r="BY61" s="11"/>
      <c r="CB61" s="9"/>
      <c r="CI61" s="11"/>
      <c r="CL61" s="9"/>
      <c r="CS61" s="11"/>
      <c r="CV61" s="9"/>
      <c r="DC61" s="11"/>
      <c r="DF61" s="9"/>
      <c r="DM61" s="11"/>
      <c r="DP61" s="9"/>
      <c r="DW61" s="11"/>
      <c r="DZ61" s="9"/>
      <c r="EG61" s="11"/>
      <c r="EJ61" s="9"/>
      <c r="EQ61" s="11"/>
      <c r="ET61" s="9"/>
      <c r="FA61" s="11"/>
      <c r="FD61" s="9"/>
      <c r="FK61" s="11"/>
      <c r="FN61" s="9"/>
      <c r="FU61" s="11"/>
    </row>
    <row r="62" spans="1:177" ht="17.25" thickBot="1" x14ac:dyDescent="0.35">
      <c r="A62" s="9"/>
      <c r="H62" s="11"/>
      <c r="K62" s="9"/>
      <c r="L62" s="10"/>
      <c r="M62" s="165"/>
      <c r="N62" s="12"/>
      <c r="O62" s="166"/>
      <c r="P62" s="10"/>
      <c r="Q62" s="165"/>
      <c r="R62" s="168"/>
      <c r="U62" s="9"/>
      <c r="V62" s="10"/>
      <c r="W62" s="165"/>
      <c r="X62" s="12"/>
      <c r="Y62" s="166"/>
      <c r="Z62" s="10"/>
      <c r="AA62" s="165"/>
      <c r="AB62" s="168"/>
      <c r="AD62" s="9"/>
      <c r="AE62" s="10"/>
      <c r="AF62" s="165"/>
      <c r="AG62" s="12"/>
      <c r="AH62" s="166"/>
      <c r="AI62" s="10"/>
      <c r="AJ62" s="165"/>
      <c r="AK62" s="168"/>
      <c r="AN62" s="9"/>
      <c r="AU62" s="11"/>
      <c r="AX62" s="9"/>
      <c r="BE62" s="11"/>
      <c r="BH62" s="9"/>
      <c r="BO62" s="11"/>
      <c r="BR62" s="9"/>
      <c r="BY62" s="11"/>
      <c r="CB62" s="9"/>
      <c r="CI62" s="11"/>
      <c r="CL62" s="9"/>
      <c r="CS62" s="11"/>
      <c r="CV62" s="9"/>
      <c r="DC62" s="11"/>
      <c r="DF62" s="9"/>
      <c r="DM62" s="11"/>
      <c r="DP62" s="9"/>
      <c r="DW62" s="11"/>
      <c r="DZ62" s="9"/>
      <c r="EG62" s="11"/>
      <c r="EJ62" s="9"/>
      <c r="EQ62" s="11"/>
      <c r="ET62" s="9"/>
      <c r="FA62" s="11"/>
      <c r="FD62" s="9"/>
      <c r="FK62" s="11"/>
      <c r="FN62" s="9"/>
      <c r="FU62" s="11"/>
    </row>
    <row r="63" spans="1:177" ht="17.25" thickBot="1" x14ac:dyDescent="0.35">
      <c r="A63" s="9"/>
      <c r="C63" s="6" t="s">
        <v>37</v>
      </c>
      <c r="D63" s="7" t="s">
        <v>38</v>
      </c>
      <c r="E63" s="7" t="s">
        <v>39</v>
      </c>
      <c r="F63" s="8" t="s">
        <v>40</v>
      </c>
      <c r="H63" s="11"/>
      <c r="K63" s="554" t="s">
        <v>36</v>
      </c>
      <c r="L63" s="555"/>
      <c r="M63" s="555"/>
      <c r="N63" s="555"/>
      <c r="O63" s="555"/>
      <c r="P63" s="555"/>
      <c r="Q63" s="556"/>
      <c r="R63" s="16">
        <f>IF(Q10&gt;$B$3,0,SUBTOTAL(109,Tabla548[Valor Total]))</f>
        <v>70201600</v>
      </c>
      <c r="U63" s="554" t="s">
        <v>36</v>
      </c>
      <c r="V63" s="555"/>
      <c r="W63" s="555"/>
      <c r="X63" s="555"/>
      <c r="Y63" s="555"/>
      <c r="Z63" s="555"/>
      <c r="AA63" s="556"/>
      <c r="AB63" s="16">
        <f>IF(AA10&gt;$B$3,0,SUBTOTAL(109,Tabla551[Valor Total]))</f>
        <v>66400000</v>
      </c>
      <c r="AD63" s="554" t="s">
        <v>36</v>
      </c>
      <c r="AE63" s="555"/>
      <c r="AF63" s="555"/>
      <c r="AG63" s="555"/>
      <c r="AH63" s="555"/>
      <c r="AI63" s="555"/>
      <c r="AJ63" s="556"/>
      <c r="AK63" s="16">
        <f>IF(AJ10&gt;$B$3,0,SUBTOTAL(109,Tabla554[Valor Total]))</f>
        <v>0</v>
      </c>
      <c r="AN63" s="9"/>
      <c r="AP63" s="6" t="s">
        <v>37</v>
      </c>
      <c r="AQ63" s="7" t="s">
        <v>38</v>
      </c>
      <c r="AR63" s="7" t="s">
        <v>39</v>
      </c>
      <c r="AS63" s="8" t="s">
        <v>40</v>
      </c>
      <c r="AU63" s="11"/>
      <c r="AX63" s="9"/>
      <c r="AZ63" s="6" t="s">
        <v>37</v>
      </c>
      <c r="BA63" s="7" t="s">
        <v>38</v>
      </c>
      <c r="BB63" s="7" t="s">
        <v>39</v>
      </c>
      <c r="BC63" s="8" t="s">
        <v>40</v>
      </c>
      <c r="BE63" s="11"/>
      <c r="BH63" s="9"/>
      <c r="BJ63" s="6" t="s">
        <v>37</v>
      </c>
      <c r="BK63" s="7" t="s">
        <v>38</v>
      </c>
      <c r="BL63" s="7" t="s">
        <v>39</v>
      </c>
      <c r="BM63" s="8" t="s">
        <v>40</v>
      </c>
      <c r="BO63" s="11"/>
      <c r="BR63" s="9"/>
      <c r="BT63" s="6" t="s">
        <v>37</v>
      </c>
      <c r="BU63" s="7" t="s">
        <v>38</v>
      </c>
      <c r="BV63" s="7" t="s">
        <v>39</v>
      </c>
      <c r="BW63" s="8" t="s">
        <v>40</v>
      </c>
      <c r="BY63" s="11"/>
      <c r="CB63" s="9"/>
      <c r="CD63" s="6" t="s">
        <v>37</v>
      </c>
      <c r="CE63" s="7" t="s">
        <v>38</v>
      </c>
      <c r="CF63" s="7" t="s">
        <v>39</v>
      </c>
      <c r="CG63" s="8" t="s">
        <v>40</v>
      </c>
      <c r="CI63" s="11"/>
      <c r="CL63" s="9"/>
      <c r="CN63" s="6" t="s">
        <v>37</v>
      </c>
      <c r="CO63" s="7" t="s">
        <v>38</v>
      </c>
      <c r="CP63" s="7" t="s">
        <v>39</v>
      </c>
      <c r="CQ63" s="8" t="s">
        <v>40</v>
      </c>
      <c r="CS63" s="11"/>
      <c r="CV63" s="9"/>
      <c r="CX63" s="6" t="s">
        <v>37</v>
      </c>
      <c r="CY63" s="7" t="s">
        <v>38</v>
      </c>
      <c r="CZ63" s="7" t="s">
        <v>39</v>
      </c>
      <c r="DA63" s="8" t="s">
        <v>40</v>
      </c>
      <c r="DC63" s="11"/>
      <c r="DF63" s="9"/>
      <c r="DH63" s="6" t="s">
        <v>37</v>
      </c>
      <c r="DI63" s="7" t="s">
        <v>38</v>
      </c>
      <c r="DJ63" s="7" t="s">
        <v>39</v>
      </c>
      <c r="DK63" s="8" t="s">
        <v>40</v>
      </c>
      <c r="DM63" s="11"/>
      <c r="DP63" s="9"/>
      <c r="DR63" s="6" t="s">
        <v>37</v>
      </c>
      <c r="DS63" s="7" t="s">
        <v>38</v>
      </c>
      <c r="DT63" s="7" t="s">
        <v>39</v>
      </c>
      <c r="DU63" s="8" t="s">
        <v>40</v>
      </c>
      <c r="DW63" s="11"/>
      <c r="DZ63" s="9"/>
      <c r="EB63" s="6" t="s">
        <v>37</v>
      </c>
      <c r="EC63" s="7" t="s">
        <v>38</v>
      </c>
      <c r="ED63" s="7" t="s">
        <v>39</v>
      </c>
      <c r="EE63" s="8" t="s">
        <v>40</v>
      </c>
      <c r="EG63" s="11"/>
      <c r="EJ63" s="9"/>
      <c r="EL63" s="6" t="s">
        <v>37</v>
      </c>
      <c r="EM63" s="7" t="s">
        <v>38</v>
      </c>
      <c r="EN63" s="7" t="s">
        <v>39</v>
      </c>
      <c r="EO63" s="8" t="s">
        <v>40</v>
      </c>
      <c r="EQ63" s="11"/>
      <c r="ET63" s="9"/>
      <c r="EV63" s="6" t="s">
        <v>37</v>
      </c>
      <c r="EW63" s="7" t="s">
        <v>38</v>
      </c>
      <c r="EX63" s="7" t="s">
        <v>39</v>
      </c>
      <c r="EY63" s="8" t="s">
        <v>40</v>
      </c>
      <c r="FA63" s="11"/>
      <c r="FD63" s="9"/>
      <c r="FF63" s="6" t="s">
        <v>37</v>
      </c>
      <c r="FG63" s="7" t="s">
        <v>38</v>
      </c>
      <c r="FH63" s="7" t="s">
        <v>39</v>
      </c>
      <c r="FI63" s="8" t="s">
        <v>40</v>
      </c>
      <c r="FK63" s="11"/>
      <c r="FN63" s="9"/>
      <c r="FP63" s="6" t="s">
        <v>37</v>
      </c>
      <c r="FQ63" s="7" t="s">
        <v>38</v>
      </c>
      <c r="FR63" s="7" t="s">
        <v>39</v>
      </c>
      <c r="FS63" s="8" t="s">
        <v>40</v>
      </c>
      <c r="FU63" s="11"/>
    </row>
    <row r="64" spans="1:177" x14ac:dyDescent="0.3">
      <c r="A64" s="9"/>
      <c r="C64" s="9" t="s">
        <v>41</v>
      </c>
      <c r="D64">
        <v>1</v>
      </c>
      <c r="E64" s="136">
        <v>1200000</v>
      </c>
      <c r="F64" s="152">
        <f>+Tabla6[[#This Row],[Valor unitario ]]*Tabla6[[#This Row],[cantidad ]]</f>
        <v>1200000</v>
      </c>
      <c r="H64" s="11"/>
      <c r="K64" s="9"/>
      <c r="R64" s="11"/>
      <c r="U64" s="9"/>
      <c r="AB64" s="11"/>
      <c r="AD64" s="9"/>
      <c r="AK64" s="11"/>
      <c r="AN64" s="9"/>
      <c r="AP64" s="9" t="s">
        <v>41</v>
      </c>
      <c r="AR64" s="136"/>
      <c r="AS64" s="11">
        <f>+Tabla658[[#This Row],[Valor unitario ]]*Tabla658[[#This Row],[cantidad ]]</f>
        <v>0</v>
      </c>
      <c r="AU64" s="11"/>
      <c r="AX64" s="9"/>
      <c r="AZ64" s="9" t="s">
        <v>41</v>
      </c>
      <c r="BB64" s="136"/>
      <c r="BC64" s="11">
        <f>+Tabla661[[#This Row],[Valor unitario ]]*Tabla661[[#This Row],[cantidad ]]</f>
        <v>0</v>
      </c>
      <c r="BE64" s="11"/>
      <c r="BH64" s="9"/>
      <c r="BJ64" s="9" t="s">
        <v>41</v>
      </c>
      <c r="BL64" s="165"/>
      <c r="BM64" s="169">
        <f>+Tabla664[[#This Row],[cantidad ]]*Tabla664[[#This Row],[Valor unitario ]]</f>
        <v>0</v>
      </c>
      <c r="BO64" s="11"/>
      <c r="BR64" s="9"/>
      <c r="BT64" s="9" t="s">
        <v>41</v>
      </c>
      <c r="BV64" s="165"/>
      <c r="BW64" s="169">
        <f>+Tabla667[[#This Row],[Valor unitario ]]*Tabla667[[#This Row],[cantidad ]]</f>
        <v>0</v>
      </c>
      <c r="BY64" s="11"/>
      <c r="CB64" s="9"/>
      <c r="CD64" s="9" t="s">
        <v>41</v>
      </c>
      <c r="CF64" s="165"/>
      <c r="CG64" s="169">
        <f>+Tabla670[[#This Row],[cantidad ]]*Tabla670[[#This Row],[Valor unitario ]]</f>
        <v>0</v>
      </c>
      <c r="CI64" s="11"/>
      <c r="CL64" s="9"/>
      <c r="CN64" s="9" t="s">
        <v>41</v>
      </c>
      <c r="CP64" s="165"/>
      <c r="CQ64" s="168">
        <f>+Tabla673[[#This Row],[cantidad ]]*Tabla673[[#This Row],[Valor unitario ]]</f>
        <v>0</v>
      </c>
      <c r="CS64" s="11"/>
      <c r="CV64" s="9"/>
      <c r="CX64" s="9" t="s">
        <v>41</v>
      </c>
      <c r="CZ64" s="165"/>
      <c r="DA64" s="169">
        <f>+Tabla676[[#This Row],[Valor unitario ]]*Tabla676[[#This Row],[cantidad ]]</f>
        <v>0</v>
      </c>
      <c r="DC64" s="11"/>
      <c r="DF64" s="9"/>
      <c r="DH64" s="9" t="s">
        <v>41</v>
      </c>
      <c r="DJ64" s="165"/>
      <c r="DK64" s="168">
        <f>+Tabla679[[#This Row],[Valor unitario ]]*Tabla679[[#This Row],[cantidad ]]</f>
        <v>0</v>
      </c>
      <c r="DM64" s="11"/>
      <c r="DP64" s="9"/>
      <c r="DR64" s="9" t="s">
        <v>41</v>
      </c>
      <c r="DT64" s="165"/>
      <c r="DU64" s="168">
        <f>+Tabla682[[#This Row],[Valor unitario ]]*Tabla682[[#This Row],[cantidad ]]</f>
        <v>0</v>
      </c>
      <c r="DW64" s="11"/>
      <c r="DZ64" s="9"/>
      <c r="EB64" s="9" t="s">
        <v>41</v>
      </c>
      <c r="ED64" s="165"/>
      <c r="EE64" s="168">
        <f>+Tabla685[[#This Row],[Valor unitario ]]*Tabla685[[#This Row],[cantidad ]]</f>
        <v>0</v>
      </c>
      <c r="EG64" s="11"/>
      <c r="EJ64" s="9"/>
      <c r="EL64" s="9" t="s">
        <v>41</v>
      </c>
      <c r="EN64" s="165"/>
      <c r="EO64" s="169">
        <f>+Tabla688[[#This Row],[Valor unitario ]]*Tabla688[[#This Row],[cantidad ]]</f>
        <v>0</v>
      </c>
      <c r="EQ64" s="11"/>
      <c r="ET64" s="9"/>
      <c r="EV64" s="9" t="s">
        <v>41</v>
      </c>
      <c r="EX64" s="165"/>
      <c r="EY64" s="168">
        <f>+Tabla691[[#This Row],[Valor unitario ]]*Tabla691[[#This Row],[cantidad ]]</f>
        <v>0</v>
      </c>
      <c r="FA64" s="11"/>
      <c r="FD64" s="9"/>
      <c r="FF64" s="9" t="s">
        <v>41</v>
      </c>
      <c r="FH64" s="165"/>
      <c r="FI64" s="168">
        <f>+Tabla694[[#This Row],[cantidad ]]*Tabla694[[#This Row],[Valor unitario ]]</f>
        <v>0</v>
      </c>
      <c r="FK64" s="11"/>
      <c r="FN64" s="9"/>
      <c r="FP64" s="9" t="s">
        <v>41</v>
      </c>
      <c r="FR64" s="136"/>
      <c r="FS64" s="168">
        <f>+Tabla697[[#This Row],[Valor unitario ]]*Tabla697[[#This Row],[cantidad ]]</f>
        <v>0</v>
      </c>
      <c r="FU64" s="11"/>
    </row>
    <row r="65" spans="1:177" x14ac:dyDescent="0.3">
      <c r="A65" s="9"/>
      <c r="C65" s="9" t="s">
        <v>521</v>
      </c>
      <c r="E65" s="136"/>
      <c r="F65" s="152">
        <f>+Tabla6[[#This Row],[Valor unitario ]]*Tabla6[[#This Row],[cantidad ]]</f>
        <v>0</v>
      </c>
      <c r="H65" s="11"/>
      <c r="K65" s="9"/>
      <c r="R65" s="11"/>
      <c r="U65" s="9"/>
      <c r="AB65" s="11"/>
      <c r="AD65" s="9"/>
      <c r="AK65" s="11"/>
      <c r="AN65" s="9"/>
      <c r="AP65" s="9" t="s">
        <v>42</v>
      </c>
      <c r="AR65" s="136"/>
      <c r="AS65" s="11">
        <f>+Tabla658[[#This Row],[Valor unitario ]]*Tabla658[[#This Row],[cantidad ]]</f>
        <v>0</v>
      </c>
      <c r="AU65" s="11"/>
      <c r="AX65" s="9"/>
      <c r="AZ65" s="9" t="s">
        <v>42</v>
      </c>
      <c r="BB65" s="136"/>
      <c r="BC65" s="11">
        <f>+Tabla661[[#This Row],[Valor unitario ]]*Tabla661[[#This Row],[cantidad ]]</f>
        <v>0</v>
      </c>
      <c r="BE65" s="11"/>
      <c r="BH65" s="9"/>
      <c r="BJ65" s="9" t="s">
        <v>42</v>
      </c>
      <c r="BL65" s="165"/>
      <c r="BM65" s="169">
        <f>+Tabla664[[#This Row],[cantidad ]]*Tabla664[[#This Row],[Valor unitario ]]</f>
        <v>0</v>
      </c>
      <c r="BO65" s="11"/>
      <c r="BR65" s="9"/>
      <c r="BT65" s="9" t="s">
        <v>42</v>
      </c>
      <c r="BV65" s="165"/>
      <c r="BW65" s="169">
        <f>+Tabla667[[#This Row],[Valor unitario ]]*Tabla667[[#This Row],[cantidad ]]</f>
        <v>0</v>
      </c>
      <c r="BY65" s="11"/>
      <c r="CB65" s="9"/>
      <c r="CD65" s="9" t="s">
        <v>42</v>
      </c>
      <c r="CF65" s="165"/>
      <c r="CG65" s="169">
        <f>+Tabla670[[#This Row],[cantidad ]]*Tabla670[[#This Row],[Valor unitario ]]</f>
        <v>0</v>
      </c>
      <c r="CI65" s="11"/>
      <c r="CL65" s="9"/>
      <c r="CN65" s="9" t="s">
        <v>42</v>
      </c>
      <c r="CP65" s="165"/>
      <c r="CQ65" s="168">
        <f>+Tabla673[[#This Row],[cantidad ]]*Tabla673[[#This Row],[Valor unitario ]]</f>
        <v>0</v>
      </c>
      <c r="CS65" s="11"/>
      <c r="CV65" s="9"/>
      <c r="CX65" s="9" t="s">
        <v>42</v>
      </c>
      <c r="CZ65" s="165"/>
      <c r="DA65" s="169">
        <f>+Tabla676[[#This Row],[Valor unitario ]]*Tabla676[[#This Row],[cantidad ]]</f>
        <v>0</v>
      </c>
      <c r="DC65" s="11"/>
      <c r="DF65" s="9"/>
      <c r="DH65" s="9" t="s">
        <v>42</v>
      </c>
      <c r="DJ65" s="165"/>
      <c r="DK65" s="168">
        <f>+Tabla679[[#This Row],[Valor unitario ]]*Tabla679[[#This Row],[cantidad ]]</f>
        <v>0</v>
      </c>
      <c r="DM65" s="11"/>
      <c r="DP65" s="9"/>
      <c r="DR65" s="9" t="s">
        <v>42</v>
      </c>
      <c r="DT65" s="165"/>
      <c r="DU65" s="168">
        <f>+Tabla682[[#This Row],[Valor unitario ]]*Tabla682[[#This Row],[cantidad ]]</f>
        <v>0</v>
      </c>
      <c r="DW65" s="11"/>
      <c r="DZ65" s="9"/>
      <c r="EB65" s="9" t="s">
        <v>42</v>
      </c>
      <c r="ED65" s="165"/>
      <c r="EE65" s="168">
        <f>+Tabla685[[#This Row],[Valor unitario ]]*Tabla685[[#This Row],[cantidad ]]</f>
        <v>0</v>
      </c>
      <c r="EG65" s="11"/>
      <c r="EJ65" s="9"/>
      <c r="EL65" s="9" t="s">
        <v>42</v>
      </c>
      <c r="EN65" s="165"/>
      <c r="EO65" s="169">
        <f>+Tabla688[[#This Row],[Valor unitario ]]*Tabla688[[#This Row],[cantidad ]]</f>
        <v>0</v>
      </c>
      <c r="EQ65" s="11"/>
      <c r="ET65" s="9"/>
      <c r="EV65" s="9" t="s">
        <v>42</v>
      </c>
      <c r="EX65" s="165"/>
      <c r="EY65" s="168">
        <f>+Tabla691[[#This Row],[Valor unitario ]]*Tabla691[[#This Row],[cantidad ]]</f>
        <v>0</v>
      </c>
      <c r="FA65" s="11"/>
      <c r="FD65" s="9"/>
      <c r="FF65" s="9" t="s">
        <v>42</v>
      </c>
      <c r="FH65" s="165"/>
      <c r="FI65" s="168">
        <f>+Tabla694[[#This Row],[cantidad ]]*Tabla694[[#This Row],[Valor unitario ]]</f>
        <v>0</v>
      </c>
      <c r="FK65" s="11"/>
      <c r="FN65" s="9"/>
      <c r="FP65" s="9" t="s">
        <v>42</v>
      </c>
      <c r="FR65" s="136"/>
      <c r="FS65" s="168">
        <f>+Tabla697[[#This Row],[Valor unitario ]]*Tabla697[[#This Row],[cantidad ]]</f>
        <v>0</v>
      </c>
      <c r="FU65" s="11"/>
    </row>
    <row r="66" spans="1:177" ht="17.25" thickBot="1" x14ac:dyDescent="0.35">
      <c r="A66" s="9"/>
      <c r="C66" s="9" t="s">
        <v>43</v>
      </c>
      <c r="D66">
        <v>2</v>
      </c>
      <c r="E66" s="136">
        <v>800000</v>
      </c>
      <c r="F66" s="152">
        <f>+Tabla6[[#This Row],[Valor unitario ]]*Tabla6[[#This Row],[cantidad ]]</f>
        <v>1600000</v>
      </c>
      <c r="H66" s="11"/>
      <c r="K66" s="9"/>
      <c r="R66" s="11"/>
      <c r="U66" s="9"/>
      <c r="AB66" s="11"/>
      <c r="AD66" s="9"/>
      <c r="AK66" s="11"/>
      <c r="AN66" s="9"/>
      <c r="AP66" s="9" t="s">
        <v>43</v>
      </c>
      <c r="AR66" s="136"/>
      <c r="AS66" s="11">
        <f>+Tabla658[[#This Row],[Valor unitario ]]*Tabla658[[#This Row],[cantidad ]]</f>
        <v>0</v>
      </c>
      <c r="AU66" s="11"/>
      <c r="AX66" s="9"/>
      <c r="AZ66" s="9" t="s">
        <v>43</v>
      </c>
      <c r="BB66" s="136"/>
      <c r="BC66" s="11">
        <f>+Tabla661[[#This Row],[Valor unitario ]]*Tabla661[[#This Row],[cantidad ]]</f>
        <v>0</v>
      </c>
      <c r="BE66" s="11"/>
      <c r="BH66" s="9"/>
      <c r="BJ66" s="9" t="s">
        <v>43</v>
      </c>
      <c r="BL66" s="165"/>
      <c r="BM66" s="169">
        <f>+Tabla664[[#This Row],[cantidad ]]*Tabla664[[#This Row],[Valor unitario ]]</f>
        <v>0</v>
      </c>
      <c r="BO66" s="11"/>
      <c r="BR66" s="9"/>
      <c r="BT66" s="9" t="s">
        <v>43</v>
      </c>
      <c r="BV66" s="165"/>
      <c r="BW66" s="169">
        <f>+Tabla667[[#This Row],[Valor unitario ]]*Tabla667[[#This Row],[cantidad ]]</f>
        <v>0</v>
      </c>
      <c r="BY66" s="11"/>
      <c r="CB66" s="9"/>
      <c r="CD66" s="9" t="s">
        <v>43</v>
      </c>
      <c r="CF66" s="165"/>
      <c r="CG66" s="169">
        <f>+Tabla670[[#This Row],[cantidad ]]*Tabla670[[#This Row],[Valor unitario ]]</f>
        <v>0</v>
      </c>
      <c r="CI66" s="11"/>
      <c r="CL66" s="9"/>
      <c r="CN66" s="9" t="s">
        <v>43</v>
      </c>
      <c r="CP66" s="165"/>
      <c r="CQ66" s="168">
        <f>+Tabla673[[#This Row],[cantidad ]]*Tabla673[[#This Row],[Valor unitario ]]</f>
        <v>0</v>
      </c>
      <c r="CS66" s="11"/>
      <c r="CV66" s="9"/>
      <c r="CX66" s="9" t="s">
        <v>43</v>
      </c>
      <c r="CZ66" s="165"/>
      <c r="DA66" s="169">
        <f>+Tabla676[[#This Row],[Valor unitario ]]*Tabla676[[#This Row],[cantidad ]]</f>
        <v>0</v>
      </c>
      <c r="DC66" s="11"/>
      <c r="DF66" s="9"/>
      <c r="DH66" s="9" t="s">
        <v>43</v>
      </c>
      <c r="DJ66" s="165"/>
      <c r="DK66" s="168">
        <f>+Tabla679[[#This Row],[Valor unitario ]]*Tabla679[[#This Row],[cantidad ]]</f>
        <v>0</v>
      </c>
      <c r="DM66" s="11"/>
      <c r="DP66" s="9"/>
      <c r="DR66" s="9" t="s">
        <v>43</v>
      </c>
      <c r="DT66" s="165"/>
      <c r="DU66" s="168">
        <f>+Tabla682[[#This Row],[Valor unitario ]]*Tabla682[[#This Row],[cantidad ]]</f>
        <v>0</v>
      </c>
      <c r="DW66" s="11"/>
      <c r="DZ66" s="9"/>
      <c r="EB66" s="9" t="s">
        <v>43</v>
      </c>
      <c r="ED66" s="165"/>
      <c r="EE66" s="168">
        <f>+Tabla685[[#This Row],[Valor unitario ]]*Tabla685[[#This Row],[cantidad ]]</f>
        <v>0</v>
      </c>
      <c r="EG66" s="11"/>
      <c r="EJ66" s="9"/>
      <c r="EL66" s="9" t="s">
        <v>43</v>
      </c>
      <c r="EN66" s="165"/>
      <c r="EO66" s="169">
        <f>+Tabla688[[#This Row],[Valor unitario ]]*Tabla688[[#This Row],[cantidad ]]</f>
        <v>0</v>
      </c>
      <c r="EQ66" s="11"/>
      <c r="ET66" s="9"/>
      <c r="EV66" s="9" t="s">
        <v>43</v>
      </c>
      <c r="EX66" s="165"/>
      <c r="EY66" s="168">
        <f>+Tabla691[[#This Row],[Valor unitario ]]*Tabla691[[#This Row],[cantidad ]]</f>
        <v>0</v>
      </c>
      <c r="FA66" s="11"/>
      <c r="FD66" s="9"/>
      <c r="FF66" s="9" t="s">
        <v>43</v>
      </c>
      <c r="FH66" s="165"/>
      <c r="FI66" s="168">
        <f>+Tabla694[[#This Row],[cantidad ]]*Tabla694[[#This Row],[Valor unitario ]]</f>
        <v>0</v>
      </c>
      <c r="FK66" s="11"/>
      <c r="FN66" s="9"/>
      <c r="FP66" s="9" t="s">
        <v>43</v>
      </c>
      <c r="FR66" s="136"/>
      <c r="FS66" s="168">
        <f>+Tabla697[[#This Row],[Valor unitario ]]*Tabla697[[#This Row],[cantidad ]]</f>
        <v>0</v>
      </c>
      <c r="FU66" s="11"/>
    </row>
    <row r="67" spans="1:177" ht="17.25" thickBot="1" x14ac:dyDescent="0.35">
      <c r="A67" s="15"/>
      <c r="B67" s="13"/>
      <c r="C67" s="554" t="s">
        <v>45</v>
      </c>
      <c r="D67" s="555"/>
      <c r="E67" s="556"/>
      <c r="F67" s="16">
        <f>IF(G10&gt;B3,0,SUBTOTAL(109,Tabla6[Valor total]))</f>
        <v>2800000</v>
      </c>
      <c r="G67" s="13"/>
      <c r="H67" s="14"/>
      <c r="K67" s="9"/>
      <c r="M67" s="6" t="s">
        <v>37</v>
      </c>
      <c r="N67" s="7" t="s">
        <v>38</v>
      </c>
      <c r="O67" s="7" t="s">
        <v>39</v>
      </c>
      <c r="P67" s="8" t="s">
        <v>40</v>
      </c>
      <c r="R67" s="11"/>
      <c r="U67" s="9"/>
      <c r="W67" s="6" t="s">
        <v>37</v>
      </c>
      <c r="X67" s="7" t="s">
        <v>38</v>
      </c>
      <c r="Y67" s="7" t="s">
        <v>39</v>
      </c>
      <c r="Z67" s="8" t="s">
        <v>40</v>
      </c>
      <c r="AB67" s="11"/>
      <c r="AD67" s="9"/>
      <c r="AF67" s="6" t="s">
        <v>37</v>
      </c>
      <c r="AG67" s="7" t="s">
        <v>38</v>
      </c>
      <c r="AH67" s="7" t="s">
        <v>39</v>
      </c>
      <c r="AI67" s="8" t="s">
        <v>40</v>
      </c>
      <c r="AK67" s="11"/>
      <c r="AN67" s="15"/>
      <c r="AO67" s="13"/>
      <c r="AP67" s="554" t="s">
        <v>45</v>
      </c>
      <c r="AQ67" s="555"/>
      <c r="AR67" s="556"/>
      <c r="AS67" s="16">
        <f>IF(AT10&gt;$B$3,0,SUBTOTAL(109,Tabla658[Valor total]))</f>
        <v>0</v>
      </c>
      <c r="AT67" s="13"/>
      <c r="AU67" s="14"/>
      <c r="AX67" s="15"/>
      <c r="AY67" s="13"/>
      <c r="AZ67" s="554" t="s">
        <v>45</v>
      </c>
      <c r="BA67" s="555"/>
      <c r="BB67" s="556"/>
      <c r="BC67" s="16">
        <f>IF(BD10&gt;$B$3,0,SUBTOTAL(109,Tabla661[Valor total]))</f>
        <v>0</v>
      </c>
      <c r="BD67" s="13"/>
      <c r="BE67" s="14"/>
      <c r="BH67" s="15"/>
      <c r="BI67" s="13"/>
      <c r="BJ67" s="554" t="s">
        <v>45</v>
      </c>
      <c r="BK67" s="555"/>
      <c r="BL67" s="556"/>
      <c r="BM67" s="16">
        <f>SUBTOTAL(109,Tabla664[Valor total])</f>
        <v>0</v>
      </c>
      <c r="BN67" s="13"/>
      <c r="BO67" s="14"/>
      <c r="BR67" s="15"/>
      <c r="BS67" s="13"/>
      <c r="BT67" s="554" t="s">
        <v>45</v>
      </c>
      <c r="BU67" s="555"/>
      <c r="BV67" s="556"/>
      <c r="BW67" s="16">
        <f>SUBTOTAL(109,Tabla667[Valor total])</f>
        <v>0</v>
      </c>
      <c r="BX67" s="13"/>
      <c r="BY67" s="14"/>
      <c r="CB67" s="15"/>
      <c r="CC67" s="13"/>
      <c r="CD67" s="554" t="s">
        <v>45</v>
      </c>
      <c r="CE67" s="555"/>
      <c r="CF67" s="556"/>
      <c r="CG67" s="16">
        <f>SUBTOTAL(109,Tabla670[Valor total])</f>
        <v>0</v>
      </c>
      <c r="CH67" s="13"/>
      <c r="CI67" s="14"/>
      <c r="CL67" s="15"/>
      <c r="CM67" s="13"/>
      <c r="CN67" s="554" t="s">
        <v>45</v>
      </c>
      <c r="CO67" s="555"/>
      <c r="CP67" s="556"/>
      <c r="CQ67" s="16">
        <f>SUBTOTAL(109,Tabla673[Valor total])</f>
        <v>0</v>
      </c>
      <c r="CR67" s="13"/>
      <c r="CS67" s="14"/>
      <c r="CV67" s="15"/>
      <c r="CW67" s="13"/>
      <c r="CX67" s="554" t="s">
        <v>45</v>
      </c>
      <c r="CY67" s="555"/>
      <c r="CZ67" s="556"/>
      <c r="DA67" s="16">
        <f>SUBTOTAL(109,Tabla676[Valor total])</f>
        <v>0</v>
      </c>
      <c r="DB67" s="13"/>
      <c r="DC67" s="14"/>
      <c r="DF67" s="15"/>
      <c r="DG67" s="13"/>
      <c r="DH67" s="554" t="s">
        <v>45</v>
      </c>
      <c r="DI67" s="555"/>
      <c r="DJ67" s="556"/>
      <c r="DK67" s="16">
        <f>SUBTOTAL(109,Tabla679[Valor total])</f>
        <v>0</v>
      </c>
      <c r="DL67" s="13"/>
      <c r="DM67" s="14"/>
      <c r="DP67" s="15"/>
      <c r="DQ67" s="13"/>
      <c r="DR67" s="554" t="s">
        <v>45</v>
      </c>
      <c r="DS67" s="555"/>
      <c r="DT67" s="556"/>
      <c r="DU67" s="16">
        <f>SUBTOTAL(109,Tabla682[Valor total])</f>
        <v>0</v>
      </c>
      <c r="DV67" s="13"/>
      <c r="DW67" s="14"/>
      <c r="DZ67" s="15"/>
      <c r="EA67" s="13"/>
      <c r="EB67" s="554" t="s">
        <v>45</v>
      </c>
      <c r="EC67" s="555"/>
      <c r="ED67" s="556"/>
      <c r="EE67" s="16">
        <f>SUBTOTAL(109,Tabla685[Valor total])</f>
        <v>0</v>
      </c>
      <c r="EF67" s="13"/>
      <c r="EG67" s="14"/>
      <c r="EJ67" s="15"/>
      <c r="EK67" s="13"/>
      <c r="EL67" s="554" t="s">
        <v>45</v>
      </c>
      <c r="EM67" s="555"/>
      <c r="EN67" s="556"/>
      <c r="EO67" s="16">
        <f>SUBTOTAL(109,Tabla688[Valor total])</f>
        <v>0</v>
      </c>
      <c r="EP67" s="13"/>
      <c r="EQ67" s="14"/>
      <c r="ET67" s="15"/>
      <c r="EU67" s="13"/>
      <c r="EV67" s="554" t="s">
        <v>45</v>
      </c>
      <c r="EW67" s="555"/>
      <c r="EX67" s="556"/>
      <c r="EY67" s="16">
        <f>SUBTOTAL(109,Tabla691[Valor total])</f>
        <v>0</v>
      </c>
      <c r="EZ67" s="13"/>
      <c r="FA67" s="14"/>
      <c r="FD67" s="15"/>
      <c r="FE67" s="13"/>
      <c r="FF67" s="554" t="s">
        <v>45</v>
      </c>
      <c r="FG67" s="555"/>
      <c r="FH67" s="556"/>
      <c r="FI67" s="16">
        <f>SUBTOTAL(109,Tabla694[Valor total])</f>
        <v>0</v>
      </c>
      <c r="FJ67" s="13"/>
      <c r="FK67" s="14"/>
      <c r="FN67" s="15"/>
      <c r="FO67" s="13"/>
      <c r="FP67" s="554" t="s">
        <v>45</v>
      </c>
      <c r="FQ67" s="555"/>
      <c r="FR67" s="556"/>
      <c r="FS67" s="16">
        <f>SUBTOTAL(109,Tabla697[Valor total])</f>
        <v>0</v>
      </c>
      <c r="FT67" s="13"/>
      <c r="FU67" s="14"/>
    </row>
    <row r="68" spans="1:177" x14ac:dyDescent="0.3">
      <c r="K68" s="9"/>
      <c r="M68" s="9" t="s">
        <v>41</v>
      </c>
      <c r="N68">
        <v>1</v>
      </c>
      <c r="O68" s="136">
        <v>1200000</v>
      </c>
      <c r="P68" s="11">
        <f>+Tabla649[[#This Row],[Valor unitario ]]*Tabla649[[#This Row],[cantidad ]]</f>
        <v>1200000</v>
      </c>
      <c r="R68" s="11"/>
      <c r="U68" s="9"/>
      <c r="W68" s="9" t="s">
        <v>41</v>
      </c>
      <c r="X68">
        <v>1</v>
      </c>
      <c r="Y68" s="136">
        <v>1200000</v>
      </c>
      <c r="Z68" s="11">
        <f>+Tabla652[[#This Row],[Valor unitario ]]*Tabla652[[#This Row],[cantidad ]]</f>
        <v>1200000</v>
      </c>
      <c r="AB68" s="11"/>
      <c r="AD68" s="9"/>
      <c r="AF68" s="9" t="s">
        <v>41</v>
      </c>
      <c r="AG68">
        <v>1</v>
      </c>
      <c r="AH68" s="136">
        <v>1200000</v>
      </c>
      <c r="AI68" s="11">
        <f>+Tabla655[[#This Row],[Valor unitario ]]*Tabla655[[#This Row],[cantidad ]]</f>
        <v>1200000</v>
      </c>
      <c r="AK68" s="11"/>
    </row>
    <row r="69" spans="1:177" x14ac:dyDescent="0.3">
      <c r="K69" s="9"/>
      <c r="M69" s="9" t="s">
        <v>521</v>
      </c>
      <c r="O69" s="136"/>
      <c r="P69" s="11">
        <f>+Tabla649[[#This Row],[Valor unitario ]]*Tabla649[[#This Row],[cantidad ]]</f>
        <v>0</v>
      </c>
      <c r="R69" s="11"/>
      <c r="U69" s="9"/>
      <c r="W69" s="9" t="s">
        <v>521</v>
      </c>
      <c r="Y69" s="136">
        <v>1800000</v>
      </c>
      <c r="Z69" s="11">
        <f>+Tabla652[[#This Row],[Valor unitario ]]*Tabla652[[#This Row],[cantidad ]]</f>
        <v>0</v>
      </c>
      <c r="AB69" s="11"/>
      <c r="AD69" s="9"/>
      <c r="AF69" s="9" t="s">
        <v>521</v>
      </c>
      <c r="AH69" s="136">
        <v>1800000</v>
      </c>
      <c r="AI69" s="11">
        <f>+Tabla655[[#This Row],[Valor unitario ]]*Tabla655[[#This Row],[cantidad ]]</f>
        <v>0</v>
      </c>
      <c r="AK69" s="11"/>
    </row>
    <row r="70" spans="1:177" x14ac:dyDescent="0.3">
      <c r="B70" s="449" t="s">
        <v>68</v>
      </c>
      <c r="C70" s="449"/>
      <c r="D70" s="449"/>
      <c r="E70" s="449"/>
      <c r="F70" s="449"/>
      <c r="K70" s="9"/>
      <c r="M70" s="9" t="s">
        <v>43</v>
      </c>
      <c r="N70">
        <v>2</v>
      </c>
      <c r="O70" s="136">
        <v>800000</v>
      </c>
      <c r="P70" s="11">
        <f>+Tabla649[[#This Row],[Valor unitario ]]*Tabla649[[#This Row],[cantidad ]]</f>
        <v>1600000</v>
      </c>
      <c r="R70" s="11"/>
      <c r="U70" s="9"/>
      <c r="W70" s="9" t="s">
        <v>43</v>
      </c>
      <c r="X70">
        <v>2</v>
      </c>
      <c r="Y70" s="136">
        <v>800000</v>
      </c>
      <c r="Z70" s="11">
        <f>+Tabla652[[#This Row],[Valor unitario ]]*Tabla652[[#This Row],[cantidad ]]</f>
        <v>1600000</v>
      </c>
      <c r="AB70" s="11"/>
      <c r="AD70" s="9"/>
      <c r="AF70" s="9" t="s">
        <v>43</v>
      </c>
      <c r="AG70">
        <v>2</v>
      </c>
      <c r="AH70" s="136">
        <v>800000</v>
      </c>
      <c r="AI70" s="11">
        <f>+Tabla655[[#This Row],[Valor unitario ]]*Tabla655[[#This Row],[cantidad ]]</f>
        <v>1600000</v>
      </c>
      <c r="AK70" s="11"/>
    </row>
    <row r="71" spans="1:177" ht="17.25" thickBot="1" x14ac:dyDescent="0.35">
      <c r="B71" t="s">
        <v>274</v>
      </c>
      <c r="C71" t="s">
        <v>275</v>
      </c>
      <c r="D71" t="s">
        <v>276</v>
      </c>
      <c r="E71" t="s">
        <v>277</v>
      </c>
      <c r="F71" t="s">
        <v>46</v>
      </c>
      <c r="G71" t="s">
        <v>362</v>
      </c>
      <c r="K71" s="15"/>
      <c r="L71" s="13"/>
      <c r="M71" s="554" t="s">
        <v>45</v>
      </c>
      <c r="N71" s="555"/>
      <c r="O71" s="556"/>
      <c r="P71" s="16">
        <f>SUBTOTAL(109,Tabla649[Valor total])</f>
        <v>2800000</v>
      </c>
      <c r="Q71" s="13"/>
      <c r="R71" s="14"/>
      <c r="U71" s="15"/>
      <c r="V71" s="13"/>
      <c r="W71" s="554" t="s">
        <v>45</v>
      </c>
      <c r="X71" s="555"/>
      <c r="Y71" s="556"/>
      <c r="Z71" s="16">
        <f>IF(AA10&gt;$B$3,0,SUBTOTAL(109,Tabla652[Valor total]))</f>
        <v>2800000</v>
      </c>
      <c r="AA71" s="13"/>
      <c r="AB71" s="14"/>
      <c r="AD71" s="15"/>
      <c r="AE71" s="13"/>
      <c r="AF71" s="554" t="s">
        <v>45</v>
      </c>
      <c r="AG71" s="555"/>
      <c r="AH71" s="556"/>
      <c r="AI71" s="16">
        <f>IF(AJ10&gt;$B$3,0,SUBTOTAL(109,Tabla655[Valor total]))</f>
        <v>0</v>
      </c>
      <c r="AJ71" s="13"/>
      <c r="AK71" s="14"/>
    </row>
    <row r="72" spans="1:177" x14ac:dyDescent="0.3">
      <c r="B72" s="18">
        <v>1</v>
      </c>
      <c r="C72" s="1">
        <f>Sub_pe1</f>
        <v>107936000</v>
      </c>
      <c r="D72" s="1">
        <f>Sub_eq1</f>
        <v>79803200</v>
      </c>
      <c r="E72" s="1">
        <f>Sub_trans1</f>
        <v>2800000</v>
      </c>
      <c r="F72" s="1">
        <f>SUM(Tabla97[[#This Row],[SUBTOTAL PERSONAL]:[SUBTOTAL TRANSPORTE]])</f>
        <v>190539200</v>
      </c>
      <c r="G72" s="1"/>
    </row>
    <row r="73" spans="1:177" x14ac:dyDescent="0.3">
      <c r="B73" s="18">
        <v>2</v>
      </c>
      <c r="C73" s="1">
        <f>Sub_pe2</f>
        <v>107936000</v>
      </c>
      <c r="D73" s="1">
        <f>Sub_eq2</f>
        <v>70201600</v>
      </c>
      <c r="E73" s="1">
        <f>Sub_trans2</f>
        <v>2800000</v>
      </c>
      <c r="F73" s="1">
        <f>SUM(Tabla97[[#This Row],[SUBTOTAL PERSONAL]:[SUBTOTAL TRANSPORTE]])</f>
        <v>180937600</v>
      </c>
      <c r="G73" s="1"/>
    </row>
    <row r="74" spans="1:177" x14ac:dyDescent="0.3">
      <c r="B74" s="18">
        <v>3</v>
      </c>
      <c r="C74" s="1">
        <f>Sub_pe3</f>
        <v>107936000</v>
      </c>
      <c r="D74" s="1">
        <f>Sub_eq3</f>
        <v>66400000</v>
      </c>
      <c r="E74" s="1">
        <f>Sub_trans3</f>
        <v>2800000</v>
      </c>
      <c r="F74" s="1">
        <f>SUM(Tabla97[[#This Row],[SUBTOTAL PERSONAL]:[SUBTOTAL TRANSPORTE]])</f>
        <v>177136000</v>
      </c>
      <c r="G74" s="1"/>
    </row>
    <row r="75" spans="1:177" x14ac:dyDescent="0.3">
      <c r="B75" s="18">
        <v>4</v>
      </c>
      <c r="C75" s="1">
        <f>Sub_pe4</f>
        <v>0</v>
      </c>
      <c r="D75" s="1">
        <f>Sub_eq4</f>
        <v>0</v>
      </c>
      <c r="E75" s="1">
        <f>Sub_trans4</f>
        <v>0</v>
      </c>
      <c r="F75" s="1">
        <f>SUM(Tabla97[[#This Row],[SUBTOTAL PERSONAL]:[SUBTOTAL TRANSPORTE]])</f>
        <v>0</v>
      </c>
      <c r="G75" s="1"/>
    </row>
    <row r="76" spans="1:177" x14ac:dyDescent="0.3">
      <c r="B76" s="18">
        <v>5</v>
      </c>
      <c r="C76" s="1">
        <f>Sub_pe5</f>
        <v>0</v>
      </c>
      <c r="D76" s="1">
        <f>Sub_eq5</f>
        <v>0</v>
      </c>
      <c r="E76" s="1">
        <f>Sub_trans5</f>
        <v>0</v>
      </c>
      <c r="F76" s="1">
        <f>SUM(Tabla97[[#This Row],[SUBTOTAL PERSONAL]:[SUBTOTAL TRANSPORTE]])</f>
        <v>0</v>
      </c>
      <c r="G76" s="1"/>
    </row>
    <row r="77" spans="1:177" x14ac:dyDescent="0.3">
      <c r="B77" s="18">
        <v>6</v>
      </c>
      <c r="C77" s="1">
        <f>Sub_pe6</f>
        <v>0</v>
      </c>
      <c r="D77" s="1">
        <f>Sub_eq6</f>
        <v>0</v>
      </c>
      <c r="E77" s="1">
        <f>Sub_trans6</f>
        <v>0</v>
      </c>
      <c r="F77" s="1">
        <f>SUM(Tabla97[[#This Row],[SUBTOTAL PERSONAL]:[SUBTOTAL TRANSPORTE]])</f>
        <v>0</v>
      </c>
      <c r="G77" s="1"/>
    </row>
    <row r="78" spans="1:177" x14ac:dyDescent="0.3">
      <c r="B78" s="18">
        <v>7</v>
      </c>
      <c r="C78" s="1">
        <f>Sub_pe7</f>
        <v>0</v>
      </c>
      <c r="D78" s="1">
        <f>Sub_eq7</f>
        <v>0</v>
      </c>
      <c r="E78" s="1">
        <f>Sub_trans7</f>
        <v>0</v>
      </c>
      <c r="F78" s="1">
        <f>SUM(Tabla97[[#This Row],[SUBTOTAL PERSONAL]:[SUBTOTAL TRANSPORTE]])</f>
        <v>0</v>
      </c>
      <c r="G78" s="1"/>
    </row>
    <row r="79" spans="1:177" x14ac:dyDescent="0.3">
      <c r="B79" s="18">
        <v>8</v>
      </c>
      <c r="C79" s="1">
        <f>Sub_pe8</f>
        <v>0</v>
      </c>
      <c r="D79" s="1">
        <f>Sub_eq8</f>
        <v>0</v>
      </c>
      <c r="E79" s="1">
        <f>Sub_trans8</f>
        <v>0</v>
      </c>
      <c r="F79" s="1">
        <f>SUM(Tabla97[[#This Row],[SUBTOTAL PERSONAL]:[SUBTOTAL TRANSPORTE]])</f>
        <v>0</v>
      </c>
      <c r="G79" s="1"/>
    </row>
    <row r="80" spans="1:177" x14ac:dyDescent="0.3">
      <c r="B80" s="18">
        <v>9</v>
      </c>
      <c r="C80" s="1">
        <f>Sub_pe9</f>
        <v>0</v>
      </c>
      <c r="D80" s="1">
        <f>Sub_eq9</f>
        <v>0</v>
      </c>
      <c r="E80" s="1">
        <f>Sub_trans9</f>
        <v>0</v>
      </c>
      <c r="F80" s="1">
        <f>SUM(Tabla97[[#This Row],[SUBTOTAL PERSONAL]:[SUBTOTAL TRANSPORTE]])</f>
        <v>0</v>
      </c>
      <c r="G80" s="1"/>
    </row>
    <row r="81" spans="2:8" x14ac:dyDescent="0.3">
      <c r="B81" s="18">
        <v>10</v>
      </c>
      <c r="C81" s="1">
        <f>Sub_pe10</f>
        <v>0</v>
      </c>
      <c r="D81" s="1">
        <f>Sub_eq10</f>
        <v>0</v>
      </c>
      <c r="E81" s="1">
        <f>Sub_trans10</f>
        <v>0</v>
      </c>
      <c r="F81" s="1">
        <f>SUM(Tabla97[[#This Row],[SUBTOTAL PERSONAL]:[SUBTOTAL TRANSPORTE]])</f>
        <v>0</v>
      </c>
      <c r="G81" s="1"/>
    </row>
    <row r="82" spans="2:8" x14ac:dyDescent="0.3">
      <c r="B82" s="18">
        <v>11</v>
      </c>
      <c r="C82" s="1">
        <f>Sub_pe11</f>
        <v>0</v>
      </c>
      <c r="D82" s="1">
        <f>Sub_eq11</f>
        <v>0</v>
      </c>
      <c r="E82" s="1">
        <f>Sub_trans11</f>
        <v>0</v>
      </c>
      <c r="F82" s="1">
        <f>SUM(Tabla97[[#This Row],[SUBTOTAL PERSONAL]:[SUBTOTAL TRANSPORTE]])</f>
        <v>0</v>
      </c>
      <c r="G82" s="1"/>
    </row>
    <row r="83" spans="2:8" x14ac:dyDescent="0.3">
      <c r="B83" s="18">
        <v>12</v>
      </c>
      <c r="C83" s="1">
        <f>Sub_pe12</f>
        <v>0</v>
      </c>
      <c r="D83" s="1">
        <f>Sub_eq12</f>
        <v>0</v>
      </c>
      <c r="E83" s="1">
        <f>Sub_trans12</f>
        <v>0</v>
      </c>
      <c r="F83" s="1">
        <f>SUM(Tabla97[[#This Row],[SUBTOTAL PERSONAL]:[SUBTOTAL TRANSPORTE]])</f>
        <v>0</v>
      </c>
      <c r="G83" s="1"/>
    </row>
    <row r="84" spans="2:8" x14ac:dyDescent="0.3">
      <c r="B84" s="18">
        <v>13</v>
      </c>
      <c r="C84" s="1">
        <f>Sub_pe13</f>
        <v>0</v>
      </c>
      <c r="D84" s="1">
        <f>Sub_eq13</f>
        <v>0</v>
      </c>
      <c r="E84" s="1">
        <f>Sub_trans13</f>
        <v>0</v>
      </c>
      <c r="F84" s="1">
        <f>SUM(Tabla97[[#This Row],[SUBTOTAL PERSONAL]:[SUBTOTAL TRANSPORTE]])</f>
        <v>0</v>
      </c>
      <c r="G84" s="1"/>
    </row>
    <row r="85" spans="2:8" x14ac:dyDescent="0.3">
      <c r="B85" s="18">
        <v>14</v>
      </c>
      <c r="C85" s="1">
        <f>Sub_pe14</f>
        <v>0</v>
      </c>
      <c r="D85" s="1">
        <f>Sub_eq14</f>
        <v>0</v>
      </c>
      <c r="E85" s="1">
        <f>Sub_trans14</f>
        <v>0</v>
      </c>
      <c r="F85" s="1">
        <f>SUM(Tabla97[[#This Row],[SUBTOTAL PERSONAL]:[SUBTOTAL TRANSPORTE]])</f>
        <v>0</v>
      </c>
      <c r="G85" s="1"/>
    </row>
    <row r="86" spans="2:8" x14ac:dyDescent="0.3">
      <c r="B86" s="18">
        <v>15</v>
      </c>
      <c r="C86" s="1">
        <f>Sub_pe15</f>
        <v>0</v>
      </c>
      <c r="D86" s="1">
        <f>Sub_eq15</f>
        <v>0</v>
      </c>
      <c r="E86" s="1">
        <f>Sub_trans15</f>
        <v>0</v>
      </c>
      <c r="F86" s="1">
        <f>SUM(Tabla97[[#This Row],[SUBTOTAL PERSONAL]:[SUBTOTAL TRANSPORTE]])</f>
        <v>0</v>
      </c>
      <c r="G86" s="1"/>
    </row>
    <row r="87" spans="2:8" x14ac:dyDescent="0.3">
      <c r="B87" s="18">
        <v>16</v>
      </c>
      <c r="C87" s="1">
        <f>Sub_pe16</f>
        <v>0</v>
      </c>
      <c r="D87" s="1">
        <f>Sub_eq16</f>
        <v>0</v>
      </c>
      <c r="E87" s="1">
        <f>Sub_trans16</f>
        <v>0</v>
      </c>
      <c r="F87" s="1">
        <f>SUM(Tabla97[[#This Row],[SUBTOTAL PERSONAL]:[SUBTOTAL TRANSPORTE]])</f>
        <v>0</v>
      </c>
      <c r="G87" s="1"/>
    </row>
    <row r="88" spans="2:8" x14ac:dyDescent="0.3">
      <c r="B88" s="18">
        <v>17</v>
      </c>
      <c r="C88" s="1">
        <f>Sub_pe17</f>
        <v>0</v>
      </c>
      <c r="D88" s="1">
        <f>Sub_eq17</f>
        <v>0</v>
      </c>
      <c r="E88" s="1">
        <f>Sub_trans17</f>
        <v>0</v>
      </c>
      <c r="F88" s="1">
        <f>SUM(Tabla97[[#This Row],[SUBTOTAL PERSONAL]:[SUBTOTAL TRANSPORTE]])</f>
        <v>0</v>
      </c>
      <c r="G88" s="1"/>
    </row>
    <row r="89" spans="2:8" x14ac:dyDescent="0.3">
      <c r="B89" s="18">
        <v>18</v>
      </c>
      <c r="C89" s="1">
        <f>Sub_pe18</f>
        <v>0</v>
      </c>
      <c r="D89" s="1">
        <f>Sub_eq18</f>
        <v>0</v>
      </c>
      <c r="E89" s="1">
        <f>Sub_trans18</f>
        <v>0</v>
      </c>
      <c r="F89" s="1">
        <f>SUM(Tabla97[[#This Row],[SUBTOTAL PERSONAL]:[SUBTOTAL TRANSPORTE]])</f>
        <v>0</v>
      </c>
      <c r="G89" s="1"/>
    </row>
    <row r="90" spans="2:8" ht="17.25" thickBot="1" x14ac:dyDescent="0.35">
      <c r="B90" s="281" t="s">
        <v>47</v>
      </c>
      <c r="C90" s="1">
        <f>SUBTOTAL(109,C72:C89)</f>
        <v>323808000</v>
      </c>
      <c r="D90" s="1">
        <f>SUBTOTAL(109,D72:D89)</f>
        <v>216404800</v>
      </c>
      <c r="E90" s="1">
        <f>SUBTOTAL(109,E72:E89)</f>
        <v>8400000</v>
      </c>
      <c r="F90" s="16">
        <f>SUM(F72:F89)</f>
        <v>548612800</v>
      </c>
      <c r="G90" s="19">
        <f>Tabla97[[#This Row],[TOTAL MES]]/C106</f>
        <v>0.10692703634848712</v>
      </c>
    </row>
    <row r="91" spans="2:8" x14ac:dyDescent="0.3">
      <c r="B91" s="4"/>
      <c r="C91" s="1"/>
      <c r="D91" s="1"/>
      <c r="E91" s="1"/>
      <c r="F91" s="1"/>
      <c r="H91" s="294">
        <f>F90/5000000000</f>
        <v>0.10972256</v>
      </c>
    </row>
    <row r="93" spans="2:8" x14ac:dyDescent="0.3">
      <c r="B93" s="557" t="s">
        <v>48</v>
      </c>
      <c r="C93" s="557"/>
      <c r="D93" s="557"/>
      <c r="E93" s="557"/>
    </row>
    <row r="94" spans="2:8" x14ac:dyDescent="0.3">
      <c r="B94" t="s">
        <v>49</v>
      </c>
      <c r="C94" t="s">
        <v>50</v>
      </c>
      <c r="D94" t="s">
        <v>51</v>
      </c>
      <c r="E94" t="s">
        <v>52</v>
      </c>
    </row>
    <row r="95" spans="2:8" x14ac:dyDescent="0.3">
      <c r="B95" t="s">
        <v>185</v>
      </c>
      <c r="C95" s="1">
        <v>5130721085.4700003</v>
      </c>
      <c r="D95" s="19"/>
      <c r="E95" s="1">
        <f>IF(Tabla100[[#This Row],[VALOR BASE LIQUIDACION]]="","",Tabla100[[#This Row],[TARIFA]]*Tabla100[[#This Row],[VALOR BASE LIQUIDACION]])</f>
        <v>0</v>
      </c>
    </row>
    <row r="96" spans="2:8" x14ac:dyDescent="0.3">
      <c r="B96" t="s">
        <v>186</v>
      </c>
      <c r="C96" s="1">
        <v>5130721085.4700003</v>
      </c>
      <c r="D96" s="19"/>
      <c r="E96" s="1">
        <f>IF(Tabla100[[#This Row],[VALOR BASE LIQUIDACION]]="","",Tabla100[[#This Row],[TARIFA]]*Tabla100[[#This Row],[VALOR BASE LIQUIDACION]])</f>
        <v>0</v>
      </c>
    </row>
    <row r="97" spans="2:7" x14ac:dyDescent="0.3">
      <c r="B97" t="s">
        <v>187</v>
      </c>
      <c r="C97" s="1">
        <v>5130721085.4700003</v>
      </c>
      <c r="D97" s="19"/>
      <c r="E97" s="1">
        <f>IF(Tabla100[[#This Row],[VALOR BASE LIQUIDACION]]="","",Tabla100[[#This Row],[TARIFA]]*Tabla100[[#This Row],[VALOR BASE LIQUIDACION]])</f>
        <v>0</v>
      </c>
    </row>
    <row r="98" spans="2:7" x14ac:dyDescent="0.3">
      <c r="B98" t="s">
        <v>188</v>
      </c>
      <c r="C98" s="1">
        <v>5130721085.4700003</v>
      </c>
      <c r="D98" s="19"/>
      <c r="E98" s="1">
        <f>IF(Tabla100[[#This Row],[VALOR BASE LIQUIDACION]]="","",Tabla100[[#This Row],[TARIFA]]*Tabla100[[#This Row],[VALOR BASE LIQUIDACION]])</f>
        <v>0</v>
      </c>
    </row>
    <row r="99" spans="2:7" x14ac:dyDescent="0.3">
      <c r="C99" s="1"/>
      <c r="D99" s="19"/>
      <c r="E99" s="1" t="str">
        <f>IF(Tabla100[[#This Row],[VALOR BASE LIQUIDACION]]="","",Tabla100[[#This Row],[TARIFA]]*Tabla100[[#This Row],[VALOR BASE LIQUIDACION]])</f>
        <v/>
      </c>
    </row>
    <row r="100" spans="2:7" ht="17.25" thickBot="1" x14ac:dyDescent="0.35">
      <c r="B100" s="554" t="s">
        <v>167</v>
      </c>
      <c r="C100" s="555"/>
      <c r="D100" s="555"/>
      <c r="E100" s="16">
        <f>SUBTOTAL(109,Tabla100[VALOR TOTAL])</f>
        <v>0</v>
      </c>
    </row>
    <row r="103" spans="2:7" x14ac:dyDescent="0.3">
      <c r="B103" s="558" t="s">
        <v>53</v>
      </c>
      <c r="C103" s="558"/>
      <c r="D103" s="558"/>
      <c r="E103" s="558"/>
      <c r="F103" s="558"/>
      <c r="G103" s="558"/>
    </row>
    <row r="104" spans="2:7" x14ac:dyDescent="0.3">
      <c r="B104" t="s">
        <v>54</v>
      </c>
      <c r="C104" t="s">
        <v>55</v>
      </c>
      <c r="D104" t="s">
        <v>56</v>
      </c>
      <c r="E104" t="s">
        <v>57</v>
      </c>
      <c r="F104" t="s">
        <v>58</v>
      </c>
      <c r="G104" t="s">
        <v>52</v>
      </c>
    </row>
    <row r="105" spans="2:7" x14ac:dyDescent="0.3">
      <c r="B105" t="s">
        <v>191</v>
      </c>
      <c r="C105" s="1">
        <v>5130721085.4700003</v>
      </c>
      <c r="D105" s="138">
        <v>0.1</v>
      </c>
      <c r="E105" s="45">
        <v>11</v>
      </c>
      <c r="F105" s="138">
        <v>4.0000000000000001E-3</v>
      </c>
      <c r="G105" s="1">
        <f>IF(Tabla101[[#This Row],[VALOR BASE LIQUIDACIÓN]]="","",Tabla101[[#This Row],[VALOR BASE LIQUIDACIÓN]]*Tabla101[[#This Row],[% ASEGURADO]]*(Tabla101[[#This Row],[VIGENCIA (MES)]]/12)*Tabla101[[#This Row],[TASA]]*1.19)</f>
        <v>2238704.6336267432</v>
      </c>
    </row>
    <row r="106" spans="2:7" x14ac:dyDescent="0.3">
      <c r="B106" t="s">
        <v>192</v>
      </c>
      <c r="C106" s="1">
        <v>5130721085.4700003</v>
      </c>
      <c r="D106" s="138">
        <v>0.1</v>
      </c>
      <c r="E106" s="45">
        <v>11</v>
      </c>
      <c r="F106" s="138">
        <v>4.0000000000000001E-3</v>
      </c>
      <c r="G106" s="1">
        <f>IF(Tabla101[[#This Row],[VALOR BASE LIQUIDACIÓN]]="","",Tabla101[[#This Row],[VALOR BASE LIQUIDACIÓN]]*Tabla101[[#This Row],[% ASEGURADO]]*(Tabla101[[#This Row],[VIGENCIA (MES)]]/12)*Tabla101[[#This Row],[TASA]]*1.19)</f>
        <v>2238704.6336267432</v>
      </c>
    </row>
    <row r="107" spans="2:7" x14ac:dyDescent="0.3">
      <c r="B107" t="s">
        <v>193</v>
      </c>
      <c r="C107" s="1">
        <v>5130721085.4700003</v>
      </c>
      <c r="D107" s="138">
        <v>0.1</v>
      </c>
      <c r="E107" s="45">
        <v>11</v>
      </c>
      <c r="F107" s="138">
        <v>3.0000000000000001E-3</v>
      </c>
      <c r="G107" s="1">
        <f>IF(Tabla101[[#This Row],[VALOR BASE LIQUIDACIÓN]]="","",Tabla101[[#This Row],[VALOR BASE LIQUIDACIÓN]]*Tabla101[[#This Row],[% ASEGURADO]]*(Tabla101[[#This Row],[VIGENCIA (MES)]]/12)*Tabla101[[#This Row],[TASA]]*1.19)</f>
        <v>1679028.4752200576</v>
      </c>
    </row>
    <row r="108" spans="2:7" x14ac:dyDescent="0.3">
      <c r="B108" t="s">
        <v>194</v>
      </c>
      <c r="C108" s="1">
        <v>5130721085.4700003</v>
      </c>
      <c r="D108" s="138">
        <v>0.1</v>
      </c>
      <c r="E108" s="45">
        <v>11</v>
      </c>
      <c r="F108" s="138">
        <v>4.0000000000000001E-3</v>
      </c>
      <c r="G108" s="1">
        <f>IF(Tabla101[[#This Row],[VALOR BASE LIQUIDACIÓN]]="","",Tabla101[[#This Row],[VALOR BASE LIQUIDACIÓN]]*Tabla101[[#This Row],[% ASEGURADO]]*(Tabla101[[#This Row],[VIGENCIA (MES)]]/12)*Tabla101[[#This Row],[TASA]]*1.19)</f>
        <v>2238704.6336267432</v>
      </c>
    </row>
    <row r="109" spans="2:7" x14ac:dyDescent="0.3">
      <c r="B109" t="s">
        <v>195</v>
      </c>
      <c r="C109" s="1">
        <v>5130721085.4700003</v>
      </c>
      <c r="D109" s="138">
        <v>0.15</v>
      </c>
      <c r="E109" s="45">
        <v>11</v>
      </c>
      <c r="F109" s="138">
        <v>4.0000000000000001E-3</v>
      </c>
      <c r="G109" s="1">
        <f>IF(Tabla101[[#This Row],[VALOR BASE LIQUIDACIÓN]]="","",Tabla101[[#This Row],[VALOR BASE LIQUIDACIÓN]]*Tabla101[[#This Row],[% ASEGURADO]]*(Tabla101[[#This Row],[VIGENCIA (MES)]]/12)*Tabla101[[#This Row],[TASA]]*1.19)</f>
        <v>3358056.9504401153</v>
      </c>
    </row>
    <row r="110" spans="2:7" ht="17.25" thickBot="1" x14ac:dyDescent="0.35">
      <c r="B110" s="554" t="s">
        <v>166</v>
      </c>
      <c r="C110" s="555"/>
      <c r="D110" s="555"/>
      <c r="E110" s="555"/>
      <c r="F110" s="555"/>
      <c r="G110" s="16">
        <f>SUBTOTAL(109,Tabla101[VALOR TOTAL])</f>
        <v>11753199.326540403</v>
      </c>
    </row>
    <row r="115" spans="2:9" ht="17.25" thickBot="1" x14ac:dyDescent="0.35"/>
    <row r="116" spans="2:9" ht="37.15" customHeight="1" thickBot="1" x14ac:dyDescent="0.6">
      <c r="B116" s="559" t="s">
        <v>111</v>
      </c>
      <c r="C116" s="560"/>
      <c r="D116" s="560"/>
      <c r="E116" s="141">
        <f>G110+E100+F90</f>
        <v>560365999.32654035</v>
      </c>
      <c r="F116" s="418">
        <f>TOTAL_ADMINISTRACION/C109</f>
        <v>0.10921778634848711</v>
      </c>
      <c r="G116" s="334"/>
      <c r="I116" s="294"/>
    </row>
  </sheetData>
  <mergeCells count="118">
    <mergeCell ref="B116:D116"/>
    <mergeCell ref="B110:F110"/>
    <mergeCell ref="B100:D100"/>
    <mergeCell ref="FP67:FR67"/>
    <mergeCell ref="B93:E93"/>
    <mergeCell ref="B103:G103"/>
    <mergeCell ref="DH67:DJ67"/>
    <mergeCell ref="DR67:DT67"/>
    <mergeCell ref="EB67:ED67"/>
    <mergeCell ref="EL67:EN67"/>
    <mergeCell ref="EV67:EX67"/>
    <mergeCell ref="FF67:FH67"/>
    <mergeCell ref="AZ67:BB67"/>
    <mergeCell ref="BJ67:BL67"/>
    <mergeCell ref="BT67:BV67"/>
    <mergeCell ref="CD67:CF67"/>
    <mergeCell ref="CN67:CP67"/>
    <mergeCell ref="CX67:CZ67"/>
    <mergeCell ref="B70:F70"/>
    <mergeCell ref="FN10:FS10"/>
    <mergeCell ref="FT10:FU10"/>
    <mergeCell ref="FN11:FU11"/>
    <mergeCell ref="FO35:FS35"/>
    <mergeCell ref="FN59:FT59"/>
    <mergeCell ref="C67:E67"/>
    <mergeCell ref="M71:O71"/>
    <mergeCell ref="W71:Y71"/>
    <mergeCell ref="AF71:AH71"/>
    <mergeCell ref="AP67:AR67"/>
    <mergeCell ref="EZ10:FA10"/>
    <mergeCell ref="ET11:FA11"/>
    <mergeCell ref="EU35:EY35"/>
    <mergeCell ref="ET59:EZ59"/>
    <mergeCell ref="FD10:FI10"/>
    <mergeCell ref="FJ10:FK10"/>
    <mergeCell ref="FD11:FK11"/>
    <mergeCell ref="FE35:FI35"/>
    <mergeCell ref="FD59:FJ59"/>
    <mergeCell ref="EJ10:EO10"/>
    <mergeCell ref="EP10:EQ10"/>
    <mergeCell ref="EJ11:EQ11"/>
    <mergeCell ref="EK35:EO35"/>
    <mergeCell ref="EJ59:EP59"/>
    <mergeCell ref="ET10:EY10"/>
    <mergeCell ref="DV10:DW10"/>
    <mergeCell ref="DP11:DW11"/>
    <mergeCell ref="DQ35:DU35"/>
    <mergeCell ref="DP59:DV59"/>
    <mergeCell ref="DZ10:EE10"/>
    <mergeCell ref="EF10:EG10"/>
    <mergeCell ref="DZ11:EG11"/>
    <mergeCell ref="EA35:EE35"/>
    <mergeCell ref="DZ59:EF59"/>
    <mergeCell ref="DP10:DU10"/>
    <mergeCell ref="CV10:DA10"/>
    <mergeCell ref="DB10:DC10"/>
    <mergeCell ref="CV11:DC11"/>
    <mergeCell ref="CW35:DA35"/>
    <mergeCell ref="CV59:DB59"/>
    <mergeCell ref="DF10:DK10"/>
    <mergeCell ref="DF11:DM11"/>
    <mergeCell ref="DG35:DK35"/>
    <mergeCell ref="DF59:DL59"/>
    <mergeCell ref="DL10:DM10"/>
    <mergeCell ref="CB59:CH59"/>
    <mergeCell ref="CL10:CQ10"/>
    <mergeCell ref="CR10:CS10"/>
    <mergeCell ref="CL11:CS11"/>
    <mergeCell ref="CM35:CQ35"/>
    <mergeCell ref="CL59:CR59"/>
    <mergeCell ref="BN10:BO10"/>
    <mergeCell ref="BH11:BO11"/>
    <mergeCell ref="BI35:BM35"/>
    <mergeCell ref="BH59:BN59"/>
    <mergeCell ref="BR10:BW10"/>
    <mergeCell ref="BX10:BY10"/>
    <mergeCell ref="BR11:BY11"/>
    <mergeCell ref="BS35:BW35"/>
    <mergeCell ref="BR59:BX59"/>
    <mergeCell ref="CH10:CI10"/>
    <mergeCell ref="CB11:CI11"/>
    <mergeCell ref="CB10:CG10"/>
    <mergeCell ref="CC35:CG35"/>
    <mergeCell ref="BH10:BM10"/>
    <mergeCell ref="B1:I1"/>
    <mergeCell ref="B2:I2"/>
    <mergeCell ref="B3:I3"/>
    <mergeCell ref="A4:I4"/>
    <mergeCell ref="AD11:AK11"/>
    <mergeCell ref="U10:Z10"/>
    <mergeCell ref="AA10:AB10"/>
    <mergeCell ref="A11:H11"/>
    <mergeCell ref="AX59:BD59"/>
    <mergeCell ref="BD10:BE10"/>
    <mergeCell ref="AN11:AU11"/>
    <mergeCell ref="AO35:AS35"/>
    <mergeCell ref="AN59:AT59"/>
    <mergeCell ref="AD10:AI10"/>
    <mergeCell ref="AJ10:AK10"/>
    <mergeCell ref="K11:R11"/>
    <mergeCell ref="L35:P35"/>
    <mergeCell ref="K63:Q63"/>
    <mergeCell ref="U11:AB11"/>
    <mergeCell ref="V35:Z35"/>
    <mergeCell ref="AN10:AS10"/>
    <mergeCell ref="AT10:AU10"/>
    <mergeCell ref="AX10:BC10"/>
    <mergeCell ref="U63:AA63"/>
    <mergeCell ref="A59:G59"/>
    <mergeCell ref="B6:E8"/>
    <mergeCell ref="AE35:AI35"/>
    <mergeCell ref="AD63:AJ63"/>
    <mergeCell ref="A10:F10"/>
    <mergeCell ref="G10:H10"/>
    <mergeCell ref="K10:P10"/>
    <mergeCell ref="Q10:R10"/>
    <mergeCell ref="AX11:BE11"/>
    <mergeCell ref="AY35:BC35"/>
  </mergeCells>
  <phoneticPr fontId="42" type="noConversion"/>
  <dataValidations count="3">
    <dataValidation type="list" allowBlank="1" showInputMessage="1" showErrorMessage="1" sqref="FE13:FE34 AO13:AO34 B13:B34 AE13:AE34 L13:L34 FO13:FO34 AY13:AY34 BI13:BI34 BS13:BS34 CC13:CC34 CM13:CM34 CW13:CW34 DG13:DG34 DQ13:DQ34 EA13:EA34 EK13:EK34 EU13:EU34 V13:V34" xr:uid="{DFB09F94-2BB2-4463-90F0-1E62A1D1BADF}">
      <formula1>L_PERSONAL</formula1>
    </dataValidation>
    <dataValidation type="list" allowBlank="1" showInputMessage="1" showErrorMessage="1" sqref="AN40:AN58 FD40:FD58 A40:A58 FN40:FN58 AX40:AX58 BH40:BH58 BR40:BR58 CB40:CB58 CL40:CL58 CV40:CV58 DF40:DF58 DP40:DP58 DZ40:DZ58 EJ40:EJ58 ET40:ET58 K40:K62 AD40:AD62 U40:U62" xr:uid="{787575B5-5366-4167-989D-7D57E076CB23}">
      <formula1>LISTA_MAQUINARIA</formula1>
    </dataValidation>
    <dataValidation type="list" allowBlank="1" showInputMessage="1" showErrorMessage="1" sqref="G10 Q10 AA10 AJ10 AT10 BD10 BN10 BX10 CH10 CR10 DB10 DL10 DV10 EF10 EP10 EZ10 FJ10 FT10" xr:uid="{2DE8A7DF-FBDB-45D3-BE75-279E81223BBA}">
      <formula1>"1,2,3,4,5,6,7,8,9,10,11,12,13,14,15,16,17,18,"</formula1>
    </dataValidation>
  </dataValidations>
  <hyperlinks>
    <hyperlink ref="B72" location="ADMINISTRACION!G5" display="ADMINISTRACION!G5" xr:uid="{C67387FE-0696-4568-94F1-E7CCDDD2A297}"/>
    <hyperlink ref="B73" location="ADMINISTRACION!Q5" display="ADMINISTRACION!Q5" xr:uid="{B77221C0-1580-48C9-B2F7-DDE6DC59AA54}"/>
    <hyperlink ref="B74" location="ADMINISTRACION!AA5" display="ADMINISTRACION!AA5" xr:uid="{16BA5FA9-DB5C-471B-B44B-C17CD41C98A6}"/>
    <hyperlink ref="B75" location="ADMINISTRACION!AJ5" display="ADMINISTRACION!AJ5" xr:uid="{09FAE687-B8B1-46DF-A41B-3238FA7B06A9}"/>
    <hyperlink ref="B76" location="ADMINISTRACION!AT5" display="ADMINISTRACION!AT5" xr:uid="{29CDFCBF-A906-4394-8860-AB7ABF664B2A}"/>
    <hyperlink ref="B77" location="ADMINISTRACION!BD5" display="ADMINISTRACION!BD5" xr:uid="{D0199CF5-CEC0-4FE9-B446-0130CC87FB6D}"/>
    <hyperlink ref="B78" location="ADMINISTRACION!BN5" display="ADMINISTRACION!BN5" xr:uid="{A8C2575C-EC8E-4F62-BC88-3D5D9B1F0473}"/>
    <hyperlink ref="B79" location="ADMINISTRACION!BX5" display="ADMINISTRACION!BX5" xr:uid="{B88A8FF5-5E34-4629-AB71-ECFB366734EE}"/>
    <hyperlink ref="B80" location="ADMINISTRACION!CH5" display="ADMINISTRACION!CH5" xr:uid="{83C48726-A2F7-40F1-8E56-41EF80E5A3DC}"/>
    <hyperlink ref="B81" location="ADMINISTRACION!CR5" display="ADMINISTRACION!CR5" xr:uid="{84443B68-A0D2-4328-B2AE-AEE4040BBD38}"/>
    <hyperlink ref="B82" location="ADMINISTRACION!DB5" display="ADMINISTRACION!DB5" xr:uid="{8AB00A85-FD0E-4B64-A3AA-04C1CF78359A}"/>
    <hyperlink ref="B83" location="ADMINISTRACION!DL5" display="ADMINISTRACION!DL5" xr:uid="{8418C1C9-6B39-4488-A1D2-D3407136BB69}"/>
    <hyperlink ref="B84" location="ADMINISTRACION!DV5" display="ADMINISTRACION!DV5" xr:uid="{67DF7D37-7C8C-490E-8A07-66D707F33359}"/>
    <hyperlink ref="B85" location="ADMINISTRACION!EF5" display="ADMINISTRACION!EF5" xr:uid="{84DBC5BF-105D-42A3-ABCF-A87B995C25CE}"/>
    <hyperlink ref="B86" location="ADMINISTRACION!EP5" display="ADMINISTRACION!EP5" xr:uid="{30B81A00-6D4A-43D7-9BFB-9EEDBB9C5CCC}"/>
    <hyperlink ref="B87" location="ADMINISTRACION!EZ5" display="ADMINISTRACION!EZ5" xr:uid="{ACBA2EAE-1780-43BC-BBD0-E648718D3C6D}"/>
    <hyperlink ref="B88" location="ADMINISTRACION!FJ5" display="ADMINISTRACION!FJ5" xr:uid="{47C1DE51-7909-4FA0-BD13-3E8173423918}"/>
    <hyperlink ref="B89" location="ADMINISTRACION!FT5" display="ADMINISTRACION!FT5" xr:uid="{A2A956D7-A577-475D-9F2F-3B715F61F877}"/>
  </hyperlinks>
  <pageMargins left="0.7" right="0.7" top="0.75" bottom="0.75" header="0.3" footer="0.3"/>
  <drawing r:id="rId1"/>
  <legacyDrawing r:id="rId2"/>
  <tableParts count="57">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 r:id="rId38"/>
    <tablePart r:id="rId39"/>
    <tablePart r:id="rId40"/>
    <tablePart r:id="rId41"/>
    <tablePart r:id="rId42"/>
    <tablePart r:id="rId43"/>
    <tablePart r:id="rId44"/>
    <tablePart r:id="rId45"/>
    <tablePart r:id="rId46"/>
    <tablePart r:id="rId47"/>
    <tablePart r:id="rId48"/>
    <tablePart r:id="rId49"/>
    <tablePart r:id="rId50"/>
    <tablePart r:id="rId51"/>
    <tablePart r:id="rId52"/>
    <tablePart r:id="rId53"/>
    <tablePart r:id="rId54"/>
    <tablePart r:id="rId55"/>
    <tablePart r:id="rId56"/>
    <tablePart r:id="rId57"/>
    <tablePart r:id="rId58"/>
    <tablePart r:id="rId59"/>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5CAAF-C673-4180-B757-3601477BE8F0}">
  <sheetPr codeName="Hoja9"/>
  <dimension ref="A1:O93"/>
  <sheetViews>
    <sheetView zoomScale="40" zoomScaleNormal="40" zoomScaleSheetLayoutView="50" workbookViewId="0">
      <selection activeCell="B17" sqref="B17"/>
    </sheetView>
  </sheetViews>
  <sheetFormatPr defaultColWidth="11" defaultRowHeight="16.5" x14ac:dyDescent="0.3"/>
  <cols>
    <col min="1" max="1" width="26.25" bestFit="1" customWidth="1"/>
    <col min="2" max="2" width="32.625" bestFit="1" customWidth="1"/>
    <col min="3" max="3" width="19.375" bestFit="1" customWidth="1"/>
    <col min="4" max="4" width="38.125" bestFit="1" customWidth="1"/>
    <col min="5" max="5" width="23.375" bestFit="1" customWidth="1"/>
    <col min="6" max="6" width="25.375" bestFit="1" customWidth="1"/>
    <col min="7" max="7" width="12.625" bestFit="1" customWidth="1"/>
    <col min="8" max="8" width="24.375" bestFit="1" customWidth="1"/>
    <col min="9" max="9" width="13.375" bestFit="1" customWidth="1"/>
    <col min="10" max="10" width="24.375" bestFit="1" customWidth="1"/>
    <col min="11" max="11" width="14.375" bestFit="1" customWidth="1"/>
    <col min="12" max="12" width="6.375" bestFit="1" customWidth="1"/>
    <col min="13" max="14" width="24.375" bestFit="1" customWidth="1"/>
    <col min="15" max="16" width="6.375" bestFit="1" customWidth="1"/>
    <col min="17" max="17" width="12.625" bestFit="1" customWidth="1"/>
    <col min="18" max="19" width="24.375" bestFit="1" customWidth="1"/>
    <col min="20" max="20" width="23.375" bestFit="1" customWidth="1"/>
    <col min="21" max="23" width="6.375" bestFit="1" customWidth="1"/>
    <col min="24" max="24" width="12.625" bestFit="1" customWidth="1"/>
    <col min="25" max="78" width="23.375" bestFit="1" customWidth="1"/>
    <col min="79" max="79" width="12.625" bestFit="1" customWidth="1"/>
    <col min="80" max="80" width="11" bestFit="1" customWidth="1"/>
    <col min="81" max="81" width="16.375" bestFit="1" customWidth="1"/>
  </cols>
  <sheetData>
    <row r="1" spans="1:15" ht="35.25" customHeight="1" thickBot="1" x14ac:dyDescent="0.35">
      <c r="A1" s="561" t="s">
        <v>172</v>
      </c>
      <c r="B1" s="562"/>
      <c r="C1" s="562"/>
      <c r="D1" s="562"/>
      <c r="E1" s="562"/>
      <c r="F1" s="562"/>
      <c r="G1" s="562"/>
      <c r="H1" s="562"/>
      <c r="I1" s="562"/>
      <c r="J1" s="562"/>
      <c r="K1" s="562"/>
      <c r="L1" s="562"/>
      <c r="M1" s="562"/>
      <c r="N1" s="562"/>
      <c r="O1" s="563"/>
    </row>
    <row r="2" spans="1:15" ht="17.25" thickBot="1" x14ac:dyDescent="0.35">
      <c r="A2" s="104" t="s">
        <v>59</v>
      </c>
      <c r="B2" s="105" t="s">
        <v>157</v>
      </c>
      <c r="O2" s="11"/>
    </row>
    <row r="3" spans="1:15" ht="17.25" thickBot="1" x14ac:dyDescent="0.35">
      <c r="A3" s="9"/>
      <c r="O3" s="11"/>
    </row>
    <row r="4" spans="1:15" ht="17.25" thickBot="1" x14ac:dyDescent="0.35">
      <c r="A4" s="109" t="s">
        <v>158</v>
      </c>
      <c r="B4" s="113"/>
      <c r="O4" s="11"/>
    </row>
    <row r="5" spans="1:15" x14ac:dyDescent="0.3">
      <c r="A5" s="110" t="s">
        <v>153</v>
      </c>
      <c r="B5" s="106">
        <v>3206131451.313168</v>
      </c>
      <c r="O5" s="11"/>
    </row>
    <row r="6" spans="1:15" x14ac:dyDescent="0.3">
      <c r="A6" s="111" t="s">
        <v>154</v>
      </c>
      <c r="B6" s="107">
        <v>510474929.9699856</v>
      </c>
      <c r="O6" s="11"/>
    </row>
    <row r="7" spans="1:15" x14ac:dyDescent="0.3">
      <c r="A7" s="111" t="s">
        <v>155</v>
      </c>
      <c r="B7" s="107">
        <v>12642530228.837402</v>
      </c>
      <c r="O7" s="11"/>
    </row>
    <row r="8" spans="1:15" ht="17.25" thickBot="1" x14ac:dyDescent="0.35">
      <c r="A8" s="112" t="s">
        <v>156</v>
      </c>
      <c r="B8" s="108">
        <v>16894469400.35409</v>
      </c>
      <c r="O8" s="11"/>
    </row>
    <row r="9" spans="1:15" ht="17.25" thickBot="1" x14ac:dyDescent="0.35">
      <c r="A9" s="9"/>
      <c r="O9" s="11"/>
    </row>
    <row r="10" spans="1:15" ht="17.25" thickBot="1" x14ac:dyDescent="0.35">
      <c r="A10" s="144" t="e">
        <f>+_xlfn.XLOOKUP($C$11,ITEM,DESCRIP_ITEM,,0,1)</f>
        <v>#N/A</v>
      </c>
      <c r="O10" s="11"/>
    </row>
    <row r="11" spans="1:15" ht="17.25" thickBot="1" x14ac:dyDescent="0.35">
      <c r="A11" s="9"/>
      <c r="B11" s="104" t="s">
        <v>59</v>
      </c>
      <c r="C11" s="105" t="s">
        <v>157</v>
      </c>
      <c r="O11" s="11"/>
    </row>
    <row r="12" spans="1:15" ht="17.25" thickBot="1" x14ac:dyDescent="0.35">
      <c r="A12" s="9"/>
      <c r="O12" s="11"/>
    </row>
    <row r="13" spans="1:15" ht="17.25" thickBot="1" x14ac:dyDescent="0.35">
      <c r="A13" s="9"/>
      <c r="B13" s="109" t="s">
        <v>158</v>
      </c>
      <c r="C13" s="113"/>
      <c r="O13" s="11"/>
    </row>
    <row r="14" spans="1:15" x14ac:dyDescent="0.3">
      <c r="A14" s="9"/>
      <c r="B14" s="110" t="s">
        <v>153</v>
      </c>
      <c r="C14" s="106">
        <v>3206131451.313168</v>
      </c>
      <c r="O14" s="11"/>
    </row>
    <row r="15" spans="1:15" x14ac:dyDescent="0.3">
      <c r="A15" s="9"/>
      <c r="B15" s="111" t="s">
        <v>154</v>
      </c>
      <c r="C15" s="107">
        <v>510474929.9699856</v>
      </c>
      <c r="O15" s="11"/>
    </row>
    <row r="16" spans="1:15" x14ac:dyDescent="0.3">
      <c r="A16" s="9"/>
      <c r="B16" s="111" t="s">
        <v>156</v>
      </c>
      <c r="C16" s="107">
        <v>16894469400.35409</v>
      </c>
      <c r="O16" s="11"/>
    </row>
    <row r="17" spans="1:15" ht="17.25" thickBot="1" x14ac:dyDescent="0.35">
      <c r="A17" s="9"/>
      <c r="B17" s="112" t="s">
        <v>155</v>
      </c>
      <c r="C17" s="108">
        <v>12642530228.837402</v>
      </c>
      <c r="O17" s="11"/>
    </row>
    <row r="18" spans="1:15" x14ac:dyDescent="0.3">
      <c r="A18" s="9"/>
      <c r="B18" s="4"/>
      <c r="C18" s="103"/>
      <c r="O18" s="11"/>
    </row>
    <row r="19" spans="1:15" x14ac:dyDescent="0.3">
      <c r="A19" s="9"/>
      <c r="B19" s="4"/>
      <c r="C19" s="103"/>
      <c r="O19" s="11"/>
    </row>
    <row r="20" spans="1:15" x14ac:dyDescent="0.3">
      <c r="A20" s="9"/>
      <c r="B20" s="4"/>
      <c r="C20" s="103"/>
      <c r="O20" s="11"/>
    </row>
    <row r="21" spans="1:15" x14ac:dyDescent="0.3">
      <c r="A21" s="9"/>
      <c r="B21" s="4"/>
      <c r="C21" s="103"/>
      <c r="O21" s="11"/>
    </row>
    <row r="22" spans="1:15" x14ac:dyDescent="0.3">
      <c r="A22" s="9"/>
      <c r="B22" s="4"/>
      <c r="C22" s="103"/>
      <c r="O22" s="11"/>
    </row>
    <row r="23" spans="1:15" x14ac:dyDescent="0.3">
      <c r="A23" s="9"/>
      <c r="B23" s="4"/>
      <c r="C23" s="103"/>
      <c r="O23" s="11"/>
    </row>
    <row r="24" spans="1:15" x14ac:dyDescent="0.3">
      <c r="A24" s="9"/>
      <c r="B24" s="4"/>
      <c r="C24" s="103"/>
      <c r="O24" s="11"/>
    </row>
    <row r="25" spans="1:15" ht="17.25" thickBot="1" x14ac:dyDescent="0.35">
      <c r="A25" s="15"/>
      <c r="B25" s="13"/>
      <c r="C25" s="13"/>
      <c r="D25" s="13"/>
      <c r="E25" s="13"/>
      <c r="F25" s="13"/>
      <c r="G25" s="13"/>
      <c r="H25" s="13"/>
      <c r="I25" s="13"/>
      <c r="J25" s="13"/>
      <c r="K25" s="13"/>
      <c r="L25" s="13"/>
      <c r="M25" s="13"/>
      <c r="N25" s="13"/>
      <c r="O25" s="14"/>
    </row>
    <row r="26" spans="1:15" ht="30.75" customHeight="1" thickBot="1" x14ac:dyDescent="0.35">
      <c r="A26" s="564" t="s">
        <v>173</v>
      </c>
      <c r="B26" s="565"/>
      <c r="C26" s="565"/>
      <c r="D26" s="565"/>
      <c r="E26" s="565"/>
      <c r="F26" s="565"/>
      <c r="G26" s="565"/>
      <c r="H26" s="565"/>
      <c r="I26" s="565"/>
      <c r="J26" s="565"/>
      <c r="K26" s="565"/>
      <c r="L26" s="565"/>
      <c r="M26" s="565"/>
      <c r="N26" s="565"/>
      <c r="O26" s="566"/>
    </row>
    <row r="27" spans="1:15" x14ac:dyDescent="0.3">
      <c r="A27" s="6"/>
      <c r="B27" s="7"/>
      <c r="C27" s="7"/>
      <c r="D27" s="7"/>
      <c r="E27" s="7"/>
      <c r="F27" s="7"/>
      <c r="G27" s="7"/>
      <c r="H27" s="7"/>
      <c r="I27" s="7"/>
      <c r="J27" s="7"/>
      <c r="K27" s="7"/>
      <c r="L27" s="7"/>
      <c r="M27" s="7"/>
      <c r="N27" s="7"/>
      <c r="O27" s="8"/>
    </row>
    <row r="28" spans="1:15" x14ac:dyDescent="0.3">
      <c r="A28" s="140"/>
      <c r="K28" s="121"/>
      <c r="O28" s="11"/>
    </row>
    <row r="29" spans="1:15" x14ac:dyDescent="0.3">
      <c r="A29" s="145" t="e">
        <f>+_xlfn.XLOOKUP($B$31,ITEM,DESCRIP_ITEM,,0,1)</f>
        <v>#N/A</v>
      </c>
      <c r="K29" s="121"/>
      <c r="O29" s="11"/>
    </row>
    <row r="30" spans="1:15" x14ac:dyDescent="0.3">
      <c r="A30" s="9"/>
      <c r="O30" s="11"/>
    </row>
    <row r="31" spans="1:15" ht="17.25" thickBot="1" x14ac:dyDescent="0.35">
      <c r="A31" s="115" t="s">
        <v>59</v>
      </c>
      <c r="B31" s="14" t="s">
        <v>157</v>
      </c>
      <c r="O31" s="11"/>
    </row>
    <row r="32" spans="1:15" x14ac:dyDescent="0.3">
      <c r="A32" s="9"/>
      <c r="O32" s="11"/>
    </row>
    <row r="33" spans="1:15" ht="17.25" thickBot="1" x14ac:dyDescent="0.35">
      <c r="A33" s="117" t="s">
        <v>158</v>
      </c>
      <c r="B33" s="118"/>
    </row>
    <row r="34" spans="1:15" x14ac:dyDescent="0.3">
      <c r="A34" s="114" t="s">
        <v>171</v>
      </c>
      <c r="B34" s="119">
        <v>1.0000000000000002</v>
      </c>
    </row>
    <row r="35" spans="1:15" x14ac:dyDescent="0.3">
      <c r="A35" s="114" t="s">
        <v>168</v>
      </c>
      <c r="B35" s="119">
        <v>1.0000000000000002</v>
      </c>
    </row>
    <row r="36" spans="1:15" x14ac:dyDescent="0.3">
      <c r="A36" s="114" t="s">
        <v>170</v>
      </c>
      <c r="B36" s="119">
        <v>0.99999999999999956</v>
      </c>
    </row>
    <row r="37" spans="1:15" ht="17.25" thickBot="1" x14ac:dyDescent="0.35">
      <c r="A37" s="116" t="s">
        <v>169</v>
      </c>
      <c r="B37" s="120">
        <v>1</v>
      </c>
    </row>
    <row r="38" spans="1:15" x14ac:dyDescent="0.3">
      <c r="O38" s="11"/>
    </row>
    <row r="39" spans="1:15" x14ac:dyDescent="0.3">
      <c r="O39" s="11"/>
    </row>
    <row r="40" spans="1:15" x14ac:dyDescent="0.3">
      <c r="O40" s="11"/>
    </row>
    <row r="41" spans="1:15" x14ac:dyDescent="0.3">
      <c r="O41" s="11"/>
    </row>
    <row r="42" spans="1:15" x14ac:dyDescent="0.3">
      <c r="O42" s="11"/>
    </row>
    <row r="43" spans="1:15" x14ac:dyDescent="0.3">
      <c r="O43" s="11"/>
    </row>
    <row r="44" spans="1:15" x14ac:dyDescent="0.3">
      <c r="O44" s="11"/>
    </row>
    <row r="45" spans="1:15" x14ac:dyDescent="0.3">
      <c r="O45" s="11"/>
    </row>
    <row r="46" spans="1:15" x14ac:dyDescent="0.3">
      <c r="A46" s="140" t="s">
        <v>199</v>
      </c>
      <c r="B46" s="146">
        <f>+GETPIVOTDATA("% PESO DEL ITEM EN P.",$A$50)</f>
        <v>0.99999999999999967</v>
      </c>
      <c r="O46" s="11"/>
    </row>
    <row r="47" spans="1:15" x14ac:dyDescent="0.3">
      <c r="O47" s="11"/>
    </row>
    <row r="48" spans="1:15" x14ac:dyDescent="0.3">
      <c r="A48" s="46" t="s">
        <v>59</v>
      </c>
      <c r="B48" t="s">
        <v>157</v>
      </c>
      <c r="O48" s="11"/>
    </row>
    <row r="49" spans="1:15" x14ac:dyDescent="0.3">
      <c r="O49" s="11"/>
    </row>
    <row r="50" spans="1:15" x14ac:dyDescent="0.3">
      <c r="A50" t="s">
        <v>198</v>
      </c>
      <c r="O50" s="11"/>
    </row>
    <row r="51" spans="1:15" x14ac:dyDescent="0.3">
      <c r="A51" s="19">
        <v>0.99999999999999967</v>
      </c>
      <c r="O51" s="11"/>
    </row>
    <row r="52" spans="1:15" x14ac:dyDescent="0.3">
      <c r="O52" s="11"/>
    </row>
    <row r="55" spans="1:15" x14ac:dyDescent="0.3">
      <c r="A55" s="46" t="s">
        <v>59</v>
      </c>
      <c r="B55" t="s">
        <v>157</v>
      </c>
    </row>
    <row r="57" spans="1:15" x14ac:dyDescent="0.3">
      <c r="A57" t="s">
        <v>153</v>
      </c>
      <c r="B57" t="s">
        <v>154</v>
      </c>
      <c r="C57" t="s">
        <v>155</v>
      </c>
      <c r="D57" t="s">
        <v>156</v>
      </c>
    </row>
    <row r="58" spans="1:15" x14ac:dyDescent="0.3">
      <c r="A58" s="1">
        <v>3206131451.313168</v>
      </c>
      <c r="B58" s="1">
        <v>510474929.9699856</v>
      </c>
      <c r="C58" s="1">
        <v>12642530228.837402</v>
      </c>
      <c r="D58" s="1">
        <v>16894469400.35409</v>
      </c>
    </row>
    <row r="85" spans="3:5" x14ac:dyDescent="0.3">
      <c r="C85" t="s">
        <v>0</v>
      </c>
      <c r="D85" t="s">
        <v>174</v>
      </c>
      <c r="E85" t="s">
        <v>121</v>
      </c>
    </row>
    <row r="86" spans="3:5" x14ac:dyDescent="0.3">
      <c r="C86" t="str">
        <f>PAIS</f>
        <v>COLOMBIA</v>
      </c>
      <c r="D86" t="str">
        <f>DEPARTAMENTO_COMUNA</f>
        <v>BOGOTA</v>
      </c>
      <c r="E86">
        <v>100</v>
      </c>
    </row>
    <row r="87" spans="3:5" x14ac:dyDescent="0.3">
      <c r="C87" t="str">
        <f>PAIS</f>
        <v>COLOMBIA</v>
      </c>
      <c r="D87" t="str">
        <f>CIUDAD</f>
        <v>LA DORADA</v>
      </c>
      <c r="E87">
        <v>25</v>
      </c>
    </row>
    <row r="92" spans="3:5" x14ac:dyDescent="0.3">
      <c r="C92" t="s">
        <v>0</v>
      </c>
      <c r="D92" t="s">
        <v>174</v>
      </c>
      <c r="E92" t="s">
        <v>121</v>
      </c>
    </row>
    <row r="93" spans="3:5" x14ac:dyDescent="0.3">
      <c r="C93" t="str">
        <f>PAIS</f>
        <v>COLOMBIA</v>
      </c>
      <c r="D93" t="str">
        <f>CIUDAD</f>
        <v>LA DORADA</v>
      </c>
      <c r="E93">
        <v>100</v>
      </c>
    </row>
  </sheetData>
  <mergeCells count="2">
    <mergeCell ref="A1:O1"/>
    <mergeCell ref="A26:O26"/>
  </mergeCells>
  <phoneticPr fontId="42" type="noConversion"/>
  <pageMargins left="0.7" right="0.7" top="0.75" bottom="0.75" header="0.3" footer="0.3"/>
  <pageSetup orientation="portrait" r:id="rId6"/>
  <drawing r:id="rId7"/>
  <extLst>
    <ext xmlns:x14="http://schemas.microsoft.com/office/spreadsheetml/2009/9/main" uri="{A8765BA9-456A-4dab-B4F3-ACF838C121DE}">
      <x14:slicerList>
        <x14:slicer r:id="rId8"/>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479C0-B585-4B89-807E-76D5E06F431E}">
  <sheetPr codeName="Hoja10"/>
  <dimension ref="A1:K400"/>
  <sheetViews>
    <sheetView showGridLines="0" showRowColHeaders="0" topLeftCell="B5" workbookViewId="0">
      <selection activeCell="C6" sqref="C6"/>
    </sheetView>
  </sheetViews>
  <sheetFormatPr defaultColWidth="11" defaultRowHeight="16.5" x14ac:dyDescent="0.3"/>
  <cols>
    <col min="1" max="1" width="14.375" customWidth="1"/>
    <col min="3" max="3" width="31.375" style="101" customWidth="1"/>
    <col min="4" max="4" width="7.625" customWidth="1"/>
    <col min="5" max="5" width="12.625" bestFit="1" customWidth="1"/>
    <col min="6" max="6" width="14" bestFit="1" customWidth="1"/>
    <col min="8" max="8" width="16.625" bestFit="1" customWidth="1"/>
  </cols>
  <sheetData>
    <row r="1" spans="1:11" ht="17.25" thickBot="1" x14ac:dyDescent="0.35">
      <c r="A1" s="142" t="s">
        <v>2</v>
      </c>
      <c r="B1" s="570" t="str">
        <f>NOMBRE_DEL_PROYECTO</f>
        <v>MYT ENERGY PARQUE FOTOVOLTAICO TEPUY 108 MW</v>
      </c>
      <c r="C1" s="571"/>
      <c r="D1" s="571"/>
      <c r="E1" s="571"/>
      <c r="F1" s="571"/>
      <c r="G1" s="571"/>
      <c r="H1" s="572"/>
      <c r="I1" s="95"/>
      <c r="J1" s="95"/>
      <c r="K1" s="95"/>
    </row>
    <row r="2" spans="1:11" ht="17.25" thickBot="1" x14ac:dyDescent="0.35">
      <c r="A2" s="142" t="s">
        <v>3</v>
      </c>
      <c r="B2" s="567">
        <f ca="1">FECHA</f>
        <v>45726</v>
      </c>
      <c r="C2" s="568"/>
      <c r="D2" s="568"/>
      <c r="E2" s="568"/>
      <c r="F2" s="568"/>
      <c r="G2" s="568"/>
      <c r="H2" s="569"/>
      <c r="I2" s="96"/>
      <c r="J2" s="96"/>
      <c r="K2" s="96"/>
    </row>
    <row r="3" spans="1:11" ht="17.25" thickBot="1" x14ac:dyDescent="0.35">
      <c r="A3" s="142" t="s">
        <v>22</v>
      </c>
      <c r="B3" s="576">
        <f>+DURCION_PROYECTO</f>
        <v>3</v>
      </c>
      <c r="C3" s="577"/>
      <c r="D3" s="577"/>
      <c r="E3" s="577"/>
      <c r="F3" s="577"/>
      <c r="G3" s="577"/>
      <c r="H3" s="578"/>
      <c r="I3" s="97"/>
      <c r="J3" s="97"/>
      <c r="K3" s="97"/>
    </row>
    <row r="4" spans="1:11" ht="36.75" customHeight="1" thickBot="1" x14ac:dyDescent="0.35">
      <c r="A4" s="4"/>
      <c r="B4" s="573" t="s">
        <v>135</v>
      </c>
      <c r="C4" s="574"/>
      <c r="D4" s="574"/>
      <c r="E4" s="574"/>
      <c r="F4" s="574"/>
      <c r="G4" s="574"/>
      <c r="H4" s="575"/>
    </row>
    <row r="5" spans="1:11" ht="17.25" thickBot="1" x14ac:dyDescent="0.35">
      <c r="A5" s="4"/>
      <c r="B5" s="100" t="s">
        <v>59</v>
      </c>
      <c r="C5" s="98" t="s">
        <v>16</v>
      </c>
      <c r="D5" s="282"/>
      <c r="E5" s="98" t="s">
        <v>76</v>
      </c>
      <c r="F5" s="99" t="s">
        <v>138</v>
      </c>
      <c r="G5" s="98" t="s">
        <v>137</v>
      </c>
      <c r="H5" s="98" t="s">
        <v>139</v>
      </c>
    </row>
    <row r="6" spans="1:11" x14ac:dyDescent="0.3">
      <c r="A6" s="4"/>
      <c r="B6" s="102">
        <v>1</v>
      </c>
      <c r="C6" s="283"/>
      <c r="D6" s="284"/>
      <c r="E6" s="135" t="str">
        <f>IF(D6="","",ROUNDUP(D6,0))</f>
        <v/>
      </c>
      <c r="F6" s="143" t="str">
        <f>IF(C6="","",INDEX(V_UNITARIOMATERIAL,MATCH(C6,L_MATERIALES,0)))</f>
        <v/>
      </c>
      <c r="G6" s="135" t="str">
        <f>IF(C6="","",INDEX(U_MATERIAL,MATCH(C6,L_MATERIALES,0)))</f>
        <v/>
      </c>
      <c r="H6" s="143" t="str">
        <f>IF(E6="","",F6*E6)</f>
        <v/>
      </c>
      <c r="K6" s="1"/>
    </row>
    <row r="7" spans="1:11" x14ac:dyDescent="0.3">
      <c r="A7" s="4"/>
      <c r="B7" s="21">
        <v>2</v>
      </c>
      <c r="C7" s="285"/>
      <c r="D7" s="286"/>
      <c r="E7" s="135" t="str">
        <f t="shared" ref="E7:E70" si="0">IF(D7="","",ROUNDUP(D7,0))</f>
        <v/>
      </c>
      <c r="F7" s="143" t="str">
        <f t="shared" ref="F7:F19" si="1">IF(C7="","",INDEX(V_UNITARIOMATERIAL,MATCH(C7,L_MATERIALES,0)))</f>
        <v/>
      </c>
      <c r="G7" s="135" t="str">
        <f t="shared" ref="G7:G19" si="2">IF(C7="","",INDEX(U_MATERIAL,MATCH(C7,L_MATERIALES,0)))</f>
        <v/>
      </c>
      <c r="H7" s="143" t="str">
        <f t="shared" ref="H7:H19" si="3">IF(E7="","",F7*E7)</f>
        <v/>
      </c>
    </row>
    <row r="8" spans="1:11" ht="13.5" customHeight="1" x14ac:dyDescent="0.3">
      <c r="A8" s="4"/>
      <c r="B8" s="21">
        <v>3</v>
      </c>
      <c r="C8" s="285"/>
      <c r="D8" s="286"/>
      <c r="E8" s="135" t="str">
        <f t="shared" si="0"/>
        <v/>
      </c>
      <c r="F8" s="143" t="str">
        <f t="shared" si="1"/>
        <v/>
      </c>
      <c r="G8" s="135" t="str">
        <f t="shared" si="2"/>
        <v/>
      </c>
      <c r="H8" s="143" t="str">
        <f t="shared" si="3"/>
        <v/>
      </c>
      <c r="K8" s="1"/>
    </row>
    <row r="9" spans="1:11" ht="13.5" customHeight="1" x14ac:dyDescent="0.3">
      <c r="A9" s="4"/>
      <c r="B9" s="21">
        <v>4</v>
      </c>
      <c r="C9" s="285"/>
      <c r="D9" s="286"/>
      <c r="E9" s="135" t="str">
        <f t="shared" si="0"/>
        <v/>
      </c>
      <c r="F9" s="143" t="str">
        <f t="shared" si="1"/>
        <v/>
      </c>
      <c r="G9" s="135" t="str">
        <f t="shared" si="2"/>
        <v/>
      </c>
      <c r="H9" s="143" t="str">
        <f t="shared" si="3"/>
        <v/>
      </c>
      <c r="K9" s="1"/>
    </row>
    <row r="10" spans="1:11" x14ac:dyDescent="0.3">
      <c r="A10" s="4"/>
      <c r="B10" s="21">
        <v>5</v>
      </c>
      <c r="C10" s="285"/>
      <c r="D10" s="286"/>
      <c r="E10" s="135" t="str">
        <f t="shared" si="0"/>
        <v/>
      </c>
      <c r="F10" s="143" t="str">
        <f t="shared" si="1"/>
        <v/>
      </c>
      <c r="G10" s="135" t="str">
        <f t="shared" si="2"/>
        <v/>
      </c>
      <c r="H10" s="143" t="str">
        <f t="shared" si="3"/>
        <v/>
      </c>
    </row>
    <row r="11" spans="1:11" x14ac:dyDescent="0.3">
      <c r="A11" s="4"/>
      <c r="B11" s="21">
        <v>6</v>
      </c>
      <c r="C11" s="285"/>
      <c r="D11" s="286"/>
      <c r="E11" s="135" t="str">
        <f t="shared" si="0"/>
        <v/>
      </c>
      <c r="F11" s="143" t="str">
        <f t="shared" si="1"/>
        <v/>
      </c>
      <c r="G11" s="135" t="str">
        <f t="shared" si="2"/>
        <v/>
      </c>
      <c r="H11" s="143" t="str">
        <f t="shared" si="3"/>
        <v/>
      </c>
    </row>
    <row r="12" spans="1:11" x14ac:dyDescent="0.3">
      <c r="A12" s="4"/>
      <c r="B12" s="21">
        <v>7</v>
      </c>
      <c r="C12" s="285"/>
      <c r="D12" s="286"/>
      <c r="E12" s="135" t="str">
        <f t="shared" si="0"/>
        <v/>
      </c>
      <c r="F12" s="143" t="str">
        <f t="shared" si="1"/>
        <v/>
      </c>
      <c r="G12" s="135" t="str">
        <f t="shared" si="2"/>
        <v/>
      </c>
      <c r="H12" s="143" t="str">
        <f t="shared" si="3"/>
        <v/>
      </c>
    </row>
    <row r="13" spans="1:11" x14ac:dyDescent="0.3">
      <c r="A13" s="4"/>
      <c r="B13" s="21">
        <v>8</v>
      </c>
      <c r="C13" s="285"/>
      <c r="D13" s="286"/>
      <c r="E13" s="135" t="str">
        <f t="shared" si="0"/>
        <v/>
      </c>
      <c r="F13" s="143" t="str">
        <f t="shared" si="1"/>
        <v/>
      </c>
      <c r="G13" s="135" t="str">
        <f t="shared" si="2"/>
        <v/>
      </c>
      <c r="H13" s="143" t="str">
        <f t="shared" si="3"/>
        <v/>
      </c>
    </row>
    <row r="14" spans="1:11" x14ac:dyDescent="0.3">
      <c r="A14" s="4"/>
      <c r="B14" s="21">
        <v>9</v>
      </c>
      <c r="C14" s="285"/>
      <c r="D14" s="286"/>
      <c r="E14" s="135" t="str">
        <f t="shared" si="0"/>
        <v/>
      </c>
      <c r="F14" s="143" t="str">
        <f t="shared" si="1"/>
        <v/>
      </c>
      <c r="G14" s="135" t="str">
        <f t="shared" si="2"/>
        <v/>
      </c>
      <c r="H14" s="143" t="str">
        <f t="shared" si="3"/>
        <v/>
      </c>
    </row>
    <row r="15" spans="1:11" x14ac:dyDescent="0.3">
      <c r="A15" s="4"/>
      <c r="B15" s="21">
        <v>10</v>
      </c>
      <c r="C15" s="285"/>
      <c r="D15" s="286"/>
      <c r="E15" s="135" t="str">
        <f t="shared" si="0"/>
        <v/>
      </c>
      <c r="F15" s="143" t="str">
        <f t="shared" si="1"/>
        <v/>
      </c>
      <c r="G15" s="135" t="str">
        <f t="shared" si="2"/>
        <v/>
      </c>
      <c r="H15" s="143" t="str">
        <f t="shared" si="3"/>
        <v/>
      </c>
    </row>
    <row r="16" spans="1:11" x14ac:dyDescent="0.3">
      <c r="A16" s="4"/>
      <c r="B16" s="21">
        <v>11</v>
      </c>
      <c r="C16" s="285"/>
      <c r="D16" s="286"/>
      <c r="E16" s="135" t="str">
        <f t="shared" si="0"/>
        <v/>
      </c>
      <c r="F16" s="143" t="str">
        <f t="shared" si="1"/>
        <v/>
      </c>
      <c r="G16" s="135" t="str">
        <f t="shared" si="2"/>
        <v/>
      </c>
      <c r="H16" s="143" t="str">
        <f t="shared" si="3"/>
        <v/>
      </c>
    </row>
    <row r="17" spans="1:8" x14ac:dyDescent="0.3">
      <c r="A17" s="4"/>
      <c r="B17" s="21">
        <v>12</v>
      </c>
      <c r="C17" s="285"/>
      <c r="D17" s="286"/>
      <c r="E17" s="135" t="str">
        <f t="shared" si="0"/>
        <v/>
      </c>
      <c r="F17" s="143" t="str">
        <f t="shared" si="1"/>
        <v/>
      </c>
      <c r="G17" s="135" t="str">
        <f t="shared" si="2"/>
        <v/>
      </c>
      <c r="H17" s="143" t="str">
        <f t="shared" si="3"/>
        <v/>
      </c>
    </row>
    <row r="18" spans="1:8" x14ac:dyDescent="0.3">
      <c r="A18" s="4"/>
      <c r="B18" s="21">
        <v>13</v>
      </c>
      <c r="C18" s="285"/>
      <c r="D18" s="286"/>
      <c r="E18" s="135" t="str">
        <f t="shared" si="0"/>
        <v/>
      </c>
      <c r="F18" s="143" t="str">
        <f t="shared" si="1"/>
        <v/>
      </c>
      <c r="G18" s="135" t="str">
        <f t="shared" si="2"/>
        <v/>
      </c>
      <c r="H18" s="143" t="str">
        <f t="shared" si="3"/>
        <v/>
      </c>
    </row>
    <row r="19" spans="1:8" x14ac:dyDescent="0.3">
      <c r="A19" s="4"/>
      <c r="B19" s="102">
        <v>14</v>
      </c>
      <c r="C19" s="285"/>
      <c r="D19" s="286"/>
      <c r="E19" s="135" t="str">
        <f t="shared" si="0"/>
        <v/>
      </c>
      <c r="F19" s="143" t="str">
        <f t="shared" si="1"/>
        <v/>
      </c>
      <c r="G19" s="135" t="str">
        <f t="shared" si="2"/>
        <v/>
      </c>
      <c r="H19" s="143" t="str">
        <f t="shared" si="3"/>
        <v/>
      </c>
    </row>
    <row r="20" spans="1:8" x14ac:dyDescent="0.3">
      <c r="A20" s="4"/>
      <c r="B20" s="21">
        <v>15</v>
      </c>
      <c r="C20" s="285"/>
      <c r="D20" s="286"/>
      <c r="E20" s="135" t="str">
        <f t="shared" si="0"/>
        <v/>
      </c>
      <c r="F20" s="143" t="str">
        <f t="shared" ref="F20:F74" si="4">IF(C20="","",INDEX(V_UNITARIOMATERIAL,MATCH(C20,L_MATERIALES,0)))</f>
        <v/>
      </c>
      <c r="G20" s="135" t="str">
        <f t="shared" ref="G20:G74" si="5">IF(C20="","",INDEX(U_MATERIAL,MATCH(C20,L_MATERIALES,0)))</f>
        <v/>
      </c>
      <c r="H20" s="143" t="str">
        <f t="shared" ref="H20:H74" si="6">IF(E20="","",F20*E20)</f>
        <v/>
      </c>
    </row>
    <row r="21" spans="1:8" x14ac:dyDescent="0.3">
      <c r="A21" s="4"/>
      <c r="B21" s="21">
        <v>16</v>
      </c>
      <c r="C21" s="285"/>
      <c r="D21" s="286"/>
      <c r="E21" s="135" t="str">
        <f t="shared" si="0"/>
        <v/>
      </c>
      <c r="F21" s="143" t="str">
        <f t="shared" si="4"/>
        <v/>
      </c>
      <c r="G21" s="135" t="str">
        <f t="shared" si="5"/>
        <v/>
      </c>
      <c r="H21" s="143" t="str">
        <f t="shared" si="6"/>
        <v/>
      </c>
    </row>
    <row r="22" spans="1:8" x14ac:dyDescent="0.3">
      <c r="A22" s="4"/>
      <c r="B22" s="21">
        <v>17</v>
      </c>
      <c r="C22" s="285"/>
      <c r="D22" s="286"/>
      <c r="E22" s="135" t="str">
        <f t="shared" si="0"/>
        <v/>
      </c>
      <c r="F22" s="143" t="str">
        <f t="shared" si="4"/>
        <v/>
      </c>
      <c r="G22" s="135" t="str">
        <f t="shared" si="5"/>
        <v/>
      </c>
      <c r="H22" s="143" t="str">
        <f t="shared" si="6"/>
        <v/>
      </c>
    </row>
    <row r="23" spans="1:8" x14ac:dyDescent="0.3">
      <c r="A23" s="4"/>
      <c r="B23" s="21">
        <v>18</v>
      </c>
      <c r="C23" s="285"/>
      <c r="D23" s="286"/>
      <c r="E23" s="135" t="str">
        <f t="shared" si="0"/>
        <v/>
      </c>
      <c r="F23" s="143" t="str">
        <f t="shared" si="4"/>
        <v/>
      </c>
      <c r="G23" s="135" t="str">
        <f t="shared" si="5"/>
        <v/>
      </c>
      <c r="H23" s="143" t="str">
        <f t="shared" si="6"/>
        <v/>
      </c>
    </row>
    <row r="24" spans="1:8" x14ac:dyDescent="0.3">
      <c r="A24" s="4"/>
      <c r="B24" s="21">
        <v>19</v>
      </c>
      <c r="C24" s="285"/>
      <c r="D24" s="286"/>
      <c r="E24" s="135" t="str">
        <f t="shared" si="0"/>
        <v/>
      </c>
      <c r="F24" s="143" t="str">
        <f t="shared" si="4"/>
        <v/>
      </c>
      <c r="G24" s="135" t="str">
        <f t="shared" si="5"/>
        <v/>
      </c>
      <c r="H24" s="143" t="str">
        <f t="shared" si="6"/>
        <v/>
      </c>
    </row>
    <row r="25" spans="1:8" x14ac:dyDescent="0.3">
      <c r="A25" s="4"/>
      <c r="B25" s="21">
        <v>20</v>
      </c>
      <c r="C25" s="285"/>
      <c r="D25" s="286"/>
      <c r="E25" s="135" t="str">
        <f t="shared" si="0"/>
        <v/>
      </c>
      <c r="F25" s="143" t="str">
        <f t="shared" si="4"/>
        <v/>
      </c>
      <c r="G25" s="135" t="str">
        <f t="shared" si="5"/>
        <v/>
      </c>
      <c r="H25" s="143" t="str">
        <f t="shared" si="6"/>
        <v/>
      </c>
    </row>
    <row r="26" spans="1:8" x14ac:dyDescent="0.3">
      <c r="A26" s="4"/>
      <c r="B26" s="21">
        <v>21</v>
      </c>
      <c r="C26" s="285"/>
      <c r="D26" s="286"/>
      <c r="E26" s="135" t="str">
        <f t="shared" si="0"/>
        <v/>
      </c>
      <c r="F26" s="143" t="str">
        <f t="shared" si="4"/>
        <v/>
      </c>
      <c r="G26" s="135" t="str">
        <f t="shared" si="5"/>
        <v/>
      </c>
      <c r="H26" s="143" t="str">
        <f t="shared" si="6"/>
        <v/>
      </c>
    </row>
    <row r="27" spans="1:8" x14ac:dyDescent="0.3">
      <c r="A27" s="4"/>
      <c r="B27" s="21">
        <v>22</v>
      </c>
      <c r="C27" s="285"/>
      <c r="D27" s="286"/>
      <c r="E27" s="135" t="str">
        <f t="shared" si="0"/>
        <v/>
      </c>
      <c r="F27" s="143" t="str">
        <f t="shared" si="4"/>
        <v/>
      </c>
      <c r="G27" s="135" t="str">
        <f t="shared" si="5"/>
        <v/>
      </c>
      <c r="H27" s="143" t="str">
        <f t="shared" si="6"/>
        <v/>
      </c>
    </row>
    <row r="28" spans="1:8" x14ac:dyDescent="0.3">
      <c r="A28" s="4"/>
      <c r="B28" s="21">
        <v>23</v>
      </c>
      <c r="C28" s="285"/>
      <c r="D28" s="286"/>
      <c r="E28" s="135" t="str">
        <f t="shared" si="0"/>
        <v/>
      </c>
      <c r="F28" s="143" t="str">
        <f t="shared" si="4"/>
        <v/>
      </c>
      <c r="G28" s="135" t="str">
        <f t="shared" si="5"/>
        <v/>
      </c>
      <c r="H28" s="143" t="str">
        <f t="shared" si="6"/>
        <v/>
      </c>
    </row>
    <row r="29" spans="1:8" x14ac:dyDescent="0.3">
      <c r="A29" s="4"/>
      <c r="B29" s="21">
        <v>24</v>
      </c>
      <c r="C29" s="285"/>
      <c r="D29" s="286"/>
      <c r="E29" s="135" t="str">
        <f t="shared" si="0"/>
        <v/>
      </c>
      <c r="F29" s="143" t="str">
        <f t="shared" si="4"/>
        <v/>
      </c>
      <c r="G29" s="135" t="str">
        <f t="shared" si="5"/>
        <v/>
      </c>
      <c r="H29" s="143" t="str">
        <f t="shared" si="6"/>
        <v/>
      </c>
    </row>
    <row r="30" spans="1:8" x14ac:dyDescent="0.3">
      <c r="A30" s="4"/>
      <c r="B30" s="21">
        <v>25</v>
      </c>
      <c r="C30" s="285"/>
      <c r="D30" s="286"/>
      <c r="E30" s="135" t="str">
        <f t="shared" si="0"/>
        <v/>
      </c>
      <c r="F30" s="143" t="str">
        <f t="shared" si="4"/>
        <v/>
      </c>
      <c r="G30" s="135" t="str">
        <f t="shared" si="5"/>
        <v/>
      </c>
      <c r="H30" s="143" t="str">
        <f t="shared" si="6"/>
        <v/>
      </c>
    </row>
    <row r="31" spans="1:8" x14ac:dyDescent="0.3">
      <c r="A31" s="4"/>
      <c r="B31" s="21">
        <v>26</v>
      </c>
      <c r="C31" s="285"/>
      <c r="D31" s="286"/>
      <c r="E31" s="135" t="str">
        <f t="shared" si="0"/>
        <v/>
      </c>
      <c r="F31" s="143" t="str">
        <f t="shared" si="4"/>
        <v/>
      </c>
      <c r="G31" s="135" t="str">
        <f t="shared" si="5"/>
        <v/>
      </c>
      <c r="H31" s="143" t="str">
        <f t="shared" si="6"/>
        <v/>
      </c>
    </row>
    <row r="32" spans="1:8" x14ac:dyDescent="0.3">
      <c r="A32" s="4"/>
      <c r="B32" s="21">
        <v>27</v>
      </c>
      <c r="C32" s="285"/>
      <c r="D32" s="286"/>
      <c r="E32" s="135" t="str">
        <f t="shared" si="0"/>
        <v/>
      </c>
      <c r="F32" s="143" t="str">
        <f t="shared" si="4"/>
        <v/>
      </c>
      <c r="G32" s="135" t="str">
        <f t="shared" si="5"/>
        <v/>
      </c>
      <c r="H32" s="143" t="str">
        <f t="shared" si="6"/>
        <v/>
      </c>
    </row>
    <row r="33" spans="1:8" x14ac:dyDescent="0.3">
      <c r="A33" s="4"/>
      <c r="B33" s="21">
        <v>28</v>
      </c>
      <c r="C33" s="285"/>
      <c r="D33" s="286"/>
      <c r="E33" s="135" t="str">
        <f t="shared" si="0"/>
        <v/>
      </c>
      <c r="F33" s="143" t="str">
        <f t="shared" si="4"/>
        <v/>
      </c>
      <c r="G33" s="135" t="str">
        <f t="shared" si="5"/>
        <v/>
      </c>
      <c r="H33" s="143" t="str">
        <f t="shared" si="6"/>
        <v/>
      </c>
    </row>
    <row r="34" spans="1:8" x14ac:dyDescent="0.3">
      <c r="A34" s="4"/>
      <c r="B34" s="21">
        <v>29</v>
      </c>
      <c r="C34" s="285"/>
      <c r="D34" s="286"/>
      <c r="E34" s="135" t="str">
        <f t="shared" si="0"/>
        <v/>
      </c>
      <c r="F34" s="143" t="str">
        <f t="shared" si="4"/>
        <v/>
      </c>
      <c r="G34" s="135" t="str">
        <f t="shared" si="5"/>
        <v/>
      </c>
      <c r="H34" s="143" t="str">
        <f t="shared" si="6"/>
        <v/>
      </c>
    </row>
    <row r="35" spans="1:8" x14ac:dyDescent="0.3">
      <c r="A35" s="4"/>
      <c r="B35" s="21">
        <v>30</v>
      </c>
      <c r="C35" s="285"/>
      <c r="D35" s="286"/>
      <c r="E35" s="135" t="str">
        <f t="shared" si="0"/>
        <v/>
      </c>
      <c r="F35" s="143" t="str">
        <f t="shared" si="4"/>
        <v/>
      </c>
      <c r="G35" s="135" t="str">
        <f t="shared" si="5"/>
        <v/>
      </c>
      <c r="H35" s="143" t="str">
        <f t="shared" si="6"/>
        <v/>
      </c>
    </row>
    <row r="36" spans="1:8" x14ac:dyDescent="0.3">
      <c r="A36" s="4"/>
      <c r="B36" s="21">
        <v>31</v>
      </c>
      <c r="C36" s="285"/>
      <c r="D36" s="286"/>
      <c r="E36" s="135" t="str">
        <f t="shared" si="0"/>
        <v/>
      </c>
      <c r="F36" s="143" t="str">
        <f t="shared" si="4"/>
        <v/>
      </c>
      <c r="G36" s="135" t="str">
        <f t="shared" si="5"/>
        <v/>
      </c>
      <c r="H36" s="143" t="str">
        <f t="shared" si="6"/>
        <v/>
      </c>
    </row>
    <row r="37" spans="1:8" x14ac:dyDescent="0.3">
      <c r="A37" s="4"/>
      <c r="B37" s="21">
        <v>32</v>
      </c>
      <c r="C37" s="285"/>
      <c r="D37" s="286"/>
      <c r="E37" s="135" t="str">
        <f t="shared" si="0"/>
        <v/>
      </c>
      <c r="F37" s="143" t="str">
        <f t="shared" si="4"/>
        <v/>
      </c>
      <c r="G37" s="135" t="str">
        <f t="shared" si="5"/>
        <v/>
      </c>
      <c r="H37" s="143" t="str">
        <f t="shared" si="6"/>
        <v/>
      </c>
    </row>
    <row r="38" spans="1:8" x14ac:dyDescent="0.3">
      <c r="A38" s="4"/>
      <c r="B38" s="21">
        <v>33</v>
      </c>
      <c r="C38" s="285"/>
      <c r="D38" s="286"/>
      <c r="E38" s="135" t="str">
        <f t="shared" si="0"/>
        <v/>
      </c>
      <c r="F38" s="143" t="str">
        <f t="shared" si="4"/>
        <v/>
      </c>
      <c r="G38" s="135" t="str">
        <f t="shared" si="5"/>
        <v/>
      </c>
      <c r="H38" s="143" t="str">
        <f t="shared" si="6"/>
        <v/>
      </c>
    </row>
    <row r="39" spans="1:8" x14ac:dyDescent="0.3">
      <c r="A39" s="4"/>
      <c r="B39" s="21">
        <v>34</v>
      </c>
      <c r="C39" s="285"/>
      <c r="D39" s="286"/>
      <c r="E39" s="135" t="str">
        <f t="shared" si="0"/>
        <v/>
      </c>
      <c r="F39" s="143" t="str">
        <f t="shared" si="4"/>
        <v/>
      </c>
      <c r="G39" s="135" t="str">
        <f t="shared" si="5"/>
        <v/>
      </c>
      <c r="H39" s="143" t="str">
        <f t="shared" si="6"/>
        <v/>
      </c>
    </row>
    <row r="40" spans="1:8" x14ac:dyDescent="0.3">
      <c r="A40" s="4"/>
      <c r="B40" s="21">
        <v>35</v>
      </c>
      <c r="C40" s="285"/>
      <c r="D40" s="286"/>
      <c r="E40" s="135" t="str">
        <f t="shared" si="0"/>
        <v/>
      </c>
      <c r="F40" s="143" t="str">
        <f t="shared" si="4"/>
        <v/>
      </c>
      <c r="G40" s="135" t="str">
        <f t="shared" si="5"/>
        <v/>
      </c>
      <c r="H40" s="143" t="str">
        <f t="shared" si="6"/>
        <v/>
      </c>
    </row>
    <row r="41" spans="1:8" x14ac:dyDescent="0.3">
      <c r="A41" s="4"/>
      <c r="B41" s="21">
        <v>36</v>
      </c>
      <c r="C41" s="285"/>
      <c r="D41" s="286"/>
      <c r="E41" s="135" t="str">
        <f t="shared" si="0"/>
        <v/>
      </c>
      <c r="F41" s="143" t="str">
        <f t="shared" si="4"/>
        <v/>
      </c>
      <c r="G41" s="135" t="str">
        <f t="shared" si="5"/>
        <v/>
      </c>
      <c r="H41" s="143" t="str">
        <f t="shared" si="6"/>
        <v/>
      </c>
    </row>
    <row r="42" spans="1:8" x14ac:dyDescent="0.3">
      <c r="A42" s="4"/>
      <c r="B42" s="21">
        <v>37</v>
      </c>
      <c r="C42" s="285"/>
      <c r="D42" s="286"/>
      <c r="E42" s="135" t="str">
        <f t="shared" si="0"/>
        <v/>
      </c>
      <c r="F42" s="143" t="str">
        <f t="shared" si="4"/>
        <v/>
      </c>
      <c r="G42" s="135" t="str">
        <f t="shared" si="5"/>
        <v/>
      </c>
      <c r="H42" s="143" t="str">
        <f t="shared" si="6"/>
        <v/>
      </c>
    </row>
    <row r="43" spans="1:8" x14ac:dyDescent="0.3">
      <c r="A43" s="4"/>
      <c r="B43" s="21">
        <v>38</v>
      </c>
      <c r="C43" s="285"/>
      <c r="D43" s="286"/>
      <c r="E43" s="135" t="str">
        <f t="shared" si="0"/>
        <v/>
      </c>
      <c r="F43" s="143" t="str">
        <f t="shared" si="4"/>
        <v/>
      </c>
      <c r="G43" s="135" t="str">
        <f t="shared" si="5"/>
        <v/>
      </c>
      <c r="H43" s="143" t="str">
        <f t="shared" si="6"/>
        <v/>
      </c>
    </row>
    <row r="44" spans="1:8" x14ac:dyDescent="0.3">
      <c r="A44" s="4"/>
      <c r="B44" s="21">
        <v>39</v>
      </c>
      <c r="C44" s="285"/>
      <c r="D44" s="286"/>
      <c r="E44" s="135" t="str">
        <f t="shared" si="0"/>
        <v/>
      </c>
      <c r="F44" s="143" t="str">
        <f t="shared" si="4"/>
        <v/>
      </c>
      <c r="G44" s="135" t="str">
        <f t="shared" si="5"/>
        <v/>
      </c>
      <c r="H44" s="143" t="str">
        <f t="shared" si="6"/>
        <v/>
      </c>
    </row>
    <row r="45" spans="1:8" x14ac:dyDescent="0.3">
      <c r="A45" s="4"/>
      <c r="B45" s="21">
        <v>40</v>
      </c>
      <c r="C45" s="285"/>
      <c r="D45" s="286"/>
      <c r="E45" s="135" t="str">
        <f t="shared" si="0"/>
        <v/>
      </c>
      <c r="F45" s="143" t="str">
        <f t="shared" si="4"/>
        <v/>
      </c>
      <c r="G45" s="135" t="str">
        <f t="shared" si="5"/>
        <v/>
      </c>
      <c r="H45" s="143" t="str">
        <f t="shared" si="6"/>
        <v/>
      </c>
    </row>
    <row r="46" spans="1:8" x14ac:dyDescent="0.3">
      <c r="A46" s="4"/>
      <c r="B46" s="21">
        <v>41</v>
      </c>
      <c r="C46" s="285"/>
      <c r="D46" s="286"/>
      <c r="E46" s="135" t="str">
        <f t="shared" si="0"/>
        <v/>
      </c>
      <c r="F46" s="143" t="str">
        <f t="shared" si="4"/>
        <v/>
      </c>
      <c r="G46" s="135" t="str">
        <f t="shared" si="5"/>
        <v/>
      </c>
      <c r="H46" s="143" t="str">
        <f t="shared" si="6"/>
        <v/>
      </c>
    </row>
    <row r="47" spans="1:8" x14ac:dyDescent="0.3">
      <c r="A47" s="4"/>
      <c r="B47" s="21">
        <v>42</v>
      </c>
      <c r="C47" s="285"/>
      <c r="D47" s="286"/>
      <c r="E47" s="135" t="str">
        <f t="shared" si="0"/>
        <v/>
      </c>
      <c r="F47" s="143" t="str">
        <f t="shared" si="4"/>
        <v/>
      </c>
      <c r="G47" s="135" t="str">
        <f t="shared" si="5"/>
        <v/>
      </c>
      <c r="H47" s="143" t="str">
        <f t="shared" si="6"/>
        <v/>
      </c>
    </row>
    <row r="48" spans="1:8" x14ac:dyDescent="0.3">
      <c r="A48" s="4"/>
      <c r="B48" s="21">
        <v>43</v>
      </c>
      <c r="C48" s="285"/>
      <c r="D48" s="286"/>
      <c r="E48" s="135" t="str">
        <f t="shared" si="0"/>
        <v/>
      </c>
      <c r="F48" s="143" t="str">
        <f t="shared" si="4"/>
        <v/>
      </c>
      <c r="G48" s="135" t="str">
        <f t="shared" si="5"/>
        <v/>
      </c>
      <c r="H48" s="143" t="str">
        <f t="shared" si="6"/>
        <v/>
      </c>
    </row>
    <row r="49" spans="1:8" x14ac:dyDescent="0.3">
      <c r="A49" s="4"/>
      <c r="B49" s="21">
        <v>44</v>
      </c>
      <c r="C49" s="285"/>
      <c r="D49" s="286"/>
      <c r="E49" s="135" t="str">
        <f t="shared" si="0"/>
        <v/>
      </c>
      <c r="F49" s="143" t="str">
        <f t="shared" si="4"/>
        <v/>
      </c>
      <c r="G49" s="135" t="str">
        <f t="shared" si="5"/>
        <v/>
      </c>
      <c r="H49" s="143" t="str">
        <f t="shared" si="6"/>
        <v/>
      </c>
    </row>
    <row r="50" spans="1:8" x14ac:dyDescent="0.3">
      <c r="A50" s="4"/>
      <c r="B50" s="21">
        <v>45</v>
      </c>
      <c r="C50" s="285"/>
      <c r="D50" s="286"/>
      <c r="E50" s="135" t="str">
        <f t="shared" si="0"/>
        <v/>
      </c>
      <c r="F50" s="143" t="str">
        <f t="shared" si="4"/>
        <v/>
      </c>
      <c r="G50" s="135" t="str">
        <f t="shared" si="5"/>
        <v/>
      </c>
      <c r="H50" s="143" t="str">
        <f t="shared" si="6"/>
        <v/>
      </c>
    </row>
    <row r="51" spans="1:8" x14ac:dyDescent="0.3">
      <c r="A51" s="4"/>
      <c r="B51" s="21">
        <v>46</v>
      </c>
      <c r="C51" s="285"/>
      <c r="D51" s="286"/>
      <c r="E51" s="135" t="str">
        <f t="shared" si="0"/>
        <v/>
      </c>
      <c r="F51" s="143" t="str">
        <f t="shared" si="4"/>
        <v/>
      </c>
      <c r="G51" s="135" t="str">
        <f t="shared" si="5"/>
        <v/>
      </c>
      <c r="H51" s="143" t="str">
        <f t="shared" si="6"/>
        <v/>
      </c>
    </row>
    <row r="52" spans="1:8" x14ac:dyDescent="0.3">
      <c r="A52" s="4"/>
      <c r="B52" s="21">
        <v>47</v>
      </c>
      <c r="C52" s="285"/>
      <c r="D52" s="286"/>
      <c r="E52" s="135" t="str">
        <f t="shared" si="0"/>
        <v/>
      </c>
      <c r="F52" s="143" t="str">
        <f t="shared" si="4"/>
        <v/>
      </c>
      <c r="G52" s="135" t="str">
        <f t="shared" si="5"/>
        <v/>
      </c>
      <c r="H52" s="143" t="str">
        <f t="shared" si="6"/>
        <v/>
      </c>
    </row>
    <row r="53" spans="1:8" x14ac:dyDescent="0.3">
      <c r="A53" s="4"/>
      <c r="B53" s="21">
        <v>48</v>
      </c>
      <c r="C53" s="285"/>
      <c r="D53" s="286"/>
      <c r="E53" s="135" t="str">
        <f t="shared" si="0"/>
        <v/>
      </c>
      <c r="F53" s="143" t="str">
        <f t="shared" si="4"/>
        <v/>
      </c>
      <c r="G53" s="135" t="str">
        <f t="shared" si="5"/>
        <v/>
      </c>
      <c r="H53" s="143" t="str">
        <f t="shared" si="6"/>
        <v/>
      </c>
    </row>
    <row r="54" spans="1:8" x14ac:dyDescent="0.3">
      <c r="A54" s="4"/>
      <c r="B54" s="21">
        <v>49</v>
      </c>
      <c r="C54" s="285"/>
      <c r="D54" s="286"/>
      <c r="E54" s="135" t="str">
        <f t="shared" si="0"/>
        <v/>
      </c>
      <c r="F54" s="143" t="str">
        <f t="shared" si="4"/>
        <v/>
      </c>
      <c r="G54" s="135" t="str">
        <f t="shared" si="5"/>
        <v/>
      </c>
      <c r="H54" s="143" t="str">
        <f t="shared" si="6"/>
        <v/>
      </c>
    </row>
    <row r="55" spans="1:8" x14ac:dyDescent="0.3">
      <c r="A55" s="4"/>
      <c r="B55" s="21">
        <v>50</v>
      </c>
      <c r="C55" s="285"/>
      <c r="D55" s="286"/>
      <c r="E55" s="135" t="str">
        <f t="shared" si="0"/>
        <v/>
      </c>
      <c r="F55" s="143" t="str">
        <f t="shared" si="4"/>
        <v/>
      </c>
      <c r="G55" s="135" t="str">
        <f t="shared" si="5"/>
        <v/>
      </c>
      <c r="H55" s="143" t="str">
        <f t="shared" si="6"/>
        <v/>
      </c>
    </row>
    <row r="56" spans="1:8" x14ac:dyDescent="0.3">
      <c r="A56" s="4"/>
      <c r="B56" s="21">
        <v>51</v>
      </c>
      <c r="C56" s="285"/>
      <c r="D56" s="286"/>
      <c r="E56" s="135" t="str">
        <f t="shared" si="0"/>
        <v/>
      </c>
      <c r="F56" s="143" t="str">
        <f t="shared" si="4"/>
        <v/>
      </c>
      <c r="G56" s="135" t="str">
        <f t="shared" si="5"/>
        <v/>
      </c>
      <c r="H56" s="143" t="str">
        <f t="shared" si="6"/>
        <v/>
      </c>
    </row>
    <row r="57" spans="1:8" x14ac:dyDescent="0.3">
      <c r="A57" s="4"/>
      <c r="B57" s="21">
        <v>52</v>
      </c>
      <c r="C57" s="285"/>
      <c r="D57" s="286"/>
      <c r="E57" s="135" t="str">
        <f t="shared" si="0"/>
        <v/>
      </c>
      <c r="F57" s="143" t="str">
        <f t="shared" si="4"/>
        <v/>
      </c>
      <c r="G57" s="135" t="str">
        <f t="shared" si="5"/>
        <v/>
      </c>
      <c r="H57" s="143" t="str">
        <f t="shared" si="6"/>
        <v/>
      </c>
    </row>
    <row r="58" spans="1:8" x14ac:dyDescent="0.3">
      <c r="A58" s="4"/>
      <c r="B58" s="21">
        <v>53</v>
      </c>
      <c r="C58" s="285"/>
      <c r="D58" s="286"/>
      <c r="E58" s="135" t="str">
        <f t="shared" si="0"/>
        <v/>
      </c>
      <c r="F58" s="143" t="str">
        <f t="shared" si="4"/>
        <v/>
      </c>
      <c r="G58" s="135" t="str">
        <f t="shared" si="5"/>
        <v/>
      </c>
      <c r="H58" s="143" t="str">
        <f t="shared" si="6"/>
        <v/>
      </c>
    </row>
    <row r="59" spans="1:8" x14ac:dyDescent="0.3">
      <c r="A59" s="4"/>
      <c r="B59" s="21">
        <v>54</v>
      </c>
      <c r="C59" s="285"/>
      <c r="D59" s="286"/>
      <c r="E59" s="135" t="str">
        <f t="shared" si="0"/>
        <v/>
      </c>
      <c r="F59" s="143" t="str">
        <f t="shared" si="4"/>
        <v/>
      </c>
      <c r="G59" s="135" t="str">
        <f t="shared" si="5"/>
        <v/>
      </c>
      <c r="H59" s="143" t="str">
        <f t="shared" si="6"/>
        <v/>
      </c>
    </row>
    <row r="60" spans="1:8" x14ac:dyDescent="0.3">
      <c r="A60" s="4"/>
      <c r="B60" s="21">
        <v>55</v>
      </c>
      <c r="C60" s="285"/>
      <c r="D60" s="286"/>
      <c r="E60" s="135" t="str">
        <f t="shared" si="0"/>
        <v/>
      </c>
      <c r="F60" s="143" t="str">
        <f t="shared" si="4"/>
        <v/>
      </c>
      <c r="G60" s="135" t="str">
        <f t="shared" si="5"/>
        <v/>
      </c>
      <c r="H60" s="143" t="str">
        <f t="shared" si="6"/>
        <v/>
      </c>
    </row>
    <row r="61" spans="1:8" x14ac:dyDescent="0.3">
      <c r="A61" s="4"/>
      <c r="B61" s="21">
        <v>56</v>
      </c>
      <c r="C61" s="285"/>
      <c r="D61" s="286"/>
      <c r="E61" s="135" t="str">
        <f t="shared" si="0"/>
        <v/>
      </c>
      <c r="F61" s="143" t="str">
        <f t="shared" si="4"/>
        <v/>
      </c>
      <c r="G61" s="135" t="str">
        <f t="shared" si="5"/>
        <v/>
      </c>
      <c r="H61" s="143" t="str">
        <f t="shared" si="6"/>
        <v/>
      </c>
    </row>
    <row r="62" spans="1:8" x14ac:dyDescent="0.3">
      <c r="A62" s="4"/>
      <c r="B62" s="21">
        <v>57</v>
      </c>
      <c r="C62" s="285"/>
      <c r="D62" s="286"/>
      <c r="E62" s="135" t="str">
        <f t="shared" si="0"/>
        <v/>
      </c>
      <c r="F62" s="143" t="str">
        <f t="shared" si="4"/>
        <v/>
      </c>
      <c r="G62" s="135" t="str">
        <f t="shared" si="5"/>
        <v/>
      </c>
      <c r="H62" s="143" t="str">
        <f t="shared" si="6"/>
        <v/>
      </c>
    </row>
    <row r="63" spans="1:8" x14ac:dyDescent="0.3">
      <c r="A63" s="4"/>
      <c r="B63" s="21">
        <v>58</v>
      </c>
      <c r="C63" s="285"/>
      <c r="D63" s="286"/>
      <c r="E63" s="135" t="str">
        <f t="shared" si="0"/>
        <v/>
      </c>
      <c r="F63" s="143" t="str">
        <f t="shared" si="4"/>
        <v/>
      </c>
      <c r="G63" s="135" t="str">
        <f t="shared" si="5"/>
        <v/>
      </c>
      <c r="H63" s="143" t="str">
        <f t="shared" si="6"/>
        <v/>
      </c>
    </row>
    <row r="64" spans="1:8" x14ac:dyDescent="0.3">
      <c r="A64" s="4"/>
      <c r="B64" s="21">
        <v>59</v>
      </c>
      <c r="C64" s="285"/>
      <c r="D64" s="286"/>
      <c r="E64" s="135" t="str">
        <f t="shared" si="0"/>
        <v/>
      </c>
      <c r="F64" s="143" t="str">
        <f t="shared" si="4"/>
        <v/>
      </c>
      <c r="G64" s="135" t="str">
        <f t="shared" si="5"/>
        <v/>
      </c>
      <c r="H64" s="143" t="str">
        <f t="shared" si="6"/>
        <v/>
      </c>
    </row>
    <row r="65" spans="1:8" x14ac:dyDescent="0.3">
      <c r="A65" s="4"/>
      <c r="B65" s="21">
        <v>60</v>
      </c>
      <c r="C65" s="285"/>
      <c r="D65" s="286"/>
      <c r="E65" s="135" t="str">
        <f t="shared" si="0"/>
        <v/>
      </c>
      <c r="F65" s="143" t="str">
        <f t="shared" si="4"/>
        <v/>
      </c>
      <c r="G65" s="135" t="str">
        <f t="shared" si="5"/>
        <v/>
      </c>
      <c r="H65" s="143" t="str">
        <f t="shared" si="6"/>
        <v/>
      </c>
    </row>
    <row r="66" spans="1:8" x14ac:dyDescent="0.3">
      <c r="A66" s="4"/>
      <c r="B66" s="21">
        <v>61</v>
      </c>
      <c r="C66" s="285"/>
      <c r="D66" s="286"/>
      <c r="E66" s="135" t="str">
        <f t="shared" si="0"/>
        <v/>
      </c>
      <c r="F66" s="143" t="str">
        <f t="shared" si="4"/>
        <v/>
      </c>
      <c r="G66" s="135" t="str">
        <f t="shared" si="5"/>
        <v/>
      </c>
      <c r="H66" s="143" t="str">
        <f t="shared" si="6"/>
        <v/>
      </c>
    </row>
    <row r="67" spans="1:8" x14ac:dyDescent="0.3">
      <c r="A67" s="4"/>
      <c r="B67" s="21">
        <v>62</v>
      </c>
      <c r="C67" s="285"/>
      <c r="D67" s="286"/>
      <c r="E67" s="135" t="str">
        <f t="shared" si="0"/>
        <v/>
      </c>
      <c r="F67" s="143" t="str">
        <f t="shared" si="4"/>
        <v/>
      </c>
      <c r="G67" s="135" t="str">
        <f t="shared" si="5"/>
        <v/>
      </c>
      <c r="H67" s="143" t="str">
        <f t="shared" si="6"/>
        <v/>
      </c>
    </row>
    <row r="68" spans="1:8" x14ac:dyDescent="0.3">
      <c r="A68" s="4"/>
      <c r="B68" s="21">
        <v>63</v>
      </c>
      <c r="C68" s="285"/>
      <c r="D68" s="286"/>
      <c r="E68" s="135" t="str">
        <f t="shared" si="0"/>
        <v/>
      </c>
      <c r="F68" s="143" t="str">
        <f t="shared" si="4"/>
        <v/>
      </c>
      <c r="G68" s="135" t="str">
        <f t="shared" si="5"/>
        <v/>
      </c>
      <c r="H68" s="143" t="str">
        <f t="shared" si="6"/>
        <v/>
      </c>
    </row>
    <row r="69" spans="1:8" x14ac:dyDescent="0.3">
      <c r="A69" s="4"/>
      <c r="B69" s="21">
        <v>64</v>
      </c>
      <c r="C69" s="285"/>
      <c r="D69" s="286"/>
      <c r="E69" s="135" t="str">
        <f t="shared" si="0"/>
        <v/>
      </c>
      <c r="F69" s="143" t="str">
        <f t="shared" si="4"/>
        <v/>
      </c>
      <c r="G69" s="135" t="str">
        <f t="shared" si="5"/>
        <v/>
      </c>
      <c r="H69" s="143" t="str">
        <f t="shared" si="6"/>
        <v/>
      </c>
    </row>
    <row r="70" spans="1:8" x14ac:dyDescent="0.3">
      <c r="A70" s="4"/>
      <c r="B70" s="21">
        <v>65</v>
      </c>
      <c r="C70" s="285"/>
      <c r="D70" s="286"/>
      <c r="E70" s="135" t="str">
        <f t="shared" si="0"/>
        <v/>
      </c>
      <c r="F70" s="143" t="str">
        <f t="shared" si="4"/>
        <v/>
      </c>
      <c r="G70" s="135" t="str">
        <f t="shared" si="5"/>
        <v/>
      </c>
      <c r="H70" s="143" t="str">
        <f t="shared" si="6"/>
        <v/>
      </c>
    </row>
    <row r="71" spans="1:8" x14ac:dyDescent="0.3">
      <c r="A71" s="4"/>
      <c r="B71" s="21">
        <v>66</v>
      </c>
      <c r="C71" s="285"/>
      <c r="D71" s="286"/>
      <c r="E71" s="135" t="str">
        <f>IF(D71="","",ROUNDUP(D71,0))</f>
        <v/>
      </c>
      <c r="F71" s="143" t="str">
        <f t="shared" si="4"/>
        <v/>
      </c>
      <c r="G71" s="135" t="str">
        <f t="shared" si="5"/>
        <v/>
      </c>
      <c r="H71" s="143" t="str">
        <f t="shared" si="6"/>
        <v/>
      </c>
    </row>
    <row r="72" spans="1:8" x14ac:dyDescent="0.3">
      <c r="A72" s="4"/>
      <c r="B72" s="21">
        <v>67</v>
      </c>
      <c r="C72" s="285"/>
      <c r="D72" s="286"/>
      <c r="E72" s="135" t="str">
        <f>IF(D72="","",ROUNDUP(D72,0))</f>
        <v/>
      </c>
      <c r="F72" s="143" t="str">
        <f t="shared" si="4"/>
        <v/>
      </c>
      <c r="G72" s="135" t="str">
        <f t="shared" si="5"/>
        <v/>
      </c>
      <c r="H72" s="143" t="str">
        <f t="shared" si="6"/>
        <v/>
      </c>
    </row>
    <row r="73" spans="1:8" x14ac:dyDescent="0.3">
      <c r="A73" s="4"/>
      <c r="B73" s="21">
        <v>68</v>
      </c>
      <c r="C73" s="285"/>
      <c r="D73" s="286"/>
      <c r="E73" s="135" t="str">
        <f>IF(D73="","",ROUNDUP(D73,0))</f>
        <v/>
      </c>
      <c r="F73" s="143" t="str">
        <f t="shared" si="4"/>
        <v/>
      </c>
      <c r="G73" s="135" t="str">
        <f t="shared" si="5"/>
        <v/>
      </c>
      <c r="H73" s="143" t="str">
        <f t="shared" si="6"/>
        <v/>
      </c>
    </row>
    <row r="74" spans="1:8" x14ac:dyDescent="0.3">
      <c r="A74" s="4"/>
      <c r="B74" s="21">
        <v>69</v>
      </c>
      <c r="C74" s="285"/>
      <c r="D74" s="286"/>
      <c r="E74" s="135" t="str">
        <f>IF(D74="","",ROUNDUP(D74,0))</f>
        <v/>
      </c>
      <c r="F74" s="143" t="str">
        <f t="shared" si="4"/>
        <v/>
      </c>
      <c r="G74" s="135" t="str">
        <f t="shared" si="5"/>
        <v/>
      </c>
      <c r="H74" s="143" t="str">
        <f t="shared" si="6"/>
        <v/>
      </c>
    </row>
    <row r="75" spans="1:8" x14ac:dyDescent="0.3">
      <c r="A75" s="4"/>
      <c r="B75" s="21">
        <v>70</v>
      </c>
      <c r="C75" s="285"/>
      <c r="D75" s="286"/>
      <c r="E75" s="135" t="str">
        <f t="shared" ref="E75:E138" si="7">IF(D75="","",ROUNDUP(D75,0))</f>
        <v/>
      </c>
      <c r="F75" s="143" t="str">
        <f t="shared" ref="F75:F138" si="8">IF(C75="","",INDEX(V_UNITARIOMATERIAL,MATCH(C75,L_MATERIALES,0)))</f>
        <v/>
      </c>
      <c r="G75" s="135" t="str">
        <f t="shared" ref="G75:G138" si="9">IF(C75="","",INDEX(U_MATERIAL,MATCH(C75,L_MATERIALES,0)))</f>
        <v/>
      </c>
      <c r="H75" s="143" t="str">
        <f t="shared" ref="H75:H138" si="10">IF(E75="","",F75*E75)</f>
        <v/>
      </c>
    </row>
    <row r="76" spans="1:8" x14ac:dyDescent="0.3">
      <c r="A76" s="4"/>
      <c r="B76" s="21">
        <v>71</v>
      </c>
      <c r="C76" s="285"/>
      <c r="D76" s="286"/>
      <c r="E76" s="135" t="str">
        <f t="shared" si="7"/>
        <v/>
      </c>
      <c r="F76" s="143" t="str">
        <f t="shared" si="8"/>
        <v/>
      </c>
      <c r="G76" s="135" t="str">
        <f t="shared" si="9"/>
        <v/>
      </c>
      <c r="H76" s="143" t="str">
        <f t="shared" si="10"/>
        <v/>
      </c>
    </row>
    <row r="77" spans="1:8" x14ac:dyDescent="0.3">
      <c r="B77" s="21">
        <v>72</v>
      </c>
      <c r="C77" s="285"/>
      <c r="D77" s="286"/>
      <c r="E77" s="135" t="str">
        <f t="shared" si="7"/>
        <v/>
      </c>
      <c r="F77" s="143" t="str">
        <f t="shared" si="8"/>
        <v/>
      </c>
      <c r="G77" s="135" t="str">
        <f t="shared" si="9"/>
        <v/>
      </c>
      <c r="H77" s="143" t="str">
        <f t="shared" si="10"/>
        <v/>
      </c>
    </row>
    <row r="78" spans="1:8" x14ac:dyDescent="0.3">
      <c r="B78" s="21">
        <v>73</v>
      </c>
      <c r="C78" s="285"/>
      <c r="D78" s="286"/>
      <c r="E78" s="135" t="str">
        <f t="shared" si="7"/>
        <v/>
      </c>
      <c r="F78" s="143" t="str">
        <f t="shared" si="8"/>
        <v/>
      </c>
      <c r="G78" s="135" t="str">
        <f t="shared" si="9"/>
        <v/>
      </c>
      <c r="H78" s="143" t="str">
        <f t="shared" si="10"/>
        <v/>
      </c>
    </row>
    <row r="79" spans="1:8" x14ac:dyDescent="0.3">
      <c r="B79" s="21">
        <v>74</v>
      </c>
      <c r="C79" s="285"/>
      <c r="D79" s="286"/>
      <c r="E79" s="135" t="str">
        <f t="shared" si="7"/>
        <v/>
      </c>
      <c r="F79" s="143" t="str">
        <f t="shared" si="8"/>
        <v/>
      </c>
      <c r="G79" s="135" t="str">
        <f t="shared" si="9"/>
        <v/>
      </c>
      <c r="H79" s="143" t="str">
        <f t="shared" si="10"/>
        <v/>
      </c>
    </row>
    <row r="80" spans="1:8" x14ac:dyDescent="0.3">
      <c r="B80" s="21">
        <v>75</v>
      </c>
      <c r="C80" s="285"/>
      <c r="D80" s="286"/>
      <c r="E80" s="135" t="str">
        <f t="shared" si="7"/>
        <v/>
      </c>
      <c r="F80" s="143" t="str">
        <f t="shared" si="8"/>
        <v/>
      </c>
      <c r="G80" s="135" t="str">
        <f t="shared" si="9"/>
        <v/>
      </c>
      <c r="H80" s="143" t="str">
        <f t="shared" si="10"/>
        <v/>
      </c>
    </row>
    <row r="81" spans="2:8" x14ac:dyDescent="0.3">
      <c r="B81" s="21">
        <v>76</v>
      </c>
      <c r="C81" s="285"/>
      <c r="D81" s="286"/>
      <c r="E81" s="135" t="str">
        <f t="shared" si="7"/>
        <v/>
      </c>
      <c r="F81" s="143" t="str">
        <f t="shared" si="8"/>
        <v/>
      </c>
      <c r="G81" s="135" t="str">
        <f t="shared" si="9"/>
        <v/>
      </c>
      <c r="H81" s="143" t="str">
        <f t="shared" si="10"/>
        <v/>
      </c>
    </row>
    <row r="82" spans="2:8" x14ac:dyDescent="0.3">
      <c r="B82" s="21">
        <v>77</v>
      </c>
      <c r="C82" s="285"/>
      <c r="D82" s="286"/>
      <c r="E82" s="135" t="str">
        <f t="shared" si="7"/>
        <v/>
      </c>
      <c r="F82" s="143" t="str">
        <f t="shared" si="8"/>
        <v/>
      </c>
      <c r="G82" s="135" t="str">
        <f t="shared" si="9"/>
        <v/>
      </c>
      <c r="H82" s="143" t="str">
        <f t="shared" si="10"/>
        <v/>
      </c>
    </row>
    <row r="83" spans="2:8" x14ac:dyDescent="0.3">
      <c r="B83" s="21">
        <v>78</v>
      </c>
      <c r="C83" s="285"/>
      <c r="D83" s="286"/>
      <c r="E83" s="135" t="str">
        <f t="shared" si="7"/>
        <v/>
      </c>
      <c r="F83" s="143" t="str">
        <f t="shared" si="8"/>
        <v/>
      </c>
      <c r="G83" s="135" t="str">
        <f t="shared" si="9"/>
        <v/>
      </c>
      <c r="H83" s="143" t="str">
        <f t="shared" si="10"/>
        <v/>
      </c>
    </row>
    <row r="84" spans="2:8" x14ac:dyDescent="0.3">
      <c r="B84" s="21">
        <v>79</v>
      </c>
      <c r="C84" s="285"/>
      <c r="D84" s="286"/>
      <c r="E84" s="135" t="str">
        <f t="shared" si="7"/>
        <v/>
      </c>
      <c r="F84" s="143" t="str">
        <f t="shared" si="8"/>
        <v/>
      </c>
      <c r="G84" s="135" t="str">
        <f t="shared" si="9"/>
        <v/>
      </c>
      <c r="H84" s="143" t="str">
        <f t="shared" si="10"/>
        <v/>
      </c>
    </row>
    <row r="85" spans="2:8" x14ac:dyDescent="0.3">
      <c r="B85" s="21">
        <v>80</v>
      </c>
      <c r="C85" s="285"/>
      <c r="D85" s="286"/>
      <c r="E85" s="135" t="str">
        <f t="shared" si="7"/>
        <v/>
      </c>
      <c r="F85" s="143" t="str">
        <f t="shared" si="8"/>
        <v/>
      </c>
      <c r="G85" s="135" t="str">
        <f t="shared" si="9"/>
        <v/>
      </c>
      <c r="H85" s="143" t="str">
        <f t="shared" si="10"/>
        <v/>
      </c>
    </row>
    <row r="86" spans="2:8" x14ac:dyDescent="0.3">
      <c r="B86" s="21">
        <v>81</v>
      </c>
      <c r="C86" s="285"/>
      <c r="D86" s="286"/>
      <c r="E86" s="135" t="str">
        <f t="shared" si="7"/>
        <v/>
      </c>
      <c r="F86" s="143" t="str">
        <f t="shared" si="8"/>
        <v/>
      </c>
      <c r="G86" s="135" t="str">
        <f t="shared" si="9"/>
        <v/>
      </c>
      <c r="H86" s="143" t="str">
        <f t="shared" si="10"/>
        <v/>
      </c>
    </row>
    <row r="87" spans="2:8" x14ac:dyDescent="0.3">
      <c r="B87" s="21">
        <v>82</v>
      </c>
      <c r="C87" s="285"/>
      <c r="D87" s="286"/>
      <c r="E87" s="135" t="str">
        <f t="shared" si="7"/>
        <v/>
      </c>
      <c r="F87" s="143" t="str">
        <f t="shared" si="8"/>
        <v/>
      </c>
      <c r="G87" s="135" t="str">
        <f t="shared" si="9"/>
        <v/>
      </c>
      <c r="H87" s="143" t="str">
        <f t="shared" si="10"/>
        <v/>
      </c>
    </row>
    <row r="88" spans="2:8" x14ac:dyDescent="0.3">
      <c r="B88" s="21">
        <v>83</v>
      </c>
      <c r="C88" s="285"/>
      <c r="D88" s="286"/>
      <c r="E88" s="135" t="str">
        <f t="shared" si="7"/>
        <v/>
      </c>
      <c r="F88" s="143" t="str">
        <f t="shared" si="8"/>
        <v/>
      </c>
      <c r="G88" s="135" t="str">
        <f t="shared" si="9"/>
        <v/>
      </c>
      <c r="H88" s="143" t="str">
        <f t="shared" si="10"/>
        <v/>
      </c>
    </row>
    <row r="89" spans="2:8" x14ac:dyDescent="0.3">
      <c r="B89" s="21">
        <v>84</v>
      </c>
      <c r="C89" s="285"/>
      <c r="D89" s="286"/>
      <c r="E89" s="135" t="str">
        <f t="shared" si="7"/>
        <v/>
      </c>
      <c r="F89" s="143" t="str">
        <f t="shared" si="8"/>
        <v/>
      </c>
      <c r="G89" s="135" t="str">
        <f t="shared" si="9"/>
        <v/>
      </c>
      <c r="H89" s="143" t="str">
        <f t="shared" si="10"/>
        <v/>
      </c>
    </row>
    <row r="90" spans="2:8" x14ac:dyDescent="0.3">
      <c r="B90" s="21">
        <v>85</v>
      </c>
      <c r="C90" s="285"/>
      <c r="D90" s="286"/>
      <c r="E90" s="135" t="str">
        <f t="shared" si="7"/>
        <v/>
      </c>
      <c r="F90" s="143" t="str">
        <f t="shared" si="8"/>
        <v/>
      </c>
      <c r="G90" s="135" t="str">
        <f t="shared" si="9"/>
        <v/>
      </c>
      <c r="H90" s="143" t="str">
        <f t="shared" si="10"/>
        <v/>
      </c>
    </row>
    <row r="91" spans="2:8" x14ac:dyDescent="0.3">
      <c r="B91" s="21">
        <v>86</v>
      </c>
      <c r="C91" s="285"/>
      <c r="D91" s="286"/>
      <c r="E91" s="135" t="str">
        <f t="shared" si="7"/>
        <v/>
      </c>
      <c r="F91" s="143" t="str">
        <f t="shared" si="8"/>
        <v/>
      </c>
      <c r="G91" s="135" t="str">
        <f t="shared" si="9"/>
        <v/>
      </c>
      <c r="H91" s="143" t="str">
        <f t="shared" si="10"/>
        <v/>
      </c>
    </row>
    <row r="92" spans="2:8" x14ac:dyDescent="0.3">
      <c r="B92" s="21">
        <v>87</v>
      </c>
      <c r="C92" s="285"/>
      <c r="D92" s="286"/>
      <c r="E92" s="135" t="str">
        <f t="shared" si="7"/>
        <v/>
      </c>
      <c r="F92" s="143" t="str">
        <f t="shared" si="8"/>
        <v/>
      </c>
      <c r="G92" s="135" t="str">
        <f t="shared" si="9"/>
        <v/>
      </c>
      <c r="H92" s="143" t="str">
        <f t="shared" si="10"/>
        <v/>
      </c>
    </row>
    <row r="93" spans="2:8" x14ac:dyDescent="0.3">
      <c r="B93" s="21">
        <v>88</v>
      </c>
      <c r="C93" s="285"/>
      <c r="D93" s="286"/>
      <c r="E93" s="135" t="str">
        <f t="shared" si="7"/>
        <v/>
      </c>
      <c r="F93" s="143" t="str">
        <f t="shared" si="8"/>
        <v/>
      </c>
      <c r="G93" s="135" t="str">
        <f t="shared" si="9"/>
        <v/>
      </c>
      <c r="H93" s="143" t="str">
        <f t="shared" si="10"/>
        <v/>
      </c>
    </row>
    <row r="94" spans="2:8" x14ac:dyDescent="0.3">
      <c r="B94" s="21">
        <v>89</v>
      </c>
      <c r="C94" s="285"/>
      <c r="D94" s="286"/>
      <c r="E94" s="135" t="str">
        <f t="shared" si="7"/>
        <v/>
      </c>
      <c r="F94" s="143" t="str">
        <f t="shared" si="8"/>
        <v/>
      </c>
      <c r="G94" s="135" t="str">
        <f t="shared" si="9"/>
        <v/>
      </c>
      <c r="H94" s="143" t="str">
        <f t="shared" si="10"/>
        <v/>
      </c>
    </row>
    <row r="95" spans="2:8" x14ac:dyDescent="0.3">
      <c r="B95" s="21">
        <v>90</v>
      </c>
      <c r="C95" s="285"/>
      <c r="D95" s="286"/>
      <c r="E95" s="135" t="str">
        <f t="shared" si="7"/>
        <v/>
      </c>
      <c r="F95" s="143" t="str">
        <f t="shared" si="8"/>
        <v/>
      </c>
      <c r="G95" s="135" t="str">
        <f t="shared" si="9"/>
        <v/>
      </c>
      <c r="H95" s="143" t="str">
        <f t="shared" si="10"/>
        <v/>
      </c>
    </row>
    <row r="96" spans="2:8" x14ac:dyDescent="0.3">
      <c r="B96" s="21">
        <v>91</v>
      </c>
      <c r="C96" s="285"/>
      <c r="D96" s="286"/>
      <c r="E96" s="135" t="str">
        <f t="shared" si="7"/>
        <v/>
      </c>
      <c r="F96" s="143" t="str">
        <f t="shared" si="8"/>
        <v/>
      </c>
      <c r="G96" s="135" t="str">
        <f t="shared" si="9"/>
        <v/>
      </c>
      <c r="H96" s="143" t="str">
        <f t="shared" si="10"/>
        <v/>
      </c>
    </row>
    <row r="97" spans="2:8" x14ac:dyDescent="0.3">
      <c r="B97" s="21">
        <v>92</v>
      </c>
      <c r="C97" s="285"/>
      <c r="D97" s="286"/>
      <c r="E97" s="135" t="str">
        <f t="shared" si="7"/>
        <v/>
      </c>
      <c r="F97" s="143" t="str">
        <f t="shared" si="8"/>
        <v/>
      </c>
      <c r="G97" s="135" t="str">
        <f t="shared" si="9"/>
        <v/>
      </c>
      <c r="H97" s="143" t="str">
        <f t="shared" si="10"/>
        <v/>
      </c>
    </row>
    <row r="98" spans="2:8" x14ac:dyDescent="0.3">
      <c r="B98" s="21">
        <v>93</v>
      </c>
      <c r="C98" s="285"/>
      <c r="D98" s="286"/>
      <c r="E98" s="135" t="str">
        <f t="shared" si="7"/>
        <v/>
      </c>
      <c r="F98" s="143" t="str">
        <f t="shared" si="8"/>
        <v/>
      </c>
      <c r="G98" s="135" t="str">
        <f t="shared" si="9"/>
        <v/>
      </c>
      <c r="H98" s="143" t="str">
        <f t="shared" si="10"/>
        <v/>
      </c>
    </row>
    <row r="99" spans="2:8" x14ac:dyDescent="0.3">
      <c r="B99" s="21">
        <v>94</v>
      </c>
      <c r="C99" s="285"/>
      <c r="D99" s="286"/>
      <c r="E99" s="135" t="str">
        <f t="shared" si="7"/>
        <v/>
      </c>
      <c r="F99" s="143" t="str">
        <f t="shared" si="8"/>
        <v/>
      </c>
      <c r="G99" s="135" t="str">
        <f t="shared" si="9"/>
        <v/>
      </c>
      <c r="H99" s="143" t="str">
        <f t="shared" si="10"/>
        <v/>
      </c>
    </row>
    <row r="100" spans="2:8" x14ac:dyDescent="0.3">
      <c r="B100" s="21">
        <v>95</v>
      </c>
      <c r="C100" s="285"/>
      <c r="D100" s="286"/>
      <c r="E100" s="135" t="str">
        <f t="shared" si="7"/>
        <v/>
      </c>
      <c r="F100" s="143" t="str">
        <f t="shared" si="8"/>
        <v/>
      </c>
      <c r="G100" s="135" t="str">
        <f t="shared" si="9"/>
        <v/>
      </c>
      <c r="H100" s="143" t="str">
        <f t="shared" si="10"/>
        <v/>
      </c>
    </row>
    <row r="101" spans="2:8" x14ac:dyDescent="0.3">
      <c r="B101" s="21">
        <v>96</v>
      </c>
      <c r="C101" s="285"/>
      <c r="D101" s="286"/>
      <c r="E101" s="135" t="str">
        <f t="shared" si="7"/>
        <v/>
      </c>
      <c r="F101" s="143" t="str">
        <f t="shared" si="8"/>
        <v/>
      </c>
      <c r="G101" s="135" t="str">
        <f t="shared" si="9"/>
        <v/>
      </c>
      <c r="H101" s="143" t="str">
        <f t="shared" si="10"/>
        <v/>
      </c>
    </row>
    <row r="102" spans="2:8" x14ac:dyDescent="0.3">
      <c r="B102" s="21">
        <v>97</v>
      </c>
      <c r="C102" s="285"/>
      <c r="D102" s="286"/>
      <c r="E102" s="135" t="str">
        <f t="shared" si="7"/>
        <v/>
      </c>
      <c r="F102" s="143" t="str">
        <f t="shared" si="8"/>
        <v/>
      </c>
      <c r="G102" s="135" t="str">
        <f t="shared" si="9"/>
        <v/>
      </c>
      <c r="H102" s="143" t="str">
        <f t="shared" si="10"/>
        <v/>
      </c>
    </row>
    <row r="103" spans="2:8" x14ac:dyDescent="0.3">
      <c r="B103" s="21">
        <v>98</v>
      </c>
      <c r="C103" s="285"/>
      <c r="D103" s="286"/>
      <c r="E103" s="135" t="str">
        <f t="shared" si="7"/>
        <v/>
      </c>
      <c r="F103" s="143" t="str">
        <f t="shared" si="8"/>
        <v/>
      </c>
      <c r="G103" s="135" t="str">
        <f t="shared" si="9"/>
        <v/>
      </c>
      <c r="H103" s="143" t="str">
        <f t="shared" si="10"/>
        <v/>
      </c>
    </row>
    <row r="104" spans="2:8" x14ac:dyDescent="0.3">
      <c r="B104" s="21">
        <v>99</v>
      </c>
      <c r="C104" s="285"/>
      <c r="D104" s="286"/>
      <c r="E104" s="135" t="str">
        <f t="shared" si="7"/>
        <v/>
      </c>
      <c r="F104" s="143" t="str">
        <f t="shared" si="8"/>
        <v/>
      </c>
      <c r="G104" s="135" t="str">
        <f t="shared" si="9"/>
        <v/>
      </c>
      <c r="H104" s="143" t="str">
        <f t="shared" si="10"/>
        <v/>
      </c>
    </row>
    <row r="105" spans="2:8" x14ac:dyDescent="0.3">
      <c r="B105" s="21">
        <v>100</v>
      </c>
      <c r="C105" s="285"/>
      <c r="D105" s="286"/>
      <c r="E105" s="135" t="str">
        <f t="shared" si="7"/>
        <v/>
      </c>
      <c r="F105" s="143" t="str">
        <f t="shared" si="8"/>
        <v/>
      </c>
      <c r="G105" s="135" t="str">
        <f t="shared" si="9"/>
        <v/>
      </c>
      <c r="H105" s="143" t="str">
        <f t="shared" si="10"/>
        <v/>
      </c>
    </row>
    <row r="106" spans="2:8" x14ac:dyDescent="0.3">
      <c r="B106" s="21">
        <v>101</v>
      </c>
      <c r="C106" s="285"/>
      <c r="D106" s="286"/>
      <c r="E106" s="135" t="str">
        <f t="shared" si="7"/>
        <v/>
      </c>
      <c r="F106" s="143" t="str">
        <f t="shared" si="8"/>
        <v/>
      </c>
      <c r="G106" s="135" t="str">
        <f t="shared" si="9"/>
        <v/>
      </c>
      <c r="H106" s="143" t="str">
        <f t="shared" si="10"/>
        <v/>
      </c>
    </row>
    <row r="107" spans="2:8" x14ac:dyDescent="0.3">
      <c r="B107" s="21">
        <v>102</v>
      </c>
      <c r="C107" s="285"/>
      <c r="D107" s="286"/>
      <c r="E107" s="135" t="str">
        <f t="shared" si="7"/>
        <v/>
      </c>
      <c r="F107" s="143" t="str">
        <f t="shared" si="8"/>
        <v/>
      </c>
      <c r="G107" s="135" t="str">
        <f t="shared" si="9"/>
        <v/>
      </c>
      <c r="H107" s="143" t="str">
        <f t="shared" si="10"/>
        <v/>
      </c>
    </row>
    <row r="108" spans="2:8" x14ac:dyDescent="0.3">
      <c r="B108" s="21">
        <v>103</v>
      </c>
      <c r="C108" s="285"/>
      <c r="D108" s="286"/>
      <c r="E108" s="135" t="str">
        <f t="shared" si="7"/>
        <v/>
      </c>
      <c r="F108" s="143" t="str">
        <f t="shared" si="8"/>
        <v/>
      </c>
      <c r="G108" s="135" t="str">
        <f t="shared" si="9"/>
        <v/>
      </c>
      <c r="H108" s="143" t="str">
        <f t="shared" si="10"/>
        <v/>
      </c>
    </row>
    <row r="109" spans="2:8" x14ac:dyDescent="0.3">
      <c r="B109" s="21">
        <v>104</v>
      </c>
      <c r="C109" s="285"/>
      <c r="D109" s="286"/>
      <c r="E109" s="135" t="str">
        <f t="shared" si="7"/>
        <v/>
      </c>
      <c r="F109" s="143" t="str">
        <f t="shared" si="8"/>
        <v/>
      </c>
      <c r="G109" s="135" t="str">
        <f t="shared" si="9"/>
        <v/>
      </c>
      <c r="H109" s="143" t="str">
        <f t="shared" si="10"/>
        <v/>
      </c>
    </row>
    <row r="110" spans="2:8" x14ac:dyDescent="0.3">
      <c r="B110" s="21">
        <v>105</v>
      </c>
      <c r="C110" s="285"/>
      <c r="D110" s="286"/>
      <c r="E110" s="135" t="str">
        <f t="shared" si="7"/>
        <v/>
      </c>
      <c r="F110" s="143" t="str">
        <f t="shared" si="8"/>
        <v/>
      </c>
      <c r="G110" s="135" t="str">
        <f t="shared" si="9"/>
        <v/>
      </c>
      <c r="H110" s="143" t="str">
        <f t="shared" si="10"/>
        <v/>
      </c>
    </row>
    <row r="111" spans="2:8" x14ac:dyDescent="0.3">
      <c r="B111" s="21">
        <v>106</v>
      </c>
      <c r="C111" s="285"/>
      <c r="D111" s="286"/>
      <c r="E111" s="135" t="str">
        <f t="shared" si="7"/>
        <v/>
      </c>
      <c r="F111" s="143" t="str">
        <f t="shared" si="8"/>
        <v/>
      </c>
      <c r="G111" s="135" t="str">
        <f t="shared" si="9"/>
        <v/>
      </c>
      <c r="H111" s="143" t="str">
        <f t="shared" si="10"/>
        <v/>
      </c>
    </row>
    <row r="112" spans="2:8" x14ac:dyDescent="0.3">
      <c r="B112" s="21">
        <v>107</v>
      </c>
      <c r="C112" s="285"/>
      <c r="D112" s="286"/>
      <c r="E112" s="135" t="str">
        <f t="shared" si="7"/>
        <v/>
      </c>
      <c r="F112" s="143" t="str">
        <f t="shared" si="8"/>
        <v/>
      </c>
      <c r="G112" s="135" t="str">
        <f t="shared" si="9"/>
        <v/>
      </c>
      <c r="H112" s="143" t="str">
        <f t="shared" si="10"/>
        <v/>
      </c>
    </row>
    <row r="113" spans="2:8" x14ac:dyDescent="0.3">
      <c r="B113" s="21">
        <v>108</v>
      </c>
      <c r="C113" s="285"/>
      <c r="D113" s="286"/>
      <c r="E113" s="135" t="str">
        <f t="shared" si="7"/>
        <v/>
      </c>
      <c r="F113" s="143" t="str">
        <f t="shared" si="8"/>
        <v/>
      </c>
      <c r="G113" s="135" t="str">
        <f t="shared" si="9"/>
        <v/>
      </c>
      <c r="H113" s="143" t="str">
        <f t="shared" si="10"/>
        <v/>
      </c>
    </row>
    <row r="114" spans="2:8" x14ac:dyDescent="0.3">
      <c r="B114" s="21">
        <v>109</v>
      </c>
      <c r="C114" s="285"/>
      <c r="D114" s="286"/>
      <c r="E114" s="135" t="str">
        <f t="shared" si="7"/>
        <v/>
      </c>
      <c r="F114" s="143" t="str">
        <f t="shared" si="8"/>
        <v/>
      </c>
      <c r="G114" s="135" t="str">
        <f t="shared" si="9"/>
        <v/>
      </c>
      <c r="H114" s="143" t="str">
        <f t="shared" si="10"/>
        <v/>
      </c>
    </row>
    <row r="115" spans="2:8" x14ac:dyDescent="0.3">
      <c r="B115" s="21">
        <v>110</v>
      </c>
      <c r="C115" s="285"/>
      <c r="D115" s="286"/>
      <c r="E115" s="135" t="str">
        <f t="shared" si="7"/>
        <v/>
      </c>
      <c r="F115" s="143" t="str">
        <f t="shared" si="8"/>
        <v/>
      </c>
      <c r="G115" s="135" t="str">
        <f t="shared" si="9"/>
        <v/>
      </c>
      <c r="H115" s="143" t="str">
        <f t="shared" si="10"/>
        <v/>
      </c>
    </row>
    <row r="116" spans="2:8" x14ac:dyDescent="0.3">
      <c r="B116" s="21">
        <v>111</v>
      </c>
      <c r="C116" s="285"/>
      <c r="D116" s="286"/>
      <c r="E116" s="135" t="str">
        <f t="shared" si="7"/>
        <v/>
      </c>
      <c r="F116" s="143" t="str">
        <f t="shared" si="8"/>
        <v/>
      </c>
      <c r="G116" s="135" t="str">
        <f t="shared" si="9"/>
        <v/>
      </c>
      <c r="H116" s="143" t="str">
        <f t="shared" si="10"/>
        <v/>
      </c>
    </row>
    <row r="117" spans="2:8" x14ac:dyDescent="0.3">
      <c r="B117" s="21">
        <v>112</v>
      </c>
      <c r="C117" s="285"/>
      <c r="D117" s="286"/>
      <c r="E117" s="135" t="str">
        <f t="shared" si="7"/>
        <v/>
      </c>
      <c r="F117" s="143" t="str">
        <f t="shared" si="8"/>
        <v/>
      </c>
      <c r="G117" s="135" t="str">
        <f t="shared" si="9"/>
        <v/>
      </c>
      <c r="H117" s="143" t="str">
        <f t="shared" si="10"/>
        <v/>
      </c>
    </row>
    <row r="118" spans="2:8" x14ac:dyDescent="0.3">
      <c r="B118" s="21">
        <v>113</v>
      </c>
      <c r="C118" s="285"/>
      <c r="D118" s="286"/>
      <c r="E118" s="135" t="str">
        <f t="shared" si="7"/>
        <v/>
      </c>
      <c r="F118" s="143" t="str">
        <f t="shared" si="8"/>
        <v/>
      </c>
      <c r="G118" s="135" t="str">
        <f t="shared" si="9"/>
        <v/>
      </c>
      <c r="H118" s="143" t="str">
        <f t="shared" si="10"/>
        <v/>
      </c>
    </row>
    <row r="119" spans="2:8" x14ac:dyDescent="0.3">
      <c r="B119" s="21">
        <v>114</v>
      </c>
      <c r="C119" s="285"/>
      <c r="D119" s="286"/>
      <c r="E119" s="135" t="str">
        <f t="shared" si="7"/>
        <v/>
      </c>
      <c r="F119" s="143" t="str">
        <f t="shared" si="8"/>
        <v/>
      </c>
      <c r="G119" s="135" t="str">
        <f t="shared" si="9"/>
        <v/>
      </c>
      <c r="H119" s="143" t="str">
        <f t="shared" si="10"/>
        <v/>
      </c>
    </row>
    <row r="120" spans="2:8" x14ac:dyDescent="0.3">
      <c r="B120" s="21">
        <v>115</v>
      </c>
      <c r="C120" s="285"/>
      <c r="D120" s="286"/>
      <c r="E120" s="135" t="str">
        <f t="shared" si="7"/>
        <v/>
      </c>
      <c r="F120" s="143" t="str">
        <f t="shared" si="8"/>
        <v/>
      </c>
      <c r="G120" s="135" t="str">
        <f t="shared" si="9"/>
        <v/>
      </c>
      <c r="H120" s="143" t="str">
        <f t="shared" si="10"/>
        <v/>
      </c>
    </row>
    <row r="121" spans="2:8" x14ac:dyDescent="0.3">
      <c r="B121" s="21">
        <v>116</v>
      </c>
      <c r="C121" s="285"/>
      <c r="D121" s="286"/>
      <c r="E121" s="135" t="str">
        <f t="shared" si="7"/>
        <v/>
      </c>
      <c r="F121" s="143" t="str">
        <f t="shared" si="8"/>
        <v/>
      </c>
      <c r="G121" s="135" t="str">
        <f t="shared" si="9"/>
        <v/>
      </c>
      <c r="H121" s="143" t="str">
        <f t="shared" si="10"/>
        <v/>
      </c>
    </row>
    <row r="122" spans="2:8" x14ac:dyDescent="0.3">
      <c r="B122" s="21">
        <v>117</v>
      </c>
      <c r="C122" s="285"/>
      <c r="D122" s="286"/>
      <c r="E122" s="135" t="str">
        <f t="shared" si="7"/>
        <v/>
      </c>
      <c r="F122" s="143" t="str">
        <f t="shared" si="8"/>
        <v/>
      </c>
      <c r="G122" s="135" t="str">
        <f t="shared" si="9"/>
        <v/>
      </c>
      <c r="H122" s="143" t="str">
        <f t="shared" si="10"/>
        <v/>
      </c>
    </row>
    <row r="123" spans="2:8" x14ac:dyDescent="0.3">
      <c r="B123" s="21">
        <v>118</v>
      </c>
      <c r="C123" s="285"/>
      <c r="D123" s="286"/>
      <c r="E123" s="135" t="str">
        <f t="shared" si="7"/>
        <v/>
      </c>
      <c r="F123" s="143" t="str">
        <f t="shared" si="8"/>
        <v/>
      </c>
      <c r="G123" s="135" t="str">
        <f t="shared" si="9"/>
        <v/>
      </c>
      <c r="H123" s="143" t="str">
        <f t="shared" si="10"/>
        <v/>
      </c>
    </row>
    <row r="124" spans="2:8" x14ac:dyDescent="0.3">
      <c r="B124" s="21">
        <v>119</v>
      </c>
      <c r="C124" s="285"/>
      <c r="D124" s="286"/>
      <c r="E124" s="135" t="str">
        <f t="shared" si="7"/>
        <v/>
      </c>
      <c r="F124" s="143" t="str">
        <f t="shared" si="8"/>
        <v/>
      </c>
      <c r="G124" s="135" t="str">
        <f t="shared" si="9"/>
        <v/>
      </c>
      <c r="H124" s="143" t="str">
        <f t="shared" si="10"/>
        <v/>
      </c>
    </row>
    <row r="125" spans="2:8" x14ac:dyDescent="0.3">
      <c r="B125" s="21">
        <v>120</v>
      </c>
      <c r="C125" s="285"/>
      <c r="D125" s="286"/>
      <c r="E125" s="135" t="str">
        <f t="shared" si="7"/>
        <v/>
      </c>
      <c r="F125" s="143" t="str">
        <f t="shared" si="8"/>
        <v/>
      </c>
      <c r="G125" s="135" t="str">
        <f t="shared" si="9"/>
        <v/>
      </c>
      <c r="H125" s="143" t="str">
        <f t="shared" si="10"/>
        <v/>
      </c>
    </row>
    <row r="126" spans="2:8" x14ac:dyDescent="0.3">
      <c r="B126" s="21">
        <v>121</v>
      </c>
      <c r="C126" s="285"/>
      <c r="D126" s="286"/>
      <c r="E126" s="135" t="str">
        <f t="shared" si="7"/>
        <v/>
      </c>
      <c r="F126" s="143" t="str">
        <f t="shared" si="8"/>
        <v/>
      </c>
      <c r="G126" s="135" t="str">
        <f t="shared" si="9"/>
        <v/>
      </c>
      <c r="H126" s="143" t="str">
        <f t="shared" si="10"/>
        <v/>
      </c>
    </row>
    <row r="127" spans="2:8" x14ac:dyDescent="0.3">
      <c r="B127" s="21">
        <v>122</v>
      </c>
      <c r="C127" s="285"/>
      <c r="D127" s="286"/>
      <c r="E127" s="135" t="str">
        <f t="shared" si="7"/>
        <v/>
      </c>
      <c r="F127" s="143" t="str">
        <f t="shared" si="8"/>
        <v/>
      </c>
      <c r="G127" s="135" t="str">
        <f t="shared" si="9"/>
        <v/>
      </c>
      <c r="H127" s="143" t="str">
        <f t="shared" si="10"/>
        <v/>
      </c>
    </row>
    <row r="128" spans="2:8" x14ac:dyDescent="0.3">
      <c r="B128" s="21">
        <v>123</v>
      </c>
      <c r="C128" s="285"/>
      <c r="D128" s="286"/>
      <c r="E128" s="135" t="str">
        <f t="shared" si="7"/>
        <v/>
      </c>
      <c r="F128" s="143" t="str">
        <f t="shared" si="8"/>
        <v/>
      </c>
      <c r="G128" s="135" t="str">
        <f t="shared" si="9"/>
        <v/>
      </c>
      <c r="H128" s="143" t="str">
        <f t="shared" si="10"/>
        <v/>
      </c>
    </row>
    <row r="129" spans="2:8" x14ac:dyDescent="0.3">
      <c r="B129" s="21">
        <v>124</v>
      </c>
      <c r="C129" s="285"/>
      <c r="D129" s="286"/>
      <c r="E129" s="135" t="str">
        <f t="shared" si="7"/>
        <v/>
      </c>
      <c r="F129" s="143" t="str">
        <f t="shared" si="8"/>
        <v/>
      </c>
      <c r="G129" s="135" t="str">
        <f t="shared" si="9"/>
        <v/>
      </c>
      <c r="H129" s="143" t="str">
        <f t="shared" si="10"/>
        <v/>
      </c>
    </row>
    <row r="130" spans="2:8" x14ac:dyDescent="0.3">
      <c r="B130" s="21">
        <v>125</v>
      </c>
      <c r="C130" s="285"/>
      <c r="D130" s="286"/>
      <c r="E130" s="135" t="str">
        <f t="shared" si="7"/>
        <v/>
      </c>
      <c r="F130" s="143" t="str">
        <f t="shared" si="8"/>
        <v/>
      </c>
      <c r="G130" s="135" t="str">
        <f t="shared" si="9"/>
        <v/>
      </c>
      <c r="H130" s="143" t="str">
        <f t="shared" si="10"/>
        <v/>
      </c>
    </row>
    <row r="131" spans="2:8" x14ac:dyDescent="0.3">
      <c r="B131" s="21">
        <v>126</v>
      </c>
      <c r="C131" s="285"/>
      <c r="D131" s="286"/>
      <c r="E131" s="135" t="str">
        <f t="shared" si="7"/>
        <v/>
      </c>
      <c r="F131" s="143" t="str">
        <f t="shared" si="8"/>
        <v/>
      </c>
      <c r="G131" s="135" t="str">
        <f t="shared" si="9"/>
        <v/>
      </c>
      <c r="H131" s="143" t="str">
        <f t="shared" si="10"/>
        <v/>
      </c>
    </row>
    <row r="132" spans="2:8" x14ac:dyDescent="0.3">
      <c r="B132" s="21">
        <v>127</v>
      </c>
      <c r="C132" s="285"/>
      <c r="D132" s="286"/>
      <c r="E132" s="135" t="str">
        <f t="shared" si="7"/>
        <v/>
      </c>
      <c r="F132" s="143" t="str">
        <f t="shared" si="8"/>
        <v/>
      </c>
      <c r="G132" s="135" t="str">
        <f t="shared" si="9"/>
        <v/>
      </c>
      <c r="H132" s="143" t="str">
        <f t="shared" si="10"/>
        <v/>
      </c>
    </row>
    <row r="133" spans="2:8" x14ac:dyDescent="0.3">
      <c r="B133" s="21">
        <v>128</v>
      </c>
      <c r="C133" s="285"/>
      <c r="D133" s="286"/>
      <c r="E133" s="135" t="str">
        <f t="shared" si="7"/>
        <v/>
      </c>
      <c r="F133" s="143" t="str">
        <f t="shared" si="8"/>
        <v/>
      </c>
      <c r="G133" s="135" t="str">
        <f t="shared" si="9"/>
        <v/>
      </c>
      <c r="H133" s="143" t="str">
        <f t="shared" si="10"/>
        <v/>
      </c>
    </row>
    <row r="134" spans="2:8" x14ac:dyDescent="0.3">
      <c r="B134" s="21">
        <v>129</v>
      </c>
      <c r="C134" s="285"/>
      <c r="D134" s="286"/>
      <c r="E134" s="135" t="str">
        <f t="shared" si="7"/>
        <v/>
      </c>
      <c r="F134" s="143" t="str">
        <f t="shared" si="8"/>
        <v/>
      </c>
      <c r="G134" s="135" t="str">
        <f t="shared" si="9"/>
        <v/>
      </c>
      <c r="H134" s="143" t="str">
        <f t="shared" si="10"/>
        <v/>
      </c>
    </row>
    <row r="135" spans="2:8" x14ac:dyDescent="0.3">
      <c r="B135" s="21">
        <v>130</v>
      </c>
      <c r="C135" s="285"/>
      <c r="D135" s="286"/>
      <c r="E135" s="135" t="str">
        <f t="shared" si="7"/>
        <v/>
      </c>
      <c r="F135" s="143" t="str">
        <f t="shared" si="8"/>
        <v/>
      </c>
      <c r="G135" s="135" t="str">
        <f t="shared" si="9"/>
        <v/>
      </c>
      <c r="H135" s="143" t="str">
        <f t="shared" si="10"/>
        <v/>
      </c>
    </row>
    <row r="136" spans="2:8" x14ac:dyDescent="0.3">
      <c r="B136" s="21">
        <v>131</v>
      </c>
      <c r="C136" s="285"/>
      <c r="D136" s="286"/>
      <c r="E136" s="135" t="str">
        <f t="shared" si="7"/>
        <v/>
      </c>
      <c r="F136" s="143" t="str">
        <f t="shared" si="8"/>
        <v/>
      </c>
      <c r="G136" s="135" t="str">
        <f t="shared" si="9"/>
        <v/>
      </c>
      <c r="H136" s="143" t="str">
        <f t="shared" si="10"/>
        <v/>
      </c>
    </row>
    <row r="137" spans="2:8" x14ac:dyDescent="0.3">
      <c r="B137" s="21">
        <v>132</v>
      </c>
      <c r="C137" s="285"/>
      <c r="D137" s="286"/>
      <c r="E137" s="135" t="str">
        <f t="shared" si="7"/>
        <v/>
      </c>
      <c r="F137" s="143" t="str">
        <f t="shared" si="8"/>
        <v/>
      </c>
      <c r="G137" s="135" t="str">
        <f t="shared" si="9"/>
        <v/>
      </c>
      <c r="H137" s="143" t="str">
        <f t="shared" si="10"/>
        <v/>
      </c>
    </row>
    <row r="138" spans="2:8" x14ac:dyDescent="0.3">
      <c r="B138" s="21">
        <v>133</v>
      </c>
      <c r="C138" s="285"/>
      <c r="D138" s="286"/>
      <c r="E138" s="135" t="str">
        <f t="shared" si="7"/>
        <v/>
      </c>
      <c r="F138" s="143" t="str">
        <f t="shared" si="8"/>
        <v/>
      </c>
      <c r="G138" s="135" t="str">
        <f t="shared" si="9"/>
        <v/>
      </c>
      <c r="H138" s="143" t="str">
        <f t="shared" si="10"/>
        <v/>
      </c>
    </row>
    <row r="139" spans="2:8" x14ac:dyDescent="0.3">
      <c r="B139" s="21">
        <v>134</v>
      </c>
      <c r="C139" s="285"/>
      <c r="D139" s="286"/>
      <c r="E139" s="135" t="str">
        <f t="shared" ref="E139:E202" si="11">IF(D139="","",ROUNDUP(D139,0))</f>
        <v/>
      </c>
      <c r="F139" s="143" t="str">
        <f t="shared" ref="F139:F202" si="12">IF(C139="","",INDEX(V_UNITARIOMATERIAL,MATCH(C139,L_MATERIALES,0)))</f>
        <v/>
      </c>
      <c r="G139" s="135" t="str">
        <f t="shared" ref="G139:G202" si="13">IF(C139="","",INDEX(U_MATERIAL,MATCH(C139,L_MATERIALES,0)))</f>
        <v/>
      </c>
      <c r="H139" s="143" t="str">
        <f t="shared" ref="H139:H202" si="14">IF(E139="","",F139*E139)</f>
        <v/>
      </c>
    </row>
    <row r="140" spans="2:8" x14ac:dyDescent="0.3">
      <c r="B140" s="21">
        <v>135</v>
      </c>
      <c r="C140" s="285"/>
      <c r="D140" s="286"/>
      <c r="E140" s="135" t="str">
        <f t="shared" si="11"/>
        <v/>
      </c>
      <c r="F140" s="143" t="str">
        <f t="shared" si="12"/>
        <v/>
      </c>
      <c r="G140" s="135" t="str">
        <f t="shared" si="13"/>
        <v/>
      </c>
      <c r="H140" s="143" t="str">
        <f t="shared" si="14"/>
        <v/>
      </c>
    </row>
    <row r="141" spans="2:8" x14ac:dyDescent="0.3">
      <c r="B141" s="21">
        <v>136</v>
      </c>
      <c r="C141" s="285"/>
      <c r="D141" s="286"/>
      <c r="E141" s="135" t="str">
        <f t="shared" si="11"/>
        <v/>
      </c>
      <c r="F141" s="143" t="str">
        <f t="shared" si="12"/>
        <v/>
      </c>
      <c r="G141" s="135" t="str">
        <f t="shared" si="13"/>
        <v/>
      </c>
      <c r="H141" s="143" t="str">
        <f t="shared" si="14"/>
        <v/>
      </c>
    </row>
    <row r="142" spans="2:8" x14ac:dyDescent="0.3">
      <c r="B142" s="21">
        <v>137</v>
      </c>
      <c r="C142" s="285"/>
      <c r="D142" s="286"/>
      <c r="E142" s="135" t="str">
        <f t="shared" si="11"/>
        <v/>
      </c>
      <c r="F142" s="143" t="str">
        <f t="shared" si="12"/>
        <v/>
      </c>
      <c r="G142" s="135" t="str">
        <f t="shared" si="13"/>
        <v/>
      </c>
      <c r="H142" s="143" t="str">
        <f t="shared" si="14"/>
        <v/>
      </c>
    </row>
    <row r="143" spans="2:8" x14ac:dyDescent="0.3">
      <c r="B143" s="21">
        <v>138</v>
      </c>
      <c r="C143" s="285"/>
      <c r="D143" s="286"/>
      <c r="E143" s="135" t="str">
        <f t="shared" si="11"/>
        <v/>
      </c>
      <c r="F143" s="143" t="str">
        <f t="shared" si="12"/>
        <v/>
      </c>
      <c r="G143" s="135" t="str">
        <f t="shared" si="13"/>
        <v/>
      </c>
      <c r="H143" s="143" t="str">
        <f t="shared" si="14"/>
        <v/>
      </c>
    </row>
    <row r="144" spans="2:8" x14ac:dyDescent="0.3">
      <c r="B144" s="21">
        <v>139</v>
      </c>
      <c r="C144" s="285"/>
      <c r="D144" s="286"/>
      <c r="E144" s="135" t="str">
        <f t="shared" si="11"/>
        <v/>
      </c>
      <c r="F144" s="143" t="str">
        <f t="shared" si="12"/>
        <v/>
      </c>
      <c r="G144" s="135" t="str">
        <f t="shared" si="13"/>
        <v/>
      </c>
      <c r="H144" s="143" t="str">
        <f t="shared" si="14"/>
        <v/>
      </c>
    </row>
    <row r="145" spans="2:8" x14ac:dyDescent="0.3">
      <c r="B145" s="21">
        <v>140</v>
      </c>
      <c r="C145" s="285"/>
      <c r="D145" s="286"/>
      <c r="E145" s="135" t="str">
        <f t="shared" si="11"/>
        <v/>
      </c>
      <c r="F145" s="143" t="str">
        <f t="shared" si="12"/>
        <v/>
      </c>
      <c r="G145" s="135" t="str">
        <f t="shared" si="13"/>
        <v/>
      </c>
      <c r="H145" s="143" t="str">
        <f t="shared" si="14"/>
        <v/>
      </c>
    </row>
    <row r="146" spans="2:8" x14ac:dyDescent="0.3">
      <c r="B146" s="21">
        <v>141</v>
      </c>
      <c r="C146" s="285"/>
      <c r="D146" s="286"/>
      <c r="E146" s="135" t="str">
        <f t="shared" si="11"/>
        <v/>
      </c>
      <c r="F146" s="143" t="str">
        <f t="shared" si="12"/>
        <v/>
      </c>
      <c r="G146" s="135" t="str">
        <f t="shared" si="13"/>
        <v/>
      </c>
      <c r="H146" s="143" t="str">
        <f t="shared" si="14"/>
        <v/>
      </c>
    </row>
    <row r="147" spans="2:8" x14ac:dyDescent="0.3">
      <c r="B147" s="21">
        <v>142</v>
      </c>
      <c r="C147" s="285"/>
      <c r="D147" s="286"/>
      <c r="E147" s="135" t="str">
        <f t="shared" si="11"/>
        <v/>
      </c>
      <c r="F147" s="143" t="str">
        <f t="shared" si="12"/>
        <v/>
      </c>
      <c r="G147" s="135" t="str">
        <f t="shared" si="13"/>
        <v/>
      </c>
      <c r="H147" s="143" t="str">
        <f t="shared" si="14"/>
        <v/>
      </c>
    </row>
    <row r="148" spans="2:8" x14ac:dyDescent="0.3">
      <c r="B148" s="21">
        <v>143</v>
      </c>
      <c r="C148" s="285"/>
      <c r="D148" s="286"/>
      <c r="E148" s="135" t="str">
        <f t="shared" si="11"/>
        <v/>
      </c>
      <c r="F148" s="143" t="str">
        <f t="shared" si="12"/>
        <v/>
      </c>
      <c r="G148" s="135" t="str">
        <f t="shared" si="13"/>
        <v/>
      </c>
      <c r="H148" s="143" t="str">
        <f t="shared" si="14"/>
        <v/>
      </c>
    </row>
    <row r="149" spans="2:8" x14ac:dyDescent="0.3">
      <c r="B149" s="21">
        <v>144</v>
      </c>
      <c r="C149" s="285"/>
      <c r="D149" s="286"/>
      <c r="E149" s="135" t="str">
        <f t="shared" si="11"/>
        <v/>
      </c>
      <c r="F149" s="143" t="str">
        <f t="shared" si="12"/>
        <v/>
      </c>
      <c r="G149" s="135" t="str">
        <f t="shared" si="13"/>
        <v/>
      </c>
      <c r="H149" s="143" t="str">
        <f t="shared" si="14"/>
        <v/>
      </c>
    </row>
    <row r="150" spans="2:8" x14ac:dyDescent="0.3">
      <c r="B150" s="21">
        <v>145</v>
      </c>
      <c r="C150" s="285"/>
      <c r="D150" s="286"/>
      <c r="E150" s="135" t="str">
        <f t="shared" si="11"/>
        <v/>
      </c>
      <c r="F150" s="143" t="str">
        <f t="shared" si="12"/>
        <v/>
      </c>
      <c r="G150" s="135" t="str">
        <f t="shared" si="13"/>
        <v/>
      </c>
      <c r="H150" s="143" t="str">
        <f t="shared" si="14"/>
        <v/>
      </c>
    </row>
    <row r="151" spans="2:8" x14ac:dyDescent="0.3">
      <c r="B151" s="21">
        <v>146</v>
      </c>
      <c r="C151" s="285"/>
      <c r="D151" s="286"/>
      <c r="E151" s="135" t="str">
        <f t="shared" si="11"/>
        <v/>
      </c>
      <c r="F151" s="143" t="str">
        <f t="shared" si="12"/>
        <v/>
      </c>
      <c r="G151" s="135" t="str">
        <f t="shared" si="13"/>
        <v/>
      </c>
      <c r="H151" s="143" t="str">
        <f t="shared" si="14"/>
        <v/>
      </c>
    </row>
    <row r="152" spans="2:8" x14ac:dyDescent="0.3">
      <c r="B152" s="21">
        <v>147</v>
      </c>
      <c r="C152" s="285"/>
      <c r="D152" s="286"/>
      <c r="E152" s="135" t="str">
        <f t="shared" si="11"/>
        <v/>
      </c>
      <c r="F152" s="143" t="str">
        <f t="shared" si="12"/>
        <v/>
      </c>
      <c r="G152" s="135" t="str">
        <f t="shared" si="13"/>
        <v/>
      </c>
      <c r="H152" s="143" t="str">
        <f t="shared" si="14"/>
        <v/>
      </c>
    </row>
    <row r="153" spans="2:8" x14ac:dyDescent="0.3">
      <c r="B153" s="21">
        <v>148</v>
      </c>
      <c r="C153" s="285"/>
      <c r="D153" s="286"/>
      <c r="E153" s="135" t="str">
        <f t="shared" si="11"/>
        <v/>
      </c>
      <c r="F153" s="143" t="str">
        <f t="shared" si="12"/>
        <v/>
      </c>
      <c r="G153" s="135" t="str">
        <f t="shared" si="13"/>
        <v/>
      </c>
      <c r="H153" s="143" t="str">
        <f t="shared" si="14"/>
        <v/>
      </c>
    </row>
    <row r="154" spans="2:8" x14ac:dyDescent="0.3">
      <c r="B154" s="21">
        <v>149</v>
      </c>
      <c r="C154" s="285"/>
      <c r="D154" s="286"/>
      <c r="E154" s="135" t="str">
        <f t="shared" si="11"/>
        <v/>
      </c>
      <c r="F154" s="143" t="str">
        <f t="shared" si="12"/>
        <v/>
      </c>
      <c r="G154" s="135" t="str">
        <f t="shared" si="13"/>
        <v/>
      </c>
      <c r="H154" s="143" t="str">
        <f t="shared" si="14"/>
        <v/>
      </c>
    </row>
    <row r="155" spans="2:8" x14ac:dyDescent="0.3">
      <c r="B155" s="21">
        <v>150</v>
      </c>
      <c r="C155" s="285"/>
      <c r="D155" s="286"/>
      <c r="E155" s="135" t="str">
        <f t="shared" si="11"/>
        <v/>
      </c>
      <c r="F155" s="143" t="str">
        <f t="shared" si="12"/>
        <v/>
      </c>
      <c r="G155" s="135" t="str">
        <f t="shared" si="13"/>
        <v/>
      </c>
      <c r="H155" s="143" t="str">
        <f t="shared" si="14"/>
        <v/>
      </c>
    </row>
    <row r="156" spans="2:8" x14ac:dyDescent="0.3">
      <c r="B156" s="21">
        <v>151</v>
      </c>
      <c r="C156" s="285"/>
      <c r="D156" s="286"/>
      <c r="E156" s="135" t="str">
        <f t="shared" si="11"/>
        <v/>
      </c>
      <c r="F156" s="143" t="str">
        <f t="shared" si="12"/>
        <v/>
      </c>
      <c r="G156" s="135" t="str">
        <f t="shared" si="13"/>
        <v/>
      </c>
      <c r="H156" s="143" t="str">
        <f t="shared" si="14"/>
        <v/>
      </c>
    </row>
    <row r="157" spans="2:8" x14ac:dyDescent="0.3">
      <c r="B157" s="21">
        <v>152</v>
      </c>
      <c r="C157" s="285"/>
      <c r="D157" s="286"/>
      <c r="E157" s="135" t="str">
        <f t="shared" si="11"/>
        <v/>
      </c>
      <c r="F157" s="143" t="str">
        <f t="shared" si="12"/>
        <v/>
      </c>
      <c r="G157" s="135" t="str">
        <f t="shared" si="13"/>
        <v/>
      </c>
      <c r="H157" s="143" t="str">
        <f t="shared" si="14"/>
        <v/>
      </c>
    </row>
    <row r="158" spans="2:8" x14ac:dyDescent="0.3">
      <c r="B158" s="21">
        <v>153</v>
      </c>
      <c r="C158" s="285"/>
      <c r="D158" s="286"/>
      <c r="E158" s="135" t="str">
        <f t="shared" si="11"/>
        <v/>
      </c>
      <c r="F158" s="143" t="str">
        <f t="shared" si="12"/>
        <v/>
      </c>
      <c r="G158" s="135" t="str">
        <f t="shared" si="13"/>
        <v/>
      </c>
      <c r="H158" s="143" t="str">
        <f t="shared" si="14"/>
        <v/>
      </c>
    </row>
    <row r="159" spans="2:8" x14ac:dyDescent="0.3">
      <c r="B159" s="21">
        <v>154</v>
      </c>
      <c r="C159" s="285"/>
      <c r="D159" s="286"/>
      <c r="E159" s="135" t="str">
        <f t="shared" si="11"/>
        <v/>
      </c>
      <c r="F159" s="143" t="str">
        <f t="shared" si="12"/>
        <v/>
      </c>
      <c r="G159" s="135" t="str">
        <f t="shared" si="13"/>
        <v/>
      </c>
      <c r="H159" s="143" t="str">
        <f t="shared" si="14"/>
        <v/>
      </c>
    </row>
    <row r="160" spans="2:8" x14ac:dyDescent="0.3">
      <c r="B160" s="21">
        <v>155</v>
      </c>
      <c r="C160" s="285"/>
      <c r="D160" s="286"/>
      <c r="E160" s="135" t="str">
        <f t="shared" si="11"/>
        <v/>
      </c>
      <c r="F160" s="143" t="str">
        <f t="shared" si="12"/>
        <v/>
      </c>
      <c r="G160" s="135" t="str">
        <f t="shared" si="13"/>
        <v/>
      </c>
      <c r="H160" s="143" t="str">
        <f t="shared" si="14"/>
        <v/>
      </c>
    </row>
    <row r="161" spans="2:8" x14ac:dyDescent="0.3">
      <c r="B161" s="21">
        <v>156</v>
      </c>
      <c r="C161" s="285"/>
      <c r="D161" s="286"/>
      <c r="E161" s="135" t="str">
        <f t="shared" si="11"/>
        <v/>
      </c>
      <c r="F161" s="143" t="str">
        <f t="shared" si="12"/>
        <v/>
      </c>
      <c r="G161" s="135" t="str">
        <f t="shared" si="13"/>
        <v/>
      </c>
      <c r="H161" s="143" t="str">
        <f t="shared" si="14"/>
        <v/>
      </c>
    </row>
    <row r="162" spans="2:8" x14ac:dyDescent="0.3">
      <c r="B162" s="21">
        <v>157</v>
      </c>
      <c r="C162" s="285"/>
      <c r="D162" s="286"/>
      <c r="E162" s="135" t="str">
        <f t="shared" si="11"/>
        <v/>
      </c>
      <c r="F162" s="143" t="str">
        <f t="shared" si="12"/>
        <v/>
      </c>
      <c r="G162" s="135" t="str">
        <f t="shared" si="13"/>
        <v/>
      </c>
      <c r="H162" s="143" t="str">
        <f t="shared" si="14"/>
        <v/>
      </c>
    </row>
    <row r="163" spans="2:8" x14ac:dyDescent="0.3">
      <c r="B163" s="21">
        <v>158</v>
      </c>
      <c r="C163" s="285"/>
      <c r="D163" s="286"/>
      <c r="E163" s="135" t="str">
        <f t="shared" si="11"/>
        <v/>
      </c>
      <c r="F163" s="143" t="str">
        <f t="shared" si="12"/>
        <v/>
      </c>
      <c r="G163" s="135" t="str">
        <f t="shared" si="13"/>
        <v/>
      </c>
      <c r="H163" s="143" t="str">
        <f t="shared" si="14"/>
        <v/>
      </c>
    </row>
    <row r="164" spans="2:8" x14ac:dyDescent="0.3">
      <c r="B164" s="21">
        <v>159</v>
      </c>
      <c r="C164" s="285"/>
      <c r="D164" s="286"/>
      <c r="E164" s="135" t="str">
        <f t="shared" si="11"/>
        <v/>
      </c>
      <c r="F164" s="143" t="str">
        <f t="shared" si="12"/>
        <v/>
      </c>
      <c r="G164" s="135" t="str">
        <f t="shared" si="13"/>
        <v/>
      </c>
      <c r="H164" s="143" t="str">
        <f t="shared" si="14"/>
        <v/>
      </c>
    </row>
    <row r="165" spans="2:8" x14ac:dyDescent="0.3">
      <c r="B165" s="21">
        <v>160</v>
      </c>
      <c r="C165" s="285"/>
      <c r="D165" s="286"/>
      <c r="E165" s="135" t="str">
        <f t="shared" si="11"/>
        <v/>
      </c>
      <c r="F165" s="143" t="str">
        <f t="shared" si="12"/>
        <v/>
      </c>
      <c r="G165" s="135" t="str">
        <f t="shared" si="13"/>
        <v/>
      </c>
      <c r="H165" s="143" t="str">
        <f t="shared" si="14"/>
        <v/>
      </c>
    </row>
    <row r="166" spans="2:8" x14ac:dyDescent="0.3">
      <c r="B166" s="21">
        <v>161</v>
      </c>
      <c r="C166" s="285"/>
      <c r="D166" s="286"/>
      <c r="E166" s="135" t="str">
        <f t="shared" si="11"/>
        <v/>
      </c>
      <c r="F166" s="143" t="str">
        <f t="shared" si="12"/>
        <v/>
      </c>
      <c r="G166" s="135" t="str">
        <f t="shared" si="13"/>
        <v/>
      </c>
      <c r="H166" s="143" t="str">
        <f t="shared" si="14"/>
        <v/>
      </c>
    </row>
    <row r="167" spans="2:8" x14ac:dyDescent="0.3">
      <c r="B167" s="21">
        <v>162</v>
      </c>
      <c r="C167" s="285"/>
      <c r="D167" s="286"/>
      <c r="E167" s="135" t="str">
        <f t="shared" si="11"/>
        <v/>
      </c>
      <c r="F167" s="143" t="str">
        <f t="shared" si="12"/>
        <v/>
      </c>
      <c r="G167" s="135" t="str">
        <f t="shared" si="13"/>
        <v/>
      </c>
      <c r="H167" s="143" t="str">
        <f t="shared" si="14"/>
        <v/>
      </c>
    </row>
    <row r="168" spans="2:8" x14ac:dyDescent="0.3">
      <c r="B168" s="21">
        <v>163</v>
      </c>
      <c r="C168" s="285"/>
      <c r="D168" s="286"/>
      <c r="E168" s="135" t="str">
        <f t="shared" si="11"/>
        <v/>
      </c>
      <c r="F168" s="143" t="str">
        <f t="shared" si="12"/>
        <v/>
      </c>
      <c r="G168" s="135" t="str">
        <f t="shared" si="13"/>
        <v/>
      </c>
      <c r="H168" s="143" t="str">
        <f t="shared" si="14"/>
        <v/>
      </c>
    </row>
    <row r="169" spans="2:8" x14ac:dyDescent="0.3">
      <c r="B169" s="21">
        <v>164</v>
      </c>
      <c r="C169" s="285"/>
      <c r="D169" s="286"/>
      <c r="E169" s="135" t="str">
        <f t="shared" si="11"/>
        <v/>
      </c>
      <c r="F169" s="143" t="str">
        <f t="shared" si="12"/>
        <v/>
      </c>
      <c r="G169" s="135" t="str">
        <f t="shared" si="13"/>
        <v/>
      </c>
      <c r="H169" s="143" t="str">
        <f t="shared" si="14"/>
        <v/>
      </c>
    </row>
    <row r="170" spans="2:8" x14ac:dyDescent="0.3">
      <c r="B170" s="21">
        <v>165</v>
      </c>
      <c r="C170" s="285"/>
      <c r="D170" s="286"/>
      <c r="E170" s="135" t="str">
        <f t="shared" si="11"/>
        <v/>
      </c>
      <c r="F170" s="143" t="str">
        <f t="shared" si="12"/>
        <v/>
      </c>
      <c r="G170" s="135" t="str">
        <f t="shared" si="13"/>
        <v/>
      </c>
      <c r="H170" s="143" t="str">
        <f t="shared" si="14"/>
        <v/>
      </c>
    </row>
    <row r="171" spans="2:8" x14ac:dyDescent="0.3">
      <c r="B171" s="21">
        <v>166</v>
      </c>
      <c r="C171" s="285"/>
      <c r="D171" s="286"/>
      <c r="E171" s="135" t="str">
        <f t="shared" si="11"/>
        <v/>
      </c>
      <c r="F171" s="143" t="str">
        <f t="shared" si="12"/>
        <v/>
      </c>
      <c r="G171" s="135" t="str">
        <f t="shared" si="13"/>
        <v/>
      </c>
      <c r="H171" s="143" t="str">
        <f t="shared" si="14"/>
        <v/>
      </c>
    </row>
    <row r="172" spans="2:8" x14ac:dyDescent="0.3">
      <c r="B172" s="21">
        <v>167</v>
      </c>
      <c r="C172" s="285"/>
      <c r="D172" s="286"/>
      <c r="E172" s="135" t="str">
        <f t="shared" si="11"/>
        <v/>
      </c>
      <c r="F172" s="143" t="str">
        <f t="shared" si="12"/>
        <v/>
      </c>
      <c r="G172" s="135" t="str">
        <f t="shared" si="13"/>
        <v/>
      </c>
      <c r="H172" s="143" t="str">
        <f t="shared" si="14"/>
        <v/>
      </c>
    </row>
    <row r="173" spans="2:8" x14ac:dyDescent="0.3">
      <c r="B173" s="21">
        <v>168</v>
      </c>
      <c r="C173" s="285"/>
      <c r="D173" s="286"/>
      <c r="E173" s="135" t="str">
        <f t="shared" si="11"/>
        <v/>
      </c>
      <c r="F173" s="143" t="str">
        <f t="shared" si="12"/>
        <v/>
      </c>
      <c r="G173" s="135" t="str">
        <f t="shared" si="13"/>
        <v/>
      </c>
      <c r="H173" s="143" t="str">
        <f t="shared" si="14"/>
        <v/>
      </c>
    </row>
    <row r="174" spans="2:8" x14ac:dyDescent="0.3">
      <c r="B174" s="21">
        <v>169</v>
      </c>
      <c r="C174" s="285"/>
      <c r="D174" s="286"/>
      <c r="E174" s="135" t="str">
        <f t="shared" si="11"/>
        <v/>
      </c>
      <c r="F174" s="143" t="str">
        <f t="shared" si="12"/>
        <v/>
      </c>
      <c r="G174" s="135" t="str">
        <f t="shared" si="13"/>
        <v/>
      </c>
      <c r="H174" s="143" t="str">
        <f t="shared" si="14"/>
        <v/>
      </c>
    </row>
    <row r="175" spans="2:8" x14ac:dyDescent="0.3">
      <c r="B175" s="21">
        <v>170</v>
      </c>
      <c r="C175" s="285"/>
      <c r="D175" s="286"/>
      <c r="E175" s="135" t="str">
        <f t="shared" si="11"/>
        <v/>
      </c>
      <c r="F175" s="143" t="str">
        <f t="shared" si="12"/>
        <v/>
      </c>
      <c r="G175" s="135" t="str">
        <f t="shared" si="13"/>
        <v/>
      </c>
      <c r="H175" s="143" t="str">
        <f t="shared" si="14"/>
        <v/>
      </c>
    </row>
    <row r="176" spans="2:8" x14ac:dyDescent="0.3">
      <c r="B176" s="21">
        <v>171</v>
      </c>
      <c r="C176" s="285"/>
      <c r="D176" s="286"/>
      <c r="E176" s="135" t="str">
        <f t="shared" si="11"/>
        <v/>
      </c>
      <c r="F176" s="143" t="str">
        <f t="shared" si="12"/>
        <v/>
      </c>
      <c r="G176" s="135" t="str">
        <f t="shared" si="13"/>
        <v/>
      </c>
      <c r="H176" s="143" t="str">
        <f t="shared" si="14"/>
        <v/>
      </c>
    </row>
    <row r="177" spans="2:8" x14ac:dyDescent="0.3">
      <c r="B177" s="21">
        <v>172</v>
      </c>
      <c r="C177" s="285"/>
      <c r="D177" s="286"/>
      <c r="E177" s="135" t="str">
        <f t="shared" si="11"/>
        <v/>
      </c>
      <c r="F177" s="143" t="str">
        <f t="shared" si="12"/>
        <v/>
      </c>
      <c r="G177" s="135" t="str">
        <f t="shared" si="13"/>
        <v/>
      </c>
      <c r="H177" s="143" t="str">
        <f t="shared" si="14"/>
        <v/>
      </c>
    </row>
    <row r="178" spans="2:8" x14ac:dyDescent="0.3">
      <c r="B178" s="21">
        <v>173</v>
      </c>
      <c r="C178" s="285"/>
      <c r="D178" s="286"/>
      <c r="E178" s="135" t="str">
        <f t="shared" si="11"/>
        <v/>
      </c>
      <c r="F178" s="143" t="str">
        <f t="shared" si="12"/>
        <v/>
      </c>
      <c r="G178" s="135" t="str">
        <f t="shared" si="13"/>
        <v/>
      </c>
      <c r="H178" s="143" t="str">
        <f t="shared" si="14"/>
        <v/>
      </c>
    </row>
    <row r="179" spans="2:8" x14ac:dyDescent="0.3">
      <c r="B179" s="21">
        <v>174</v>
      </c>
      <c r="C179" s="285"/>
      <c r="D179" s="286"/>
      <c r="E179" s="135" t="str">
        <f t="shared" si="11"/>
        <v/>
      </c>
      <c r="F179" s="143" t="str">
        <f t="shared" si="12"/>
        <v/>
      </c>
      <c r="G179" s="135" t="str">
        <f t="shared" si="13"/>
        <v/>
      </c>
      <c r="H179" s="143" t="str">
        <f t="shared" si="14"/>
        <v/>
      </c>
    </row>
    <row r="180" spans="2:8" x14ac:dyDescent="0.3">
      <c r="B180" s="21">
        <v>175</v>
      </c>
      <c r="C180" s="285"/>
      <c r="D180" s="286"/>
      <c r="E180" s="135" t="str">
        <f t="shared" si="11"/>
        <v/>
      </c>
      <c r="F180" s="143" t="str">
        <f t="shared" si="12"/>
        <v/>
      </c>
      <c r="G180" s="135" t="str">
        <f t="shared" si="13"/>
        <v/>
      </c>
      <c r="H180" s="143" t="str">
        <f t="shared" si="14"/>
        <v/>
      </c>
    </row>
    <row r="181" spans="2:8" x14ac:dyDescent="0.3">
      <c r="B181" s="21">
        <v>176</v>
      </c>
      <c r="C181" s="285"/>
      <c r="D181" s="286"/>
      <c r="E181" s="135" t="str">
        <f t="shared" si="11"/>
        <v/>
      </c>
      <c r="F181" s="143" t="str">
        <f t="shared" si="12"/>
        <v/>
      </c>
      <c r="G181" s="135" t="str">
        <f t="shared" si="13"/>
        <v/>
      </c>
      <c r="H181" s="143" t="str">
        <f t="shared" si="14"/>
        <v/>
      </c>
    </row>
    <row r="182" spans="2:8" x14ac:dyDescent="0.3">
      <c r="B182" s="21">
        <v>177</v>
      </c>
      <c r="C182" s="285"/>
      <c r="D182" s="286"/>
      <c r="E182" s="135" t="str">
        <f t="shared" si="11"/>
        <v/>
      </c>
      <c r="F182" s="143" t="str">
        <f t="shared" si="12"/>
        <v/>
      </c>
      <c r="G182" s="135" t="str">
        <f t="shared" si="13"/>
        <v/>
      </c>
      <c r="H182" s="143" t="str">
        <f t="shared" si="14"/>
        <v/>
      </c>
    </row>
    <row r="183" spans="2:8" x14ac:dyDescent="0.3">
      <c r="B183" s="21">
        <v>178</v>
      </c>
      <c r="C183" s="285"/>
      <c r="D183" s="286"/>
      <c r="E183" s="135" t="str">
        <f t="shared" si="11"/>
        <v/>
      </c>
      <c r="F183" s="143" t="str">
        <f t="shared" si="12"/>
        <v/>
      </c>
      <c r="G183" s="135" t="str">
        <f t="shared" si="13"/>
        <v/>
      </c>
      <c r="H183" s="143" t="str">
        <f t="shared" si="14"/>
        <v/>
      </c>
    </row>
    <row r="184" spans="2:8" x14ac:dyDescent="0.3">
      <c r="B184" s="21">
        <v>179</v>
      </c>
      <c r="C184" s="285"/>
      <c r="D184" s="286"/>
      <c r="E184" s="135" t="str">
        <f t="shared" si="11"/>
        <v/>
      </c>
      <c r="F184" s="143" t="str">
        <f t="shared" si="12"/>
        <v/>
      </c>
      <c r="G184" s="135" t="str">
        <f t="shared" si="13"/>
        <v/>
      </c>
      <c r="H184" s="143" t="str">
        <f t="shared" si="14"/>
        <v/>
      </c>
    </row>
    <row r="185" spans="2:8" x14ac:dyDescent="0.3">
      <c r="B185" s="21">
        <v>180</v>
      </c>
      <c r="C185" s="285"/>
      <c r="D185" s="286"/>
      <c r="E185" s="135" t="str">
        <f t="shared" si="11"/>
        <v/>
      </c>
      <c r="F185" s="143" t="str">
        <f t="shared" si="12"/>
        <v/>
      </c>
      <c r="G185" s="135" t="str">
        <f t="shared" si="13"/>
        <v/>
      </c>
      <c r="H185" s="143" t="str">
        <f t="shared" si="14"/>
        <v/>
      </c>
    </row>
    <row r="186" spans="2:8" x14ac:dyDescent="0.3">
      <c r="B186" s="21">
        <v>181</v>
      </c>
      <c r="C186" s="285"/>
      <c r="D186" s="286"/>
      <c r="E186" s="135" t="str">
        <f t="shared" si="11"/>
        <v/>
      </c>
      <c r="F186" s="143" t="str">
        <f t="shared" si="12"/>
        <v/>
      </c>
      <c r="G186" s="135" t="str">
        <f t="shared" si="13"/>
        <v/>
      </c>
      <c r="H186" s="143" t="str">
        <f t="shared" si="14"/>
        <v/>
      </c>
    </row>
    <row r="187" spans="2:8" x14ac:dyDescent="0.3">
      <c r="B187" s="21">
        <v>182</v>
      </c>
      <c r="C187" s="285"/>
      <c r="D187" s="286"/>
      <c r="E187" s="135" t="str">
        <f t="shared" si="11"/>
        <v/>
      </c>
      <c r="F187" s="143" t="str">
        <f t="shared" si="12"/>
        <v/>
      </c>
      <c r="G187" s="135" t="str">
        <f t="shared" si="13"/>
        <v/>
      </c>
      <c r="H187" s="143" t="str">
        <f t="shared" si="14"/>
        <v/>
      </c>
    </row>
    <row r="188" spans="2:8" x14ac:dyDescent="0.3">
      <c r="B188" s="21">
        <v>183</v>
      </c>
      <c r="C188" s="285"/>
      <c r="D188" s="286"/>
      <c r="E188" s="135" t="str">
        <f t="shared" si="11"/>
        <v/>
      </c>
      <c r="F188" s="143" t="str">
        <f t="shared" si="12"/>
        <v/>
      </c>
      <c r="G188" s="135" t="str">
        <f t="shared" si="13"/>
        <v/>
      </c>
      <c r="H188" s="143" t="str">
        <f t="shared" si="14"/>
        <v/>
      </c>
    </row>
    <row r="189" spans="2:8" x14ac:dyDescent="0.3">
      <c r="B189" s="21">
        <v>184</v>
      </c>
      <c r="C189" s="285"/>
      <c r="D189" s="286"/>
      <c r="E189" s="135" t="str">
        <f t="shared" si="11"/>
        <v/>
      </c>
      <c r="F189" s="143" t="str">
        <f t="shared" si="12"/>
        <v/>
      </c>
      <c r="G189" s="135" t="str">
        <f t="shared" si="13"/>
        <v/>
      </c>
      <c r="H189" s="143" t="str">
        <f t="shared" si="14"/>
        <v/>
      </c>
    </row>
    <row r="190" spans="2:8" x14ac:dyDescent="0.3">
      <c r="B190" s="21">
        <v>185</v>
      </c>
      <c r="C190" s="285"/>
      <c r="D190" s="286"/>
      <c r="E190" s="135" t="str">
        <f t="shared" si="11"/>
        <v/>
      </c>
      <c r="F190" s="143" t="str">
        <f t="shared" si="12"/>
        <v/>
      </c>
      <c r="G190" s="135" t="str">
        <f t="shared" si="13"/>
        <v/>
      </c>
      <c r="H190" s="143" t="str">
        <f t="shared" si="14"/>
        <v/>
      </c>
    </row>
    <row r="191" spans="2:8" x14ac:dyDescent="0.3">
      <c r="B191" s="21">
        <v>186</v>
      </c>
      <c r="C191" s="285"/>
      <c r="D191" s="286"/>
      <c r="E191" s="135" t="str">
        <f t="shared" si="11"/>
        <v/>
      </c>
      <c r="F191" s="143" t="str">
        <f t="shared" si="12"/>
        <v/>
      </c>
      <c r="G191" s="135" t="str">
        <f t="shared" si="13"/>
        <v/>
      </c>
      <c r="H191" s="143" t="str">
        <f t="shared" si="14"/>
        <v/>
      </c>
    </row>
    <row r="192" spans="2:8" x14ac:dyDescent="0.3">
      <c r="B192" s="21">
        <v>187</v>
      </c>
      <c r="C192" s="285"/>
      <c r="D192" s="286"/>
      <c r="E192" s="135" t="str">
        <f t="shared" si="11"/>
        <v/>
      </c>
      <c r="F192" s="143" t="str">
        <f t="shared" si="12"/>
        <v/>
      </c>
      <c r="G192" s="135" t="str">
        <f t="shared" si="13"/>
        <v/>
      </c>
      <c r="H192" s="143" t="str">
        <f t="shared" si="14"/>
        <v/>
      </c>
    </row>
    <row r="193" spans="2:8" x14ac:dyDescent="0.3">
      <c r="B193" s="21">
        <v>188</v>
      </c>
      <c r="C193" s="285"/>
      <c r="D193" s="286"/>
      <c r="E193" s="135" t="str">
        <f t="shared" si="11"/>
        <v/>
      </c>
      <c r="F193" s="143" t="str">
        <f t="shared" si="12"/>
        <v/>
      </c>
      <c r="G193" s="135" t="str">
        <f t="shared" si="13"/>
        <v/>
      </c>
      <c r="H193" s="143" t="str">
        <f t="shared" si="14"/>
        <v/>
      </c>
    </row>
    <row r="194" spans="2:8" x14ac:dyDescent="0.3">
      <c r="B194" s="21">
        <v>189</v>
      </c>
      <c r="C194" s="285"/>
      <c r="D194" s="286"/>
      <c r="E194" s="135" t="str">
        <f t="shared" si="11"/>
        <v/>
      </c>
      <c r="F194" s="143" t="str">
        <f t="shared" si="12"/>
        <v/>
      </c>
      <c r="G194" s="135" t="str">
        <f t="shared" si="13"/>
        <v/>
      </c>
      <c r="H194" s="143" t="str">
        <f t="shared" si="14"/>
        <v/>
      </c>
    </row>
    <row r="195" spans="2:8" x14ac:dyDescent="0.3">
      <c r="B195" s="21">
        <v>190</v>
      </c>
      <c r="C195" s="285"/>
      <c r="D195" s="286"/>
      <c r="E195" s="135" t="str">
        <f t="shared" si="11"/>
        <v/>
      </c>
      <c r="F195" s="143" t="str">
        <f t="shared" si="12"/>
        <v/>
      </c>
      <c r="G195" s="135" t="str">
        <f t="shared" si="13"/>
        <v/>
      </c>
      <c r="H195" s="143" t="str">
        <f t="shared" si="14"/>
        <v/>
      </c>
    </row>
    <row r="196" spans="2:8" x14ac:dyDescent="0.3">
      <c r="B196" s="21">
        <v>191</v>
      </c>
      <c r="C196" s="285"/>
      <c r="D196" s="286"/>
      <c r="E196" s="135" t="str">
        <f t="shared" si="11"/>
        <v/>
      </c>
      <c r="F196" s="143" t="str">
        <f t="shared" si="12"/>
        <v/>
      </c>
      <c r="G196" s="135" t="str">
        <f t="shared" si="13"/>
        <v/>
      </c>
      <c r="H196" s="143" t="str">
        <f t="shared" si="14"/>
        <v/>
      </c>
    </row>
    <row r="197" spans="2:8" x14ac:dyDescent="0.3">
      <c r="B197" s="21">
        <v>192</v>
      </c>
      <c r="C197" s="285"/>
      <c r="D197" s="286"/>
      <c r="E197" s="135" t="str">
        <f t="shared" si="11"/>
        <v/>
      </c>
      <c r="F197" s="143" t="str">
        <f t="shared" si="12"/>
        <v/>
      </c>
      <c r="G197" s="135" t="str">
        <f t="shared" si="13"/>
        <v/>
      </c>
      <c r="H197" s="143" t="str">
        <f t="shared" si="14"/>
        <v/>
      </c>
    </row>
    <row r="198" spans="2:8" x14ac:dyDescent="0.3">
      <c r="B198" s="21">
        <v>193</v>
      </c>
      <c r="C198" s="285"/>
      <c r="D198" s="286"/>
      <c r="E198" s="135" t="str">
        <f t="shared" si="11"/>
        <v/>
      </c>
      <c r="F198" s="143" t="str">
        <f t="shared" si="12"/>
        <v/>
      </c>
      <c r="G198" s="135" t="str">
        <f t="shared" si="13"/>
        <v/>
      </c>
      <c r="H198" s="143" t="str">
        <f t="shared" si="14"/>
        <v/>
      </c>
    </row>
    <row r="199" spans="2:8" x14ac:dyDescent="0.3">
      <c r="B199" s="21">
        <v>194</v>
      </c>
      <c r="C199" s="285"/>
      <c r="D199" s="286"/>
      <c r="E199" s="135" t="str">
        <f t="shared" si="11"/>
        <v/>
      </c>
      <c r="F199" s="143" t="str">
        <f t="shared" si="12"/>
        <v/>
      </c>
      <c r="G199" s="135" t="str">
        <f t="shared" si="13"/>
        <v/>
      </c>
      <c r="H199" s="143" t="str">
        <f t="shared" si="14"/>
        <v/>
      </c>
    </row>
    <row r="200" spans="2:8" x14ac:dyDescent="0.3">
      <c r="B200" s="21">
        <v>195</v>
      </c>
      <c r="C200" s="285"/>
      <c r="D200" s="286"/>
      <c r="E200" s="135" t="str">
        <f t="shared" si="11"/>
        <v/>
      </c>
      <c r="F200" s="143" t="str">
        <f t="shared" si="12"/>
        <v/>
      </c>
      <c r="G200" s="135" t="str">
        <f t="shared" si="13"/>
        <v/>
      </c>
      <c r="H200" s="143" t="str">
        <f t="shared" si="14"/>
        <v/>
      </c>
    </row>
    <row r="201" spans="2:8" x14ac:dyDescent="0.3">
      <c r="B201" s="21">
        <v>196</v>
      </c>
      <c r="C201" s="285"/>
      <c r="D201" s="286"/>
      <c r="E201" s="135" t="str">
        <f t="shared" si="11"/>
        <v/>
      </c>
      <c r="F201" s="143" t="str">
        <f t="shared" si="12"/>
        <v/>
      </c>
      <c r="G201" s="135" t="str">
        <f t="shared" si="13"/>
        <v/>
      </c>
      <c r="H201" s="143" t="str">
        <f t="shared" si="14"/>
        <v/>
      </c>
    </row>
    <row r="202" spans="2:8" x14ac:dyDescent="0.3">
      <c r="B202" s="21">
        <v>197</v>
      </c>
      <c r="C202" s="285"/>
      <c r="D202" s="286"/>
      <c r="E202" s="135" t="str">
        <f t="shared" si="11"/>
        <v/>
      </c>
      <c r="F202" s="143" t="str">
        <f t="shared" si="12"/>
        <v/>
      </c>
      <c r="G202" s="135" t="str">
        <f t="shared" si="13"/>
        <v/>
      </c>
      <c r="H202" s="143" t="str">
        <f t="shared" si="14"/>
        <v/>
      </c>
    </row>
    <row r="203" spans="2:8" x14ac:dyDescent="0.3">
      <c r="B203" s="21">
        <v>198</v>
      </c>
      <c r="C203" s="285"/>
      <c r="D203" s="286"/>
      <c r="E203" s="135" t="str">
        <f t="shared" ref="E203:E266" si="15">IF(D203="","",ROUNDUP(D203,0))</f>
        <v/>
      </c>
      <c r="F203" s="143" t="str">
        <f t="shared" ref="F203:F266" si="16">IF(C203="","",INDEX(V_UNITARIOMATERIAL,MATCH(C203,L_MATERIALES,0)))</f>
        <v/>
      </c>
      <c r="G203" s="135" t="str">
        <f t="shared" ref="G203:G266" si="17">IF(C203="","",INDEX(U_MATERIAL,MATCH(C203,L_MATERIALES,0)))</f>
        <v/>
      </c>
      <c r="H203" s="143" t="str">
        <f t="shared" ref="H203:H266" si="18">IF(E203="","",F203*E203)</f>
        <v/>
      </c>
    </row>
    <row r="204" spans="2:8" x14ac:dyDescent="0.3">
      <c r="B204" s="21">
        <v>199</v>
      </c>
      <c r="C204" s="285"/>
      <c r="D204" s="286"/>
      <c r="E204" s="135" t="str">
        <f t="shared" si="15"/>
        <v/>
      </c>
      <c r="F204" s="143" t="str">
        <f t="shared" si="16"/>
        <v/>
      </c>
      <c r="G204" s="135" t="str">
        <f t="shared" si="17"/>
        <v/>
      </c>
      <c r="H204" s="143" t="str">
        <f t="shared" si="18"/>
        <v/>
      </c>
    </row>
    <row r="205" spans="2:8" x14ac:dyDescent="0.3">
      <c r="B205" s="21">
        <v>200</v>
      </c>
      <c r="C205" s="285"/>
      <c r="D205" s="286"/>
      <c r="E205" s="135" t="str">
        <f t="shared" si="15"/>
        <v/>
      </c>
      <c r="F205" s="143" t="str">
        <f t="shared" si="16"/>
        <v/>
      </c>
      <c r="G205" s="135" t="str">
        <f t="shared" si="17"/>
        <v/>
      </c>
      <c r="H205" s="143" t="str">
        <f t="shared" si="18"/>
        <v/>
      </c>
    </row>
    <row r="206" spans="2:8" x14ac:dyDescent="0.3">
      <c r="B206" s="21">
        <v>201</v>
      </c>
      <c r="C206" s="285"/>
      <c r="D206" s="286"/>
      <c r="E206" s="135" t="str">
        <f t="shared" si="15"/>
        <v/>
      </c>
      <c r="F206" s="143" t="str">
        <f t="shared" si="16"/>
        <v/>
      </c>
      <c r="G206" s="135" t="str">
        <f t="shared" si="17"/>
        <v/>
      </c>
      <c r="H206" s="143" t="str">
        <f t="shared" si="18"/>
        <v/>
      </c>
    </row>
    <row r="207" spans="2:8" x14ac:dyDescent="0.3">
      <c r="B207" s="21">
        <v>202</v>
      </c>
      <c r="C207" s="285"/>
      <c r="D207" s="286"/>
      <c r="E207" s="135" t="str">
        <f t="shared" si="15"/>
        <v/>
      </c>
      <c r="F207" s="143" t="str">
        <f t="shared" si="16"/>
        <v/>
      </c>
      <c r="G207" s="135" t="str">
        <f t="shared" si="17"/>
        <v/>
      </c>
      <c r="H207" s="143" t="str">
        <f t="shared" si="18"/>
        <v/>
      </c>
    </row>
    <row r="208" spans="2:8" x14ac:dyDescent="0.3">
      <c r="B208" s="21">
        <v>203</v>
      </c>
      <c r="C208" s="285"/>
      <c r="D208" s="286"/>
      <c r="E208" s="135" t="str">
        <f t="shared" si="15"/>
        <v/>
      </c>
      <c r="F208" s="143" t="str">
        <f t="shared" si="16"/>
        <v/>
      </c>
      <c r="G208" s="135" t="str">
        <f t="shared" si="17"/>
        <v/>
      </c>
      <c r="H208" s="143" t="str">
        <f t="shared" si="18"/>
        <v/>
      </c>
    </row>
    <row r="209" spans="2:8" x14ac:dyDescent="0.3">
      <c r="B209" s="21">
        <v>204</v>
      </c>
      <c r="C209" s="285"/>
      <c r="D209" s="286"/>
      <c r="E209" s="135" t="str">
        <f t="shared" si="15"/>
        <v/>
      </c>
      <c r="F209" s="143" t="str">
        <f t="shared" si="16"/>
        <v/>
      </c>
      <c r="G209" s="135" t="str">
        <f t="shared" si="17"/>
        <v/>
      </c>
      <c r="H209" s="143" t="str">
        <f t="shared" si="18"/>
        <v/>
      </c>
    </row>
    <row r="210" spans="2:8" x14ac:dyDescent="0.3">
      <c r="B210" s="21">
        <v>205</v>
      </c>
      <c r="C210" s="285"/>
      <c r="D210" s="286"/>
      <c r="E210" s="135" t="str">
        <f t="shared" si="15"/>
        <v/>
      </c>
      <c r="F210" s="143" t="str">
        <f t="shared" si="16"/>
        <v/>
      </c>
      <c r="G210" s="135" t="str">
        <f t="shared" si="17"/>
        <v/>
      </c>
      <c r="H210" s="143" t="str">
        <f t="shared" si="18"/>
        <v/>
      </c>
    </row>
    <row r="211" spans="2:8" x14ac:dyDescent="0.3">
      <c r="B211" s="21">
        <v>206</v>
      </c>
      <c r="C211" s="285"/>
      <c r="D211" s="286"/>
      <c r="E211" s="135" t="str">
        <f t="shared" si="15"/>
        <v/>
      </c>
      <c r="F211" s="143" t="str">
        <f t="shared" si="16"/>
        <v/>
      </c>
      <c r="G211" s="135" t="str">
        <f t="shared" si="17"/>
        <v/>
      </c>
      <c r="H211" s="143" t="str">
        <f t="shared" si="18"/>
        <v/>
      </c>
    </row>
    <row r="212" spans="2:8" x14ac:dyDescent="0.3">
      <c r="B212" s="21">
        <v>207</v>
      </c>
      <c r="C212" s="285"/>
      <c r="D212" s="286"/>
      <c r="E212" s="135" t="str">
        <f t="shared" si="15"/>
        <v/>
      </c>
      <c r="F212" s="143" t="str">
        <f t="shared" si="16"/>
        <v/>
      </c>
      <c r="G212" s="135" t="str">
        <f t="shared" si="17"/>
        <v/>
      </c>
      <c r="H212" s="143" t="str">
        <f t="shared" si="18"/>
        <v/>
      </c>
    </row>
    <row r="213" spans="2:8" x14ac:dyDescent="0.3">
      <c r="B213" s="21">
        <v>208</v>
      </c>
      <c r="C213" s="285"/>
      <c r="D213" s="286"/>
      <c r="E213" s="135" t="str">
        <f t="shared" si="15"/>
        <v/>
      </c>
      <c r="F213" s="143" t="str">
        <f t="shared" si="16"/>
        <v/>
      </c>
      <c r="G213" s="135" t="str">
        <f t="shared" si="17"/>
        <v/>
      </c>
      <c r="H213" s="143" t="str">
        <f t="shared" si="18"/>
        <v/>
      </c>
    </row>
    <row r="214" spans="2:8" x14ac:dyDescent="0.3">
      <c r="B214" s="21">
        <v>209</v>
      </c>
      <c r="C214" s="285"/>
      <c r="D214" s="286"/>
      <c r="E214" s="135" t="str">
        <f t="shared" si="15"/>
        <v/>
      </c>
      <c r="F214" s="143" t="str">
        <f t="shared" si="16"/>
        <v/>
      </c>
      <c r="G214" s="135" t="str">
        <f t="shared" si="17"/>
        <v/>
      </c>
      <c r="H214" s="143" t="str">
        <f t="shared" si="18"/>
        <v/>
      </c>
    </row>
    <row r="215" spans="2:8" x14ac:dyDescent="0.3">
      <c r="B215" s="21">
        <v>210</v>
      </c>
      <c r="C215" s="285"/>
      <c r="D215" s="286"/>
      <c r="E215" s="135" t="str">
        <f t="shared" si="15"/>
        <v/>
      </c>
      <c r="F215" s="143" t="str">
        <f t="shared" si="16"/>
        <v/>
      </c>
      <c r="G215" s="135" t="str">
        <f t="shared" si="17"/>
        <v/>
      </c>
      <c r="H215" s="143" t="str">
        <f t="shared" si="18"/>
        <v/>
      </c>
    </row>
    <row r="216" spans="2:8" x14ac:dyDescent="0.3">
      <c r="B216" s="21">
        <v>211</v>
      </c>
      <c r="C216" s="285"/>
      <c r="D216" s="286"/>
      <c r="E216" s="135" t="str">
        <f t="shared" si="15"/>
        <v/>
      </c>
      <c r="F216" s="143" t="str">
        <f t="shared" si="16"/>
        <v/>
      </c>
      <c r="G216" s="135" t="str">
        <f t="shared" si="17"/>
        <v/>
      </c>
      <c r="H216" s="143" t="str">
        <f t="shared" si="18"/>
        <v/>
      </c>
    </row>
    <row r="217" spans="2:8" x14ac:dyDescent="0.3">
      <c r="B217" s="21">
        <v>212</v>
      </c>
      <c r="C217" s="285"/>
      <c r="D217" s="286"/>
      <c r="E217" s="135" t="str">
        <f t="shared" si="15"/>
        <v/>
      </c>
      <c r="F217" s="143" t="str">
        <f t="shared" si="16"/>
        <v/>
      </c>
      <c r="G217" s="135" t="str">
        <f t="shared" si="17"/>
        <v/>
      </c>
      <c r="H217" s="143" t="str">
        <f t="shared" si="18"/>
        <v/>
      </c>
    </row>
    <row r="218" spans="2:8" x14ac:dyDescent="0.3">
      <c r="B218" s="21">
        <v>213</v>
      </c>
      <c r="C218" s="285"/>
      <c r="D218" s="286"/>
      <c r="E218" s="135" t="str">
        <f t="shared" si="15"/>
        <v/>
      </c>
      <c r="F218" s="143" t="str">
        <f t="shared" si="16"/>
        <v/>
      </c>
      <c r="G218" s="135" t="str">
        <f t="shared" si="17"/>
        <v/>
      </c>
      <c r="H218" s="143" t="str">
        <f t="shared" si="18"/>
        <v/>
      </c>
    </row>
    <row r="219" spans="2:8" x14ac:dyDescent="0.3">
      <c r="B219" s="21">
        <v>214</v>
      </c>
      <c r="C219" s="285"/>
      <c r="D219" s="286"/>
      <c r="E219" s="135" t="str">
        <f t="shared" si="15"/>
        <v/>
      </c>
      <c r="F219" s="143" t="str">
        <f t="shared" si="16"/>
        <v/>
      </c>
      <c r="G219" s="135" t="str">
        <f t="shared" si="17"/>
        <v/>
      </c>
      <c r="H219" s="143" t="str">
        <f t="shared" si="18"/>
        <v/>
      </c>
    </row>
    <row r="220" spans="2:8" x14ac:dyDescent="0.3">
      <c r="B220" s="21">
        <v>215</v>
      </c>
      <c r="C220" s="285"/>
      <c r="D220" s="286"/>
      <c r="E220" s="135" t="str">
        <f t="shared" si="15"/>
        <v/>
      </c>
      <c r="F220" s="143" t="str">
        <f t="shared" si="16"/>
        <v/>
      </c>
      <c r="G220" s="135" t="str">
        <f t="shared" si="17"/>
        <v/>
      </c>
      <c r="H220" s="143" t="str">
        <f t="shared" si="18"/>
        <v/>
      </c>
    </row>
    <row r="221" spans="2:8" x14ac:dyDescent="0.3">
      <c r="B221" s="21">
        <v>216</v>
      </c>
      <c r="C221" s="285"/>
      <c r="D221" s="286"/>
      <c r="E221" s="135" t="str">
        <f t="shared" si="15"/>
        <v/>
      </c>
      <c r="F221" s="143" t="str">
        <f t="shared" si="16"/>
        <v/>
      </c>
      <c r="G221" s="135" t="str">
        <f t="shared" si="17"/>
        <v/>
      </c>
      <c r="H221" s="143" t="str">
        <f t="shared" si="18"/>
        <v/>
      </c>
    </row>
    <row r="222" spans="2:8" x14ac:dyDescent="0.3">
      <c r="B222" s="21">
        <v>217</v>
      </c>
      <c r="C222" s="285"/>
      <c r="D222" s="286"/>
      <c r="E222" s="135" t="str">
        <f t="shared" si="15"/>
        <v/>
      </c>
      <c r="F222" s="143" t="str">
        <f t="shared" si="16"/>
        <v/>
      </c>
      <c r="G222" s="135" t="str">
        <f t="shared" si="17"/>
        <v/>
      </c>
      <c r="H222" s="143" t="str">
        <f t="shared" si="18"/>
        <v/>
      </c>
    </row>
    <row r="223" spans="2:8" x14ac:dyDescent="0.3">
      <c r="B223" s="21">
        <v>218</v>
      </c>
      <c r="C223" s="285"/>
      <c r="D223" s="286"/>
      <c r="E223" s="135" t="str">
        <f t="shared" si="15"/>
        <v/>
      </c>
      <c r="F223" s="143" t="str">
        <f t="shared" si="16"/>
        <v/>
      </c>
      <c r="G223" s="135" t="str">
        <f t="shared" si="17"/>
        <v/>
      </c>
      <c r="H223" s="143" t="str">
        <f t="shared" si="18"/>
        <v/>
      </c>
    </row>
    <row r="224" spans="2:8" x14ac:dyDescent="0.3">
      <c r="B224" s="21">
        <v>219</v>
      </c>
      <c r="C224" s="285"/>
      <c r="D224" s="286"/>
      <c r="E224" s="135" t="str">
        <f t="shared" si="15"/>
        <v/>
      </c>
      <c r="F224" s="143" t="str">
        <f t="shared" si="16"/>
        <v/>
      </c>
      <c r="G224" s="135" t="str">
        <f t="shared" si="17"/>
        <v/>
      </c>
      <c r="H224" s="143" t="str">
        <f t="shared" si="18"/>
        <v/>
      </c>
    </row>
    <row r="225" spans="2:8" x14ac:dyDescent="0.3">
      <c r="B225" s="21">
        <v>220</v>
      </c>
      <c r="C225" s="285"/>
      <c r="D225" s="286"/>
      <c r="E225" s="135" t="str">
        <f t="shared" si="15"/>
        <v/>
      </c>
      <c r="F225" s="143" t="str">
        <f t="shared" si="16"/>
        <v/>
      </c>
      <c r="G225" s="135" t="str">
        <f t="shared" si="17"/>
        <v/>
      </c>
      <c r="H225" s="143" t="str">
        <f t="shared" si="18"/>
        <v/>
      </c>
    </row>
    <row r="226" spans="2:8" x14ac:dyDescent="0.3">
      <c r="B226" s="21">
        <v>221</v>
      </c>
      <c r="C226" s="285"/>
      <c r="D226" s="286"/>
      <c r="E226" s="135" t="str">
        <f t="shared" si="15"/>
        <v/>
      </c>
      <c r="F226" s="143" t="str">
        <f t="shared" si="16"/>
        <v/>
      </c>
      <c r="G226" s="135" t="str">
        <f t="shared" si="17"/>
        <v/>
      </c>
      <c r="H226" s="143" t="str">
        <f t="shared" si="18"/>
        <v/>
      </c>
    </row>
    <row r="227" spans="2:8" x14ac:dyDescent="0.3">
      <c r="B227" s="21">
        <v>222</v>
      </c>
      <c r="C227" s="285"/>
      <c r="D227" s="286"/>
      <c r="E227" s="135" t="str">
        <f t="shared" si="15"/>
        <v/>
      </c>
      <c r="F227" s="143" t="str">
        <f t="shared" si="16"/>
        <v/>
      </c>
      <c r="G227" s="135" t="str">
        <f t="shared" si="17"/>
        <v/>
      </c>
      <c r="H227" s="143" t="str">
        <f t="shared" si="18"/>
        <v/>
      </c>
    </row>
    <row r="228" spans="2:8" x14ac:dyDescent="0.3">
      <c r="B228" s="21">
        <v>223</v>
      </c>
      <c r="C228" s="285"/>
      <c r="D228" s="286"/>
      <c r="E228" s="135" t="str">
        <f t="shared" si="15"/>
        <v/>
      </c>
      <c r="F228" s="143" t="str">
        <f t="shared" si="16"/>
        <v/>
      </c>
      <c r="G228" s="135" t="str">
        <f t="shared" si="17"/>
        <v/>
      </c>
      <c r="H228" s="143" t="str">
        <f t="shared" si="18"/>
        <v/>
      </c>
    </row>
    <row r="229" spans="2:8" x14ac:dyDescent="0.3">
      <c r="B229" s="21">
        <v>224</v>
      </c>
      <c r="C229" s="285"/>
      <c r="D229" s="286"/>
      <c r="E229" s="135" t="str">
        <f t="shared" si="15"/>
        <v/>
      </c>
      <c r="F229" s="143" t="str">
        <f t="shared" si="16"/>
        <v/>
      </c>
      <c r="G229" s="135" t="str">
        <f t="shared" si="17"/>
        <v/>
      </c>
      <c r="H229" s="143" t="str">
        <f t="shared" si="18"/>
        <v/>
      </c>
    </row>
    <row r="230" spans="2:8" x14ac:dyDescent="0.3">
      <c r="B230" s="21">
        <v>225</v>
      </c>
      <c r="C230" s="285"/>
      <c r="D230" s="286"/>
      <c r="E230" s="135" t="str">
        <f t="shared" si="15"/>
        <v/>
      </c>
      <c r="F230" s="143" t="str">
        <f t="shared" si="16"/>
        <v/>
      </c>
      <c r="G230" s="135" t="str">
        <f t="shared" si="17"/>
        <v/>
      </c>
      <c r="H230" s="143" t="str">
        <f t="shared" si="18"/>
        <v/>
      </c>
    </row>
    <row r="231" spans="2:8" x14ac:dyDescent="0.3">
      <c r="B231" s="21">
        <v>226</v>
      </c>
      <c r="C231" s="285"/>
      <c r="D231" s="286"/>
      <c r="E231" s="135" t="str">
        <f t="shared" si="15"/>
        <v/>
      </c>
      <c r="F231" s="143" t="str">
        <f t="shared" si="16"/>
        <v/>
      </c>
      <c r="G231" s="135" t="str">
        <f t="shared" si="17"/>
        <v/>
      </c>
      <c r="H231" s="143" t="str">
        <f t="shared" si="18"/>
        <v/>
      </c>
    </row>
    <row r="232" spans="2:8" x14ac:dyDescent="0.3">
      <c r="B232" s="21">
        <v>227</v>
      </c>
      <c r="C232" s="285"/>
      <c r="D232" s="286"/>
      <c r="E232" s="135" t="str">
        <f t="shared" si="15"/>
        <v/>
      </c>
      <c r="F232" s="143" t="str">
        <f t="shared" si="16"/>
        <v/>
      </c>
      <c r="G232" s="135" t="str">
        <f t="shared" si="17"/>
        <v/>
      </c>
      <c r="H232" s="143" t="str">
        <f t="shared" si="18"/>
        <v/>
      </c>
    </row>
    <row r="233" spans="2:8" x14ac:dyDescent="0.3">
      <c r="B233" s="21">
        <v>228</v>
      </c>
      <c r="C233" s="285"/>
      <c r="D233" s="286"/>
      <c r="E233" s="135" t="str">
        <f t="shared" si="15"/>
        <v/>
      </c>
      <c r="F233" s="143" t="str">
        <f t="shared" si="16"/>
        <v/>
      </c>
      <c r="G233" s="135" t="str">
        <f t="shared" si="17"/>
        <v/>
      </c>
      <c r="H233" s="143" t="str">
        <f t="shared" si="18"/>
        <v/>
      </c>
    </row>
    <row r="234" spans="2:8" x14ac:dyDescent="0.3">
      <c r="B234" s="21">
        <v>229</v>
      </c>
      <c r="C234" s="285"/>
      <c r="D234" s="286"/>
      <c r="E234" s="135" t="str">
        <f t="shared" si="15"/>
        <v/>
      </c>
      <c r="F234" s="143" t="str">
        <f t="shared" si="16"/>
        <v/>
      </c>
      <c r="G234" s="135" t="str">
        <f t="shared" si="17"/>
        <v/>
      </c>
      <c r="H234" s="143" t="str">
        <f t="shared" si="18"/>
        <v/>
      </c>
    </row>
    <row r="235" spans="2:8" x14ac:dyDescent="0.3">
      <c r="B235" s="21">
        <v>230</v>
      </c>
      <c r="C235" s="285"/>
      <c r="D235" s="286"/>
      <c r="E235" s="135" t="str">
        <f t="shared" si="15"/>
        <v/>
      </c>
      <c r="F235" s="143" t="str">
        <f t="shared" si="16"/>
        <v/>
      </c>
      <c r="G235" s="135" t="str">
        <f t="shared" si="17"/>
        <v/>
      </c>
      <c r="H235" s="143" t="str">
        <f t="shared" si="18"/>
        <v/>
      </c>
    </row>
    <row r="236" spans="2:8" x14ac:dyDescent="0.3">
      <c r="B236" s="21">
        <v>231</v>
      </c>
      <c r="C236" s="285"/>
      <c r="D236" s="286"/>
      <c r="E236" s="135" t="str">
        <f t="shared" si="15"/>
        <v/>
      </c>
      <c r="F236" s="143" t="str">
        <f t="shared" si="16"/>
        <v/>
      </c>
      <c r="G236" s="135" t="str">
        <f t="shared" si="17"/>
        <v/>
      </c>
      <c r="H236" s="143" t="str">
        <f t="shared" si="18"/>
        <v/>
      </c>
    </row>
    <row r="237" spans="2:8" x14ac:dyDescent="0.3">
      <c r="B237" s="21">
        <v>232</v>
      </c>
      <c r="C237" s="285"/>
      <c r="D237" s="286"/>
      <c r="E237" s="135" t="str">
        <f t="shared" si="15"/>
        <v/>
      </c>
      <c r="F237" s="143" t="str">
        <f t="shared" si="16"/>
        <v/>
      </c>
      <c r="G237" s="135" t="str">
        <f t="shared" si="17"/>
        <v/>
      </c>
      <c r="H237" s="143" t="str">
        <f t="shared" si="18"/>
        <v/>
      </c>
    </row>
    <row r="238" spans="2:8" x14ac:dyDescent="0.3">
      <c r="B238" s="21">
        <v>233</v>
      </c>
      <c r="C238" s="285"/>
      <c r="D238" s="286"/>
      <c r="E238" s="135" t="str">
        <f t="shared" si="15"/>
        <v/>
      </c>
      <c r="F238" s="143" t="str">
        <f t="shared" si="16"/>
        <v/>
      </c>
      <c r="G238" s="135" t="str">
        <f t="shared" si="17"/>
        <v/>
      </c>
      <c r="H238" s="143" t="str">
        <f t="shared" si="18"/>
        <v/>
      </c>
    </row>
    <row r="239" spans="2:8" x14ac:dyDescent="0.3">
      <c r="B239" s="21">
        <v>234</v>
      </c>
      <c r="C239" s="285"/>
      <c r="D239" s="286"/>
      <c r="E239" s="135" t="str">
        <f t="shared" si="15"/>
        <v/>
      </c>
      <c r="F239" s="143" t="str">
        <f t="shared" si="16"/>
        <v/>
      </c>
      <c r="G239" s="135" t="str">
        <f t="shared" si="17"/>
        <v/>
      </c>
      <c r="H239" s="143" t="str">
        <f t="shared" si="18"/>
        <v/>
      </c>
    </row>
    <row r="240" spans="2:8" x14ac:dyDescent="0.3">
      <c r="B240" s="21">
        <v>235</v>
      </c>
      <c r="C240" s="285"/>
      <c r="D240" s="286"/>
      <c r="E240" s="135" t="str">
        <f t="shared" si="15"/>
        <v/>
      </c>
      <c r="F240" s="143" t="str">
        <f t="shared" si="16"/>
        <v/>
      </c>
      <c r="G240" s="135" t="str">
        <f t="shared" si="17"/>
        <v/>
      </c>
      <c r="H240" s="143" t="str">
        <f t="shared" si="18"/>
        <v/>
      </c>
    </row>
    <row r="241" spans="2:8" x14ac:dyDescent="0.3">
      <c r="B241" s="21">
        <v>236</v>
      </c>
      <c r="C241" s="285"/>
      <c r="D241" s="286"/>
      <c r="E241" s="135" t="str">
        <f t="shared" si="15"/>
        <v/>
      </c>
      <c r="F241" s="143" t="str">
        <f t="shared" si="16"/>
        <v/>
      </c>
      <c r="G241" s="135" t="str">
        <f t="shared" si="17"/>
        <v/>
      </c>
      <c r="H241" s="143" t="str">
        <f t="shared" si="18"/>
        <v/>
      </c>
    </row>
    <row r="242" spans="2:8" x14ac:dyDescent="0.3">
      <c r="B242" s="21">
        <v>237</v>
      </c>
      <c r="C242" s="285"/>
      <c r="D242" s="286"/>
      <c r="E242" s="135" t="str">
        <f t="shared" si="15"/>
        <v/>
      </c>
      <c r="F242" s="143" t="str">
        <f t="shared" si="16"/>
        <v/>
      </c>
      <c r="G242" s="135" t="str">
        <f t="shared" si="17"/>
        <v/>
      </c>
      <c r="H242" s="143" t="str">
        <f t="shared" si="18"/>
        <v/>
      </c>
    </row>
    <row r="243" spans="2:8" x14ac:dyDescent="0.3">
      <c r="B243" s="21">
        <v>238</v>
      </c>
      <c r="C243" s="285"/>
      <c r="D243" s="286"/>
      <c r="E243" s="135" t="str">
        <f t="shared" si="15"/>
        <v/>
      </c>
      <c r="F243" s="143" t="str">
        <f t="shared" si="16"/>
        <v/>
      </c>
      <c r="G243" s="135" t="str">
        <f t="shared" si="17"/>
        <v/>
      </c>
      <c r="H243" s="143" t="str">
        <f t="shared" si="18"/>
        <v/>
      </c>
    </row>
    <row r="244" spans="2:8" x14ac:dyDescent="0.3">
      <c r="B244" s="21">
        <v>239</v>
      </c>
      <c r="C244" s="285"/>
      <c r="D244" s="286"/>
      <c r="E244" s="135" t="str">
        <f t="shared" si="15"/>
        <v/>
      </c>
      <c r="F244" s="143" t="str">
        <f t="shared" si="16"/>
        <v/>
      </c>
      <c r="G244" s="135" t="str">
        <f t="shared" si="17"/>
        <v/>
      </c>
      <c r="H244" s="143" t="str">
        <f t="shared" si="18"/>
        <v/>
      </c>
    </row>
    <row r="245" spans="2:8" x14ac:dyDescent="0.3">
      <c r="B245" s="21">
        <v>240</v>
      </c>
      <c r="C245" s="285"/>
      <c r="D245" s="286"/>
      <c r="E245" s="135" t="str">
        <f t="shared" si="15"/>
        <v/>
      </c>
      <c r="F245" s="143" t="str">
        <f t="shared" si="16"/>
        <v/>
      </c>
      <c r="G245" s="135" t="str">
        <f t="shared" si="17"/>
        <v/>
      </c>
      <c r="H245" s="143" t="str">
        <f t="shared" si="18"/>
        <v/>
      </c>
    </row>
    <row r="246" spans="2:8" x14ac:dyDescent="0.3">
      <c r="B246" s="21">
        <v>241</v>
      </c>
      <c r="C246" s="285"/>
      <c r="D246" s="286"/>
      <c r="E246" s="135" t="str">
        <f t="shared" si="15"/>
        <v/>
      </c>
      <c r="F246" s="143" t="str">
        <f t="shared" si="16"/>
        <v/>
      </c>
      <c r="G246" s="135" t="str">
        <f t="shared" si="17"/>
        <v/>
      </c>
      <c r="H246" s="143" t="str">
        <f t="shared" si="18"/>
        <v/>
      </c>
    </row>
    <row r="247" spans="2:8" x14ac:dyDescent="0.3">
      <c r="B247" s="21">
        <v>242</v>
      </c>
      <c r="C247" s="285"/>
      <c r="D247" s="286"/>
      <c r="E247" s="135" t="str">
        <f t="shared" si="15"/>
        <v/>
      </c>
      <c r="F247" s="143" t="str">
        <f t="shared" si="16"/>
        <v/>
      </c>
      <c r="G247" s="135" t="str">
        <f t="shared" si="17"/>
        <v/>
      </c>
      <c r="H247" s="143" t="str">
        <f t="shared" si="18"/>
        <v/>
      </c>
    </row>
    <row r="248" spans="2:8" x14ac:dyDescent="0.3">
      <c r="B248" s="21">
        <v>243</v>
      </c>
      <c r="C248" s="285"/>
      <c r="D248" s="286"/>
      <c r="E248" s="135" t="str">
        <f t="shared" si="15"/>
        <v/>
      </c>
      <c r="F248" s="143" t="str">
        <f t="shared" si="16"/>
        <v/>
      </c>
      <c r="G248" s="135" t="str">
        <f t="shared" si="17"/>
        <v/>
      </c>
      <c r="H248" s="143" t="str">
        <f t="shared" si="18"/>
        <v/>
      </c>
    </row>
    <row r="249" spans="2:8" x14ac:dyDescent="0.3">
      <c r="B249" s="21">
        <v>244</v>
      </c>
      <c r="C249" s="285"/>
      <c r="D249" s="286"/>
      <c r="E249" s="135" t="str">
        <f t="shared" si="15"/>
        <v/>
      </c>
      <c r="F249" s="143" t="str">
        <f t="shared" si="16"/>
        <v/>
      </c>
      <c r="G249" s="135" t="str">
        <f t="shared" si="17"/>
        <v/>
      </c>
      <c r="H249" s="143" t="str">
        <f t="shared" si="18"/>
        <v/>
      </c>
    </row>
    <row r="250" spans="2:8" x14ac:dyDescent="0.3">
      <c r="B250" s="21">
        <v>245</v>
      </c>
      <c r="C250" s="285"/>
      <c r="D250" s="286"/>
      <c r="E250" s="135" t="str">
        <f t="shared" si="15"/>
        <v/>
      </c>
      <c r="F250" s="143" t="str">
        <f t="shared" si="16"/>
        <v/>
      </c>
      <c r="G250" s="135" t="str">
        <f t="shared" si="17"/>
        <v/>
      </c>
      <c r="H250" s="143" t="str">
        <f t="shared" si="18"/>
        <v/>
      </c>
    </row>
    <row r="251" spans="2:8" x14ac:dyDescent="0.3">
      <c r="B251" s="21">
        <v>246</v>
      </c>
      <c r="C251" s="285"/>
      <c r="D251" s="286"/>
      <c r="E251" s="135" t="str">
        <f t="shared" si="15"/>
        <v/>
      </c>
      <c r="F251" s="143" t="str">
        <f t="shared" si="16"/>
        <v/>
      </c>
      <c r="G251" s="135" t="str">
        <f t="shared" si="17"/>
        <v/>
      </c>
      <c r="H251" s="143" t="str">
        <f t="shared" si="18"/>
        <v/>
      </c>
    </row>
    <row r="252" spans="2:8" x14ac:dyDescent="0.3">
      <c r="B252" s="21">
        <v>247</v>
      </c>
      <c r="C252" s="285"/>
      <c r="D252" s="286"/>
      <c r="E252" s="135" t="str">
        <f t="shared" si="15"/>
        <v/>
      </c>
      <c r="F252" s="143" t="str">
        <f t="shared" si="16"/>
        <v/>
      </c>
      <c r="G252" s="135" t="str">
        <f t="shared" si="17"/>
        <v/>
      </c>
      <c r="H252" s="143" t="str">
        <f t="shared" si="18"/>
        <v/>
      </c>
    </row>
    <row r="253" spans="2:8" x14ac:dyDescent="0.3">
      <c r="B253" s="21">
        <v>248</v>
      </c>
      <c r="C253" s="285"/>
      <c r="D253" s="286"/>
      <c r="E253" s="135" t="str">
        <f t="shared" si="15"/>
        <v/>
      </c>
      <c r="F253" s="143" t="str">
        <f t="shared" si="16"/>
        <v/>
      </c>
      <c r="G253" s="135" t="str">
        <f t="shared" si="17"/>
        <v/>
      </c>
      <c r="H253" s="143" t="str">
        <f t="shared" si="18"/>
        <v/>
      </c>
    </row>
    <row r="254" spans="2:8" x14ac:dyDescent="0.3">
      <c r="B254" s="21">
        <v>249</v>
      </c>
      <c r="C254" s="285"/>
      <c r="D254" s="286"/>
      <c r="E254" s="135" t="str">
        <f t="shared" si="15"/>
        <v/>
      </c>
      <c r="F254" s="143" t="str">
        <f t="shared" si="16"/>
        <v/>
      </c>
      <c r="G254" s="135" t="str">
        <f t="shared" si="17"/>
        <v/>
      </c>
      <c r="H254" s="143" t="str">
        <f t="shared" si="18"/>
        <v/>
      </c>
    </row>
    <row r="255" spans="2:8" x14ac:dyDescent="0.3">
      <c r="B255" s="21">
        <v>250</v>
      </c>
      <c r="C255" s="285"/>
      <c r="D255" s="286"/>
      <c r="E255" s="135" t="str">
        <f t="shared" si="15"/>
        <v/>
      </c>
      <c r="F255" s="143" t="str">
        <f t="shared" si="16"/>
        <v/>
      </c>
      <c r="G255" s="135" t="str">
        <f t="shared" si="17"/>
        <v/>
      </c>
      <c r="H255" s="143" t="str">
        <f t="shared" si="18"/>
        <v/>
      </c>
    </row>
    <row r="256" spans="2:8" x14ac:dyDescent="0.3">
      <c r="B256" s="21">
        <v>251</v>
      </c>
      <c r="C256" s="285"/>
      <c r="D256" s="286"/>
      <c r="E256" s="135" t="str">
        <f t="shared" si="15"/>
        <v/>
      </c>
      <c r="F256" s="143" t="str">
        <f t="shared" si="16"/>
        <v/>
      </c>
      <c r="G256" s="135" t="str">
        <f t="shared" si="17"/>
        <v/>
      </c>
      <c r="H256" s="143" t="str">
        <f t="shared" si="18"/>
        <v/>
      </c>
    </row>
    <row r="257" spans="2:8" x14ac:dyDescent="0.3">
      <c r="B257" s="21">
        <v>252</v>
      </c>
      <c r="C257" s="285"/>
      <c r="D257" s="286"/>
      <c r="E257" s="135" t="str">
        <f t="shared" si="15"/>
        <v/>
      </c>
      <c r="F257" s="143" t="str">
        <f t="shared" si="16"/>
        <v/>
      </c>
      <c r="G257" s="135" t="str">
        <f t="shared" si="17"/>
        <v/>
      </c>
      <c r="H257" s="143" t="str">
        <f t="shared" si="18"/>
        <v/>
      </c>
    </row>
    <row r="258" spans="2:8" x14ac:dyDescent="0.3">
      <c r="B258" s="21">
        <v>253</v>
      </c>
      <c r="C258" s="285"/>
      <c r="D258" s="286"/>
      <c r="E258" s="135" t="str">
        <f t="shared" si="15"/>
        <v/>
      </c>
      <c r="F258" s="143" t="str">
        <f t="shared" si="16"/>
        <v/>
      </c>
      <c r="G258" s="135" t="str">
        <f t="shared" si="17"/>
        <v/>
      </c>
      <c r="H258" s="143" t="str">
        <f t="shared" si="18"/>
        <v/>
      </c>
    </row>
    <row r="259" spans="2:8" x14ac:dyDescent="0.3">
      <c r="B259" s="21">
        <v>254</v>
      </c>
      <c r="C259" s="285"/>
      <c r="D259" s="286"/>
      <c r="E259" s="135" t="str">
        <f t="shared" si="15"/>
        <v/>
      </c>
      <c r="F259" s="143" t="str">
        <f t="shared" si="16"/>
        <v/>
      </c>
      <c r="G259" s="135" t="str">
        <f t="shared" si="17"/>
        <v/>
      </c>
      <c r="H259" s="143" t="str">
        <f t="shared" si="18"/>
        <v/>
      </c>
    </row>
    <row r="260" spans="2:8" x14ac:dyDescent="0.3">
      <c r="B260" s="21">
        <v>255</v>
      </c>
      <c r="C260" s="285"/>
      <c r="D260" s="286"/>
      <c r="E260" s="135" t="str">
        <f t="shared" si="15"/>
        <v/>
      </c>
      <c r="F260" s="143" t="str">
        <f t="shared" si="16"/>
        <v/>
      </c>
      <c r="G260" s="135" t="str">
        <f t="shared" si="17"/>
        <v/>
      </c>
      <c r="H260" s="143" t="str">
        <f t="shared" si="18"/>
        <v/>
      </c>
    </row>
    <row r="261" spans="2:8" x14ac:dyDescent="0.3">
      <c r="B261" s="21">
        <v>256</v>
      </c>
      <c r="C261" s="285"/>
      <c r="D261" s="286"/>
      <c r="E261" s="135" t="str">
        <f t="shared" si="15"/>
        <v/>
      </c>
      <c r="F261" s="143" t="str">
        <f t="shared" si="16"/>
        <v/>
      </c>
      <c r="G261" s="135" t="str">
        <f t="shared" si="17"/>
        <v/>
      </c>
      <c r="H261" s="143" t="str">
        <f t="shared" si="18"/>
        <v/>
      </c>
    </row>
    <row r="262" spans="2:8" x14ac:dyDescent="0.3">
      <c r="B262" s="21">
        <v>257</v>
      </c>
      <c r="C262" s="285"/>
      <c r="D262" s="286"/>
      <c r="E262" s="135" t="str">
        <f t="shared" si="15"/>
        <v/>
      </c>
      <c r="F262" s="143" t="str">
        <f t="shared" si="16"/>
        <v/>
      </c>
      <c r="G262" s="135" t="str">
        <f t="shared" si="17"/>
        <v/>
      </c>
      <c r="H262" s="143" t="str">
        <f t="shared" si="18"/>
        <v/>
      </c>
    </row>
    <row r="263" spans="2:8" x14ac:dyDescent="0.3">
      <c r="B263" s="21">
        <v>258</v>
      </c>
      <c r="C263" s="285"/>
      <c r="D263" s="286"/>
      <c r="E263" s="135" t="str">
        <f t="shared" si="15"/>
        <v/>
      </c>
      <c r="F263" s="143" t="str">
        <f t="shared" si="16"/>
        <v/>
      </c>
      <c r="G263" s="135" t="str">
        <f t="shared" si="17"/>
        <v/>
      </c>
      <c r="H263" s="143" t="str">
        <f t="shared" si="18"/>
        <v/>
      </c>
    </row>
    <row r="264" spans="2:8" x14ac:dyDescent="0.3">
      <c r="B264" s="21">
        <v>259</v>
      </c>
      <c r="C264" s="285"/>
      <c r="D264" s="286"/>
      <c r="E264" s="135" t="str">
        <f t="shared" si="15"/>
        <v/>
      </c>
      <c r="F264" s="143" t="str">
        <f t="shared" si="16"/>
        <v/>
      </c>
      <c r="G264" s="135" t="str">
        <f t="shared" si="17"/>
        <v/>
      </c>
      <c r="H264" s="143" t="str">
        <f t="shared" si="18"/>
        <v/>
      </c>
    </row>
    <row r="265" spans="2:8" x14ac:dyDescent="0.3">
      <c r="B265" s="21">
        <v>260</v>
      </c>
      <c r="C265" s="285"/>
      <c r="D265" s="286"/>
      <c r="E265" s="135" t="str">
        <f t="shared" si="15"/>
        <v/>
      </c>
      <c r="F265" s="143" t="str">
        <f t="shared" si="16"/>
        <v/>
      </c>
      <c r="G265" s="135" t="str">
        <f t="shared" si="17"/>
        <v/>
      </c>
      <c r="H265" s="143" t="str">
        <f t="shared" si="18"/>
        <v/>
      </c>
    </row>
    <row r="266" spans="2:8" x14ac:dyDescent="0.3">
      <c r="B266" s="21">
        <v>261</v>
      </c>
      <c r="C266" s="285"/>
      <c r="D266" s="286"/>
      <c r="E266" s="135" t="str">
        <f t="shared" si="15"/>
        <v/>
      </c>
      <c r="F266" s="143" t="str">
        <f t="shared" si="16"/>
        <v/>
      </c>
      <c r="G266" s="135" t="str">
        <f t="shared" si="17"/>
        <v/>
      </c>
      <c r="H266" s="143" t="str">
        <f t="shared" si="18"/>
        <v/>
      </c>
    </row>
    <row r="267" spans="2:8" x14ac:dyDescent="0.3">
      <c r="B267" s="21">
        <v>262</v>
      </c>
      <c r="C267" s="285"/>
      <c r="D267" s="286"/>
      <c r="E267" s="135" t="str">
        <f t="shared" ref="E267:E330" si="19">IF(D267="","",ROUNDUP(D267,0))</f>
        <v/>
      </c>
      <c r="F267" s="143" t="str">
        <f t="shared" ref="F267:F330" si="20">IF(C267="","",INDEX(V_UNITARIOMATERIAL,MATCH(C267,L_MATERIALES,0)))</f>
        <v/>
      </c>
      <c r="G267" s="135" t="str">
        <f t="shared" ref="G267:G330" si="21">IF(C267="","",INDEX(U_MATERIAL,MATCH(C267,L_MATERIALES,0)))</f>
        <v/>
      </c>
      <c r="H267" s="143" t="str">
        <f t="shared" ref="H267:H330" si="22">IF(E267="","",F267*E267)</f>
        <v/>
      </c>
    </row>
    <row r="268" spans="2:8" x14ac:dyDescent="0.3">
      <c r="B268" s="21">
        <v>263</v>
      </c>
      <c r="C268" s="285"/>
      <c r="D268" s="286"/>
      <c r="E268" s="135" t="str">
        <f t="shared" si="19"/>
        <v/>
      </c>
      <c r="F268" s="143" t="str">
        <f t="shared" si="20"/>
        <v/>
      </c>
      <c r="G268" s="135" t="str">
        <f t="shared" si="21"/>
        <v/>
      </c>
      <c r="H268" s="143" t="str">
        <f t="shared" si="22"/>
        <v/>
      </c>
    </row>
    <row r="269" spans="2:8" x14ac:dyDescent="0.3">
      <c r="B269" s="21">
        <v>264</v>
      </c>
      <c r="C269" s="285"/>
      <c r="D269" s="286"/>
      <c r="E269" s="135" t="str">
        <f t="shared" si="19"/>
        <v/>
      </c>
      <c r="F269" s="143" t="str">
        <f t="shared" si="20"/>
        <v/>
      </c>
      <c r="G269" s="135" t="str">
        <f t="shared" si="21"/>
        <v/>
      </c>
      <c r="H269" s="143" t="str">
        <f t="shared" si="22"/>
        <v/>
      </c>
    </row>
    <row r="270" spans="2:8" x14ac:dyDescent="0.3">
      <c r="B270" s="21">
        <v>265</v>
      </c>
      <c r="C270" s="285"/>
      <c r="D270" s="286"/>
      <c r="E270" s="135" t="str">
        <f t="shared" si="19"/>
        <v/>
      </c>
      <c r="F270" s="143" t="str">
        <f t="shared" si="20"/>
        <v/>
      </c>
      <c r="G270" s="135" t="str">
        <f t="shared" si="21"/>
        <v/>
      </c>
      <c r="H270" s="143" t="str">
        <f t="shared" si="22"/>
        <v/>
      </c>
    </row>
    <row r="271" spans="2:8" x14ac:dyDescent="0.3">
      <c r="B271" s="21">
        <v>266</v>
      </c>
      <c r="C271" s="285"/>
      <c r="D271" s="286"/>
      <c r="E271" s="135" t="str">
        <f t="shared" si="19"/>
        <v/>
      </c>
      <c r="F271" s="143" t="str">
        <f t="shared" si="20"/>
        <v/>
      </c>
      <c r="G271" s="135" t="str">
        <f t="shared" si="21"/>
        <v/>
      </c>
      <c r="H271" s="143" t="str">
        <f t="shared" si="22"/>
        <v/>
      </c>
    </row>
    <row r="272" spans="2:8" x14ac:dyDescent="0.3">
      <c r="B272" s="21">
        <v>267</v>
      </c>
      <c r="C272" s="285"/>
      <c r="D272" s="286"/>
      <c r="E272" s="135" t="str">
        <f t="shared" si="19"/>
        <v/>
      </c>
      <c r="F272" s="143" t="str">
        <f t="shared" si="20"/>
        <v/>
      </c>
      <c r="G272" s="135" t="str">
        <f t="shared" si="21"/>
        <v/>
      </c>
      <c r="H272" s="143" t="str">
        <f t="shared" si="22"/>
        <v/>
      </c>
    </row>
    <row r="273" spans="2:8" x14ac:dyDescent="0.3">
      <c r="B273" s="21">
        <v>268</v>
      </c>
      <c r="C273" s="285"/>
      <c r="D273" s="286"/>
      <c r="E273" s="135" t="str">
        <f t="shared" si="19"/>
        <v/>
      </c>
      <c r="F273" s="143" t="str">
        <f t="shared" si="20"/>
        <v/>
      </c>
      <c r="G273" s="135" t="str">
        <f t="shared" si="21"/>
        <v/>
      </c>
      <c r="H273" s="143" t="str">
        <f t="shared" si="22"/>
        <v/>
      </c>
    </row>
    <row r="274" spans="2:8" x14ac:dyDescent="0.3">
      <c r="B274" s="21">
        <v>269</v>
      </c>
      <c r="C274" s="285"/>
      <c r="D274" s="286"/>
      <c r="E274" s="135" t="str">
        <f t="shared" si="19"/>
        <v/>
      </c>
      <c r="F274" s="143" t="str">
        <f t="shared" si="20"/>
        <v/>
      </c>
      <c r="G274" s="135" t="str">
        <f t="shared" si="21"/>
        <v/>
      </c>
      <c r="H274" s="143" t="str">
        <f t="shared" si="22"/>
        <v/>
      </c>
    </row>
    <row r="275" spans="2:8" x14ac:dyDescent="0.3">
      <c r="B275" s="21">
        <v>270</v>
      </c>
      <c r="C275" s="285"/>
      <c r="D275" s="286"/>
      <c r="E275" s="135" t="str">
        <f t="shared" si="19"/>
        <v/>
      </c>
      <c r="F275" s="143" t="str">
        <f t="shared" si="20"/>
        <v/>
      </c>
      <c r="G275" s="135" t="str">
        <f t="shared" si="21"/>
        <v/>
      </c>
      <c r="H275" s="143" t="str">
        <f t="shared" si="22"/>
        <v/>
      </c>
    </row>
    <row r="276" spans="2:8" x14ac:dyDescent="0.3">
      <c r="B276" s="21">
        <v>271</v>
      </c>
      <c r="C276" s="285"/>
      <c r="D276" s="286"/>
      <c r="E276" s="135" t="str">
        <f t="shared" si="19"/>
        <v/>
      </c>
      <c r="F276" s="143" t="str">
        <f t="shared" si="20"/>
        <v/>
      </c>
      <c r="G276" s="135" t="str">
        <f t="shared" si="21"/>
        <v/>
      </c>
      <c r="H276" s="143" t="str">
        <f t="shared" si="22"/>
        <v/>
      </c>
    </row>
    <row r="277" spans="2:8" x14ac:dyDescent="0.3">
      <c r="B277" s="21">
        <v>272</v>
      </c>
      <c r="C277" s="285"/>
      <c r="D277" s="286"/>
      <c r="E277" s="135" t="str">
        <f t="shared" si="19"/>
        <v/>
      </c>
      <c r="F277" s="143" t="str">
        <f t="shared" si="20"/>
        <v/>
      </c>
      <c r="G277" s="135" t="str">
        <f t="shared" si="21"/>
        <v/>
      </c>
      <c r="H277" s="143" t="str">
        <f t="shared" si="22"/>
        <v/>
      </c>
    </row>
    <row r="278" spans="2:8" x14ac:dyDescent="0.3">
      <c r="B278" s="21">
        <v>273</v>
      </c>
      <c r="C278" s="285"/>
      <c r="D278" s="286"/>
      <c r="E278" s="135" t="str">
        <f t="shared" si="19"/>
        <v/>
      </c>
      <c r="F278" s="143" t="str">
        <f t="shared" si="20"/>
        <v/>
      </c>
      <c r="G278" s="135" t="str">
        <f t="shared" si="21"/>
        <v/>
      </c>
      <c r="H278" s="143" t="str">
        <f t="shared" si="22"/>
        <v/>
      </c>
    </row>
    <row r="279" spans="2:8" x14ac:dyDescent="0.3">
      <c r="B279" s="21">
        <v>274</v>
      </c>
      <c r="C279" s="285"/>
      <c r="D279" s="286"/>
      <c r="E279" s="135" t="str">
        <f t="shared" si="19"/>
        <v/>
      </c>
      <c r="F279" s="143" t="str">
        <f t="shared" si="20"/>
        <v/>
      </c>
      <c r="G279" s="135" t="str">
        <f t="shared" si="21"/>
        <v/>
      </c>
      <c r="H279" s="143" t="str">
        <f t="shared" si="22"/>
        <v/>
      </c>
    </row>
    <row r="280" spans="2:8" x14ac:dyDescent="0.3">
      <c r="B280" s="21">
        <v>275</v>
      </c>
      <c r="C280" s="285"/>
      <c r="D280" s="286"/>
      <c r="E280" s="135" t="str">
        <f t="shared" si="19"/>
        <v/>
      </c>
      <c r="F280" s="143" t="str">
        <f t="shared" si="20"/>
        <v/>
      </c>
      <c r="G280" s="135" t="str">
        <f t="shared" si="21"/>
        <v/>
      </c>
      <c r="H280" s="143" t="str">
        <f t="shared" si="22"/>
        <v/>
      </c>
    </row>
    <row r="281" spans="2:8" x14ac:dyDescent="0.3">
      <c r="B281" s="21">
        <v>276</v>
      </c>
      <c r="C281" s="285"/>
      <c r="D281" s="286"/>
      <c r="E281" s="135" t="str">
        <f t="shared" si="19"/>
        <v/>
      </c>
      <c r="F281" s="143" t="str">
        <f t="shared" si="20"/>
        <v/>
      </c>
      <c r="G281" s="135" t="str">
        <f t="shared" si="21"/>
        <v/>
      </c>
      <c r="H281" s="143" t="str">
        <f t="shared" si="22"/>
        <v/>
      </c>
    </row>
    <row r="282" spans="2:8" x14ac:dyDescent="0.3">
      <c r="B282" s="21">
        <v>277</v>
      </c>
      <c r="C282" s="285"/>
      <c r="D282" s="286"/>
      <c r="E282" s="135" t="str">
        <f t="shared" si="19"/>
        <v/>
      </c>
      <c r="F282" s="143" t="str">
        <f t="shared" si="20"/>
        <v/>
      </c>
      <c r="G282" s="135" t="str">
        <f t="shared" si="21"/>
        <v/>
      </c>
      <c r="H282" s="143" t="str">
        <f t="shared" si="22"/>
        <v/>
      </c>
    </row>
    <row r="283" spans="2:8" x14ac:dyDescent="0.3">
      <c r="B283" s="21">
        <v>278</v>
      </c>
      <c r="C283" s="285"/>
      <c r="D283" s="286"/>
      <c r="E283" s="135" t="str">
        <f t="shared" si="19"/>
        <v/>
      </c>
      <c r="F283" s="143" t="str">
        <f t="shared" si="20"/>
        <v/>
      </c>
      <c r="G283" s="135" t="str">
        <f t="shared" si="21"/>
        <v/>
      </c>
      <c r="H283" s="143" t="str">
        <f t="shared" si="22"/>
        <v/>
      </c>
    </row>
    <row r="284" spans="2:8" x14ac:dyDescent="0.3">
      <c r="B284" s="21">
        <v>279</v>
      </c>
      <c r="C284" s="285"/>
      <c r="D284" s="286"/>
      <c r="E284" s="135" t="str">
        <f t="shared" si="19"/>
        <v/>
      </c>
      <c r="F284" s="143" t="str">
        <f t="shared" si="20"/>
        <v/>
      </c>
      <c r="G284" s="135" t="str">
        <f t="shared" si="21"/>
        <v/>
      </c>
      <c r="H284" s="143" t="str">
        <f t="shared" si="22"/>
        <v/>
      </c>
    </row>
    <row r="285" spans="2:8" x14ac:dyDescent="0.3">
      <c r="B285" s="21">
        <v>280</v>
      </c>
      <c r="C285" s="285"/>
      <c r="D285" s="286"/>
      <c r="E285" s="135" t="str">
        <f t="shared" si="19"/>
        <v/>
      </c>
      <c r="F285" s="143" t="str">
        <f t="shared" si="20"/>
        <v/>
      </c>
      <c r="G285" s="135" t="str">
        <f t="shared" si="21"/>
        <v/>
      </c>
      <c r="H285" s="143" t="str">
        <f t="shared" si="22"/>
        <v/>
      </c>
    </row>
    <row r="286" spans="2:8" x14ac:dyDescent="0.3">
      <c r="B286" s="21">
        <v>281</v>
      </c>
      <c r="C286" s="285"/>
      <c r="D286" s="286"/>
      <c r="E286" s="135" t="str">
        <f t="shared" si="19"/>
        <v/>
      </c>
      <c r="F286" s="143" t="str">
        <f t="shared" si="20"/>
        <v/>
      </c>
      <c r="G286" s="135" t="str">
        <f t="shared" si="21"/>
        <v/>
      </c>
      <c r="H286" s="143" t="str">
        <f t="shared" si="22"/>
        <v/>
      </c>
    </row>
    <row r="287" spans="2:8" x14ac:dyDescent="0.3">
      <c r="B287" s="21">
        <v>282</v>
      </c>
      <c r="C287" s="285"/>
      <c r="D287" s="286"/>
      <c r="E287" s="135" t="str">
        <f t="shared" si="19"/>
        <v/>
      </c>
      <c r="F287" s="143" t="str">
        <f t="shared" si="20"/>
        <v/>
      </c>
      <c r="G287" s="135" t="str">
        <f t="shared" si="21"/>
        <v/>
      </c>
      <c r="H287" s="143" t="str">
        <f t="shared" si="22"/>
        <v/>
      </c>
    </row>
    <row r="288" spans="2:8" x14ac:dyDescent="0.3">
      <c r="B288" s="21">
        <v>283</v>
      </c>
      <c r="C288" s="285"/>
      <c r="D288" s="286"/>
      <c r="E288" s="135" t="str">
        <f t="shared" si="19"/>
        <v/>
      </c>
      <c r="F288" s="143" t="str">
        <f t="shared" si="20"/>
        <v/>
      </c>
      <c r="G288" s="135" t="str">
        <f t="shared" si="21"/>
        <v/>
      </c>
      <c r="H288" s="143" t="str">
        <f t="shared" si="22"/>
        <v/>
      </c>
    </row>
    <row r="289" spans="2:8" x14ac:dyDescent="0.3">
      <c r="B289" s="21">
        <v>284</v>
      </c>
      <c r="C289" s="285"/>
      <c r="D289" s="286"/>
      <c r="E289" s="135" t="str">
        <f t="shared" si="19"/>
        <v/>
      </c>
      <c r="F289" s="143" t="str">
        <f t="shared" si="20"/>
        <v/>
      </c>
      <c r="G289" s="135" t="str">
        <f t="shared" si="21"/>
        <v/>
      </c>
      <c r="H289" s="143" t="str">
        <f t="shared" si="22"/>
        <v/>
      </c>
    </row>
    <row r="290" spans="2:8" x14ac:dyDescent="0.3">
      <c r="B290" s="21">
        <v>285</v>
      </c>
      <c r="C290" s="285"/>
      <c r="D290" s="286"/>
      <c r="E290" s="135" t="str">
        <f t="shared" si="19"/>
        <v/>
      </c>
      <c r="F290" s="143" t="str">
        <f t="shared" si="20"/>
        <v/>
      </c>
      <c r="G290" s="135" t="str">
        <f t="shared" si="21"/>
        <v/>
      </c>
      <c r="H290" s="143" t="str">
        <f t="shared" si="22"/>
        <v/>
      </c>
    </row>
    <row r="291" spans="2:8" x14ac:dyDescent="0.3">
      <c r="B291" s="21">
        <v>286</v>
      </c>
      <c r="C291" s="285"/>
      <c r="D291" s="286"/>
      <c r="E291" s="135" t="str">
        <f t="shared" si="19"/>
        <v/>
      </c>
      <c r="F291" s="143" t="str">
        <f t="shared" si="20"/>
        <v/>
      </c>
      <c r="G291" s="135" t="str">
        <f t="shared" si="21"/>
        <v/>
      </c>
      <c r="H291" s="143" t="str">
        <f t="shared" si="22"/>
        <v/>
      </c>
    </row>
    <row r="292" spans="2:8" x14ac:dyDescent="0.3">
      <c r="B292" s="21">
        <v>287</v>
      </c>
      <c r="C292" s="285"/>
      <c r="D292" s="286"/>
      <c r="E292" s="135" t="str">
        <f t="shared" si="19"/>
        <v/>
      </c>
      <c r="F292" s="143" t="str">
        <f t="shared" si="20"/>
        <v/>
      </c>
      <c r="G292" s="135" t="str">
        <f t="shared" si="21"/>
        <v/>
      </c>
      <c r="H292" s="143" t="str">
        <f t="shared" si="22"/>
        <v/>
      </c>
    </row>
    <row r="293" spans="2:8" x14ac:dyDescent="0.3">
      <c r="B293" s="21">
        <v>288</v>
      </c>
      <c r="C293" s="285"/>
      <c r="D293" s="286"/>
      <c r="E293" s="135" t="str">
        <f t="shared" si="19"/>
        <v/>
      </c>
      <c r="F293" s="143" t="str">
        <f t="shared" si="20"/>
        <v/>
      </c>
      <c r="G293" s="135" t="str">
        <f t="shared" si="21"/>
        <v/>
      </c>
      <c r="H293" s="143" t="str">
        <f t="shared" si="22"/>
        <v/>
      </c>
    </row>
    <row r="294" spans="2:8" x14ac:dyDescent="0.3">
      <c r="B294" s="21">
        <v>289</v>
      </c>
      <c r="C294" s="285"/>
      <c r="D294" s="286"/>
      <c r="E294" s="135" t="str">
        <f t="shared" si="19"/>
        <v/>
      </c>
      <c r="F294" s="143" t="str">
        <f t="shared" si="20"/>
        <v/>
      </c>
      <c r="G294" s="135" t="str">
        <f t="shared" si="21"/>
        <v/>
      </c>
      <c r="H294" s="143" t="str">
        <f t="shared" si="22"/>
        <v/>
      </c>
    </row>
    <row r="295" spans="2:8" x14ac:dyDescent="0.3">
      <c r="B295" s="21">
        <v>290</v>
      </c>
      <c r="C295" s="285"/>
      <c r="D295" s="286"/>
      <c r="E295" s="135" t="str">
        <f t="shared" si="19"/>
        <v/>
      </c>
      <c r="F295" s="143" t="str">
        <f t="shared" si="20"/>
        <v/>
      </c>
      <c r="G295" s="135" t="str">
        <f t="shared" si="21"/>
        <v/>
      </c>
      <c r="H295" s="143" t="str">
        <f t="shared" si="22"/>
        <v/>
      </c>
    </row>
    <row r="296" spans="2:8" x14ac:dyDescent="0.3">
      <c r="B296" s="21">
        <v>291</v>
      </c>
      <c r="C296" s="285"/>
      <c r="D296" s="286"/>
      <c r="E296" s="135" t="str">
        <f t="shared" si="19"/>
        <v/>
      </c>
      <c r="F296" s="143" t="str">
        <f t="shared" si="20"/>
        <v/>
      </c>
      <c r="G296" s="135" t="str">
        <f t="shared" si="21"/>
        <v/>
      </c>
      <c r="H296" s="143" t="str">
        <f t="shared" si="22"/>
        <v/>
      </c>
    </row>
    <row r="297" spans="2:8" x14ac:dyDescent="0.3">
      <c r="B297" s="21">
        <v>292</v>
      </c>
      <c r="C297" s="285"/>
      <c r="D297" s="286"/>
      <c r="E297" s="135" t="str">
        <f t="shared" si="19"/>
        <v/>
      </c>
      <c r="F297" s="143" t="str">
        <f t="shared" si="20"/>
        <v/>
      </c>
      <c r="G297" s="135" t="str">
        <f t="shared" si="21"/>
        <v/>
      </c>
      <c r="H297" s="143" t="str">
        <f t="shared" si="22"/>
        <v/>
      </c>
    </row>
    <row r="298" spans="2:8" x14ac:dyDescent="0.3">
      <c r="B298" s="21">
        <v>293</v>
      </c>
      <c r="C298" s="285"/>
      <c r="D298" s="286"/>
      <c r="E298" s="135" t="str">
        <f t="shared" si="19"/>
        <v/>
      </c>
      <c r="F298" s="143" t="str">
        <f t="shared" si="20"/>
        <v/>
      </c>
      <c r="G298" s="135" t="str">
        <f t="shared" si="21"/>
        <v/>
      </c>
      <c r="H298" s="143" t="str">
        <f t="shared" si="22"/>
        <v/>
      </c>
    </row>
    <row r="299" spans="2:8" x14ac:dyDescent="0.3">
      <c r="B299" s="21">
        <v>294</v>
      </c>
      <c r="C299" s="285"/>
      <c r="D299" s="286"/>
      <c r="E299" s="135" t="str">
        <f t="shared" si="19"/>
        <v/>
      </c>
      <c r="F299" s="143" t="str">
        <f t="shared" si="20"/>
        <v/>
      </c>
      <c r="G299" s="135" t="str">
        <f t="shared" si="21"/>
        <v/>
      </c>
      <c r="H299" s="143" t="str">
        <f t="shared" si="22"/>
        <v/>
      </c>
    </row>
    <row r="300" spans="2:8" x14ac:dyDescent="0.3">
      <c r="B300" s="21">
        <v>295</v>
      </c>
      <c r="C300" s="285"/>
      <c r="D300" s="286"/>
      <c r="E300" s="135" t="str">
        <f t="shared" si="19"/>
        <v/>
      </c>
      <c r="F300" s="143" t="str">
        <f t="shared" si="20"/>
        <v/>
      </c>
      <c r="G300" s="135" t="str">
        <f t="shared" si="21"/>
        <v/>
      </c>
      <c r="H300" s="143" t="str">
        <f t="shared" si="22"/>
        <v/>
      </c>
    </row>
    <row r="301" spans="2:8" x14ac:dyDescent="0.3">
      <c r="B301" s="21">
        <v>296</v>
      </c>
      <c r="C301" s="285"/>
      <c r="D301" s="286"/>
      <c r="E301" s="135" t="str">
        <f t="shared" si="19"/>
        <v/>
      </c>
      <c r="F301" s="143" t="str">
        <f t="shared" si="20"/>
        <v/>
      </c>
      <c r="G301" s="135" t="str">
        <f t="shared" si="21"/>
        <v/>
      </c>
      <c r="H301" s="143" t="str">
        <f t="shared" si="22"/>
        <v/>
      </c>
    </row>
    <row r="302" spans="2:8" x14ac:dyDescent="0.3">
      <c r="B302" s="21">
        <v>297</v>
      </c>
      <c r="C302" s="285"/>
      <c r="D302" s="286"/>
      <c r="E302" s="135" t="str">
        <f t="shared" si="19"/>
        <v/>
      </c>
      <c r="F302" s="143" t="str">
        <f t="shared" si="20"/>
        <v/>
      </c>
      <c r="G302" s="135" t="str">
        <f t="shared" si="21"/>
        <v/>
      </c>
      <c r="H302" s="143" t="str">
        <f t="shared" si="22"/>
        <v/>
      </c>
    </row>
    <row r="303" spans="2:8" x14ac:dyDescent="0.3">
      <c r="B303" s="21">
        <v>298</v>
      </c>
      <c r="C303" s="285"/>
      <c r="D303" s="286"/>
      <c r="E303" s="135" t="str">
        <f t="shared" si="19"/>
        <v/>
      </c>
      <c r="F303" s="143" t="str">
        <f t="shared" si="20"/>
        <v/>
      </c>
      <c r="G303" s="135" t="str">
        <f t="shared" si="21"/>
        <v/>
      </c>
      <c r="H303" s="143" t="str">
        <f t="shared" si="22"/>
        <v/>
      </c>
    </row>
    <row r="304" spans="2:8" x14ac:dyDescent="0.3">
      <c r="B304" s="21">
        <v>299</v>
      </c>
      <c r="C304" s="285"/>
      <c r="D304" s="286"/>
      <c r="E304" s="135" t="str">
        <f t="shared" si="19"/>
        <v/>
      </c>
      <c r="F304" s="143" t="str">
        <f t="shared" si="20"/>
        <v/>
      </c>
      <c r="G304" s="135" t="str">
        <f t="shared" si="21"/>
        <v/>
      </c>
      <c r="H304" s="143" t="str">
        <f t="shared" si="22"/>
        <v/>
      </c>
    </row>
    <row r="305" spans="2:8" x14ac:dyDescent="0.3">
      <c r="B305" s="21">
        <v>300</v>
      </c>
      <c r="C305" s="285"/>
      <c r="D305" s="286"/>
      <c r="E305" s="135" t="str">
        <f t="shared" si="19"/>
        <v/>
      </c>
      <c r="F305" s="143" t="str">
        <f t="shared" si="20"/>
        <v/>
      </c>
      <c r="G305" s="135" t="str">
        <f t="shared" si="21"/>
        <v/>
      </c>
      <c r="H305" s="143" t="str">
        <f t="shared" si="22"/>
        <v/>
      </c>
    </row>
    <row r="306" spans="2:8" x14ac:dyDescent="0.3">
      <c r="B306" s="21">
        <v>301</v>
      </c>
      <c r="C306" s="285"/>
      <c r="D306" s="286"/>
      <c r="E306" s="135" t="str">
        <f t="shared" si="19"/>
        <v/>
      </c>
      <c r="F306" s="143" t="str">
        <f t="shared" si="20"/>
        <v/>
      </c>
      <c r="G306" s="135" t="str">
        <f t="shared" si="21"/>
        <v/>
      </c>
      <c r="H306" s="143" t="str">
        <f t="shared" si="22"/>
        <v/>
      </c>
    </row>
    <row r="307" spans="2:8" x14ac:dyDescent="0.3">
      <c r="B307" s="21">
        <v>302</v>
      </c>
      <c r="C307" s="285"/>
      <c r="D307" s="286"/>
      <c r="E307" s="135" t="str">
        <f t="shared" si="19"/>
        <v/>
      </c>
      <c r="F307" s="143" t="str">
        <f t="shared" si="20"/>
        <v/>
      </c>
      <c r="G307" s="135" t="str">
        <f t="shared" si="21"/>
        <v/>
      </c>
      <c r="H307" s="143" t="str">
        <f t="shared" si="22"/>
        <v/>
      </c>
    </row>
    <row r="308" spans="2:8" x14ac:dyDescent="0.3">
      <c r="B308" s="21">
        <v>303</v>
      </c>
      <c r="C308" s="285"/>
      <c r="D308" s="286"/>
      <c r="E308" s="135" t="str">
        <f t="shared" si="19"/>
        <v/>
      </c>
      <c r="F308" s="143" t="str">
        <f t="shared" si="20"/>
        <v/>
      </c>
      <c r="G308" s="135" t="str">
        <f t="shared" si="21"/>
        <v/>
      </c>
      <c r="H308" s="143" t="str">
        <f t="shared" si="22"/>
        <v/>
      </c>
    </row>
    <row r="309" spans="2:8" x14ac:dyDescent="0.3">
      <c r="B309" s="21">
        <v>304</v>
      </c>
      <c r="C309" s="285"/>
      <c r="D309" s="286"/>
      <c r="E309" s="135" t="str">
        <f t="shared" si="19"/>
        <v/>
      </c>
      <c r="F309" s="143" t="str">
        <f t="shared" si="20"/>
        <v/>
      </c>
      <c r="G309" s="135" t="str">
        <f t="shared" si="21"/>
        <v/>
      </c>
      <c r="H309" s="143" t="str">
        <f t="shared" si="22"/>
        <v/>
      </c>
    </row>
    <row r="310" spans="2:8" x14ac:dyDescent="0.3">
      <c r="B310" s="21">
        <v>305</v>
      </c>
      <c r="C310" s="285"/>
      <c r="D310" s="286"/>
      <c r="E310" s="135" t="str">
        <f t="shared" si="19"/>
        <v/>
      </c>
      <c r="F310" s="143" t="str">
        <f t="shared" si="20"/>
        <v/>
      </c>
      <c r="G310" s="135" t="str">
        <f t="shared" si="21"/>
        <v/>
      </c>
      <c r="H310" s="143" t="str">
        <f t="shared" si="22"/>
        <v/>
      </c>
    </row>
    <row r="311" spans="2:8" x14ac:dyDescent="0.3">
      <c r="B311" s="21">
        <v>306</v>
      </c>
      <c r="C311" s="285"/>
      <c r="D311" s="286"/>
      <c r="E311" s="135" t="str">
        <f t="shared" si="19"/>
        <v/>
      </c>
      <c r="F311" s="143" t="str">
        <f t="shared" si="20"/>
        <v/>
      </c>
      <c r="G311" s="135" t="str">
        <f t="shared" si="21"/>
        <v/>
      </c>
      <c r="H311" s="143" t="str">
        <f t="shared" si="22"/>
        <v/>
      </c>
    </row>
    <row r="312" spans="2:8" x14ac:dyDescent="0.3">
      <c r="B312" s="21">
        <v>307</v>
      </c>
      <c r="C312" s="285"/>
      <c r="D312" s="286"/>
      <c r="E312" s="135" t="str">
        <f t="shared" si="19"/>
        <v/>
      </c>
      <c r="F312" s="143" t="str">
        <f t="shared" si="20"/>
        <v/>
      </c>
      <c r="G312" s="135" t="str">
        <f t="shared" si="21"/>
        <v/>
      </c>
      <c r="H312" s="143" t="str">
        <f t="shared" si="22"/>
        <v/>
      </c>
    </row>
    <row r="313" spans="2:8" x14ac:dyDescent="0.3">
      <c r="B313" s="21">
        <v>308</v>
      </c>
      <c r="C313" s="285"/>
      <c r="D313" s="286"/>
      <c r="E313" s="135" t="str">
        <f t="shared" si="19"/>
        <v/>
      </c>
      <c r="F313" s="143" t="str">
        <f t="shared" si="20"/>
        <v/>
      </c>
      <c r="G313" s="135" t="str">
        <f t="shared" si="21"/>
        <v/>
      </c>
      <c r="H313" s="143" t="str">
        <f t="shared" si="22"/>
        <v/>
      </c>
    </row>
    <row r="314" spans="2:8" x14ac:dyDescent="0.3">
      <c r="B314" s="21">
        <v>309</v>
      </c>
      <c r="C314" s="285"/>
      <c r="D314" s="286"/>
      <c r="E314" s="135" t="str">
        <f t="shared" si="19"/>
        <v/>
      </c>
      <c r="F314" s="143" t="str">
        <f t="shared" si="20"/>
        <v/>
      </c>
      <c r="G314" s="135" t="str">
        <f t="shared" si="21"/>
        <v/>
      </c>
      <c r="H314" s="143" t="str">
        <f t="shared" si="22"/>
        <v/>
      </c>
    </row>
    <row r="315" spans="2:8" x14ac:dyDescent="0.3">
      <c r="B315" s="21">
        <v>310</v>
      </c>
      <c r="C315" s="285"/>
      <c r="D315" s="286"/>
      <c r="E315" s="135" t="str">
        <f t="shared" si="19"/>
        <v/>
      </c>
      <c r="F315" s="143" t="str">
        <f t="shared" si="20"/>
        <v/>
      </c>
      <c r="G315" s="135" t="str">
        <f t="shared" si="21"/>
        <v/>
      </c>
      <c r="H315" s="143" t="str">
        <f t="shared" si="22"/>
        <v/>
      </c>
    </row>
    <row r="316" spans="2:8" x14ac:dyDescent="0.3">
      <c r="B316" s="21">
        <v>311</v>
      </c>
      <c r="C316" s="285"/>
      <c r="D316" s="286"/>
      <c r="E316" s="135" t="str">
        <f t="shared" si="19"/>
        <v/>
      </c>
      <c r="F316" s="143" t="str">
        <f t="shared" si="20"/>
        <v/>
      </c>
      <c r="G316" s="135" t="str">
        <f t="shared" si="21"/>
        <v/>
      </c>
      <c r="H316" s="143" t="str">
        <f t="shared" si="22"/>
        <v/>
      </c>
    </row>
    <row r="317" spans="2:8" x14ac:dyDescent="0.3">
      <c r="B317" s="21">
        <v>312</v>
      </c>
      <c r="C317" s="285"/>
      <c r="D317" s="286"/>
      <c r="E317" s="135" t="str">
        <f t="shared" si="19"/>
        <v/>
      </c>
      <c r="F317" s="143" t="str">
        <f t="shared" si="20"/>
        <v/>
      </c>
      <c r="G317" s="135" t="str">
        <f t="shared" si="21"/>
        <v/>
      </c>
      <c r="H317" s="143" t="str">
        <f t="shared" si="22"/>
        <v/>
      </c>
    </row>
    <row r="318" spans="2:8" x14ac:dyDescent="0.3">
      <c r="B318" s="21">
        <v>313</v>
      </c>
      <c r="C318" s="285"/>
      <c r="D318" s="286"/>
      <c r="E318" s="135" t="str">
        <f t="shared" si="19"/>
        <v/>
      </c>
      <c r="F318" s="143" t="str">
        <f t="shared" si="20"/>
        <v/>
      </c>
      <c r="G318" s="135" t="str">
        <f t="shared" si="21"/>
        <v/>
      </c>
      <c r="H318" s="143" t="str">
        <f t="shared" si="22"/>
        <v/>
      </c>
    </row>
    <row r="319" spans="2:8" x14ac:dyDescent="0.3">
      <c r="B319" s="21">
        <v>314</v>
      </c>
      <c r="C319" s="285"/>
      <c r="D319" s="286"/>
      <c r="E319" s="135" t="str">
        <f t="shared" si="19"/>
        <v/>
      </c>
      <c r="F319" s="143" t="str">
        <f t="shared" si="20"/>
        <v/>
      </c>
      <c r="G319" s="135" t="str">
        <f t="shared" si="21"/>
        <v/>
      </c>
      <c r="H319" s="143" t="str">
        <f t="shared" si="22"/>
        <v/>
      </c>
    </row>
    <row r="320" spans="2:8" x14ac:dyDescent="0.3">
      <c r="B320" s="21">
        <v>315</v>
      </c>
      <c r="C320" s="285"/>
      <c r="D320" s="286"/>
      <c r="E320" s="135" t="str">
        <f t="shared" si="19"/>
        <v/>
      </c>
      <c r="F320" s="143" t="str">
        <f t="shared" si="20"/>
        <v/>
      </c>
      <c r="G320" s="135" t="str">
        <f t="shared" si="21"/>
        <v/>
      </c>
      <c r="H320" s="143" t="str">
        <f t="shared" si="22"/>
        <v/>
      </c>
    </row>
    <row r="321" spans="2:8" x14ac:dyDescent="0.3">
      <c r="B321" s="21">
        <v>316</v>
      </c>
      <c r="C321" s="285"/>
      <c r="D321" s="286"/>
      <c r="E321" s="135" t="str">
        <f t="shared" si="19"/>
        <v/>
      </c>
      <c r="F321" s="143" t="str">
        <f t="shared" si="20"/>
        <v/>
      </c>
      <c r="G321" s="135" t="str">
        <f t="shared" si="21"/>
        <v/>
      </c>
      <c r="H321" s="143" t="str">
        <f t="shared" si="22"/>
        <v/>
      </c>
    </row>
    <row r="322" spans="2:8" x14ac:dyDescent="0.3">
      <c r="B322" s="21">
        <v>317</v>
      </c>
      <c r="C322" s="285"/>
      <c r="D322" s="286"/>
      <c r="E322" s="135" t="str">
        <f t="shared" si="19"/>
        <v/>
      </c>
      <c r="F322" s="143" t="str">
        <f t="shared" si="20"/>
        <v/>
      </c>
      <c r="G322" s="135" t="str">
        <f t="shared" si="21"/>
        <v/>
      </c>
      <c r="H322" s="143" t="str">
        <f t="shared" si="22"/>
        <v/>
      </c>
    </row>
    <row r="323" spans="2:8" x14ac:dyDescent="0.3">
      <c r="B323" s="21">
        <v>318</v>
      </c>
      <c r="C323" s="285"/>
      <c r="D323" s="286"/>
      <c r="E323" s="135" t="str">
        <f t="shared" si="19"/>
        <v/>
      </c>
      <c r="F323" s="143" t="str">
        <f t="shared" si="20"/>
        <v/>
      </c>
      <c r="G323" s="135" t="str">
        <f t="shared" si="21"/>
        <v/>
      </c>
      <c r="H323" s="143" t="str">
        <f t="shared" si="22"/>
        <v/>
      </c>
    </row>
    <row r="324" spans="2:8" x14ac:dyDescent="0.3">
      <c r="B324" s="21">
        <v>319</v>
      </c>
      <c r="C324" s="285"/>
      <c r="D324" s="286"/>
      <c r="E324" s="135" t="str">
        <f t="shared" si="19"/>
        <v/>
      </c>
      <c r="F324" s="143" t="str">
        <f t="shared" si="20"/>
        <v/>
      </c>
      <c r="G324" s="135" t="str">
        <f t="shared" si="21"/>
        <v/>
      </c>
      <c r="H324" s="143" t="str">
        <f t="shared" si="22"/>
        <v/>
      </c>
    </row>
    <row r="325" spans="2:8" x14ac:dyDescent="0.3">
      <c r="B325" s="21">
        <v>320</v>
      </c>
      <c r="C325" s="285"/>
      <c r="D325" s="286"/>
      <c r="E325" s="135" t="str">
        <f t="shared" si="19"/>
        <v/>
      </c>
      <c r="F325" s="143" t="str">
        <f t="shared" si="20"/>
        <v/>
      </c>
      <c r="G325" s="135" t="str">
        <f t="shared" si="21"/>
        <v/>
      </c>
      <c r="H325" s="143" t="str">
        <f t="shared" si="22"/>
        <v/>
      </c>
    </row>
    <row r="326" spans="2:8" x14ac:dyDescent="0.3">
      <c r="B326" s="21">
        <v>321</v>
      </c>
      <c r="C326" s="285"/>
      <c r="D326" s="286"/>
      <c r="E326" s="135" t="str">
        <f t="shared" si="19"/>
        <v/>
      </c>
      <c r="F326" s="143" t="str">
        <f t="shared" si="20"/>
        <v/>
      </c>
      <c r="G326" s="135" t="str">
        <f t="shared" si="21"/>
        <v/>
      </c>
      <c r="H326" s="143" t="str">
        <f t="shared" si="22"/>
        <v/>
      </c>
    </row>
    <row r="327" spans="2:8" x14ac:dyDescent="0.3">
      <c r="B327" s="21">
        <v>322</v>
      </c>
      <c r="C327" s="285"/>
      <c r="D327" s="286"/>
      <c r="E327" s="135" t="str">
        <f t="shared" si="19"/>
        <v/>
      </c>
      <c r="F327" s="143" t="str">
        <f t="shared" si="20"/>
        <v/>
      </c>
      <c r="G327" s="135" t="str">
        <f t="shared" si="21"/>
        <v/>
      </c>
      <c r="H327" s="143" t="str">
        <f t="shared" si="22"/>
        <v/>
      </c>
    </row>
    <row r="328" spans="2:8" x14ac:dyDescent="0.3">
      <c r="B328" s="21">
        <v>323</v>
      </c>
      <c r="C328" s="285"/>
      <c r="D328" s="286"/>
      <c r="E328" s="135" t="str">
        <f t="shared" si="19"/>
        <v/>
      </c>
      <c r="F328" s="143" t="str">
        <f t="shared" si="20"/>
        <v/>
      </c>
      <c r="G328" s="135" t="str">
        <f t="shared" si="21"/>
        <v/>
      </c>
      <c r="H328" s="143" t="str">
        <f t="shared" si="22"/>
        <v/>
      </c>
    </row>
    <row r="329" spans="2:8" x14ac:dyDescent="0.3">
      <c r="B329" s="21">
        <v>324</v>
      </c>
      <c r="C329" s="285"/>
      <c r="D329" s="286"/>
      <c r="E329" s="135" t="str">
        <f t="shared" si="19"/>
        <v/>
      </c>
      <c r="F329" s="143" t="str">
        <f t="shared" si="20"/>
        <v/>
      </c>
      <c r="G329" s="135" t="str">
        <f t="shared" si="21"/>
        <v/>
      </c>
      <c r="H329" s="143" t="str">
        <f t="shared" si="22"/>
        <v/>
      </c>
    </row>
    <row r="330" spans="2:8" x14ac:dyDescent="0.3">
      <c r="B330" s="21">
        <v>325</v>
      </c>
      <c r="C330" s="285"/>
      <c r="D330" s="286"/>
      <c r="E330" s="135" t="str">
        <f t="shared" si="19"/>
        <v/>
      </c>
      <c r="F330" s="143" t="str">
        <f t="shared" si="20"/>
        <v/>
      </c>
      <c r="G330" s="135" t="str">
        <f t="shared" si="21"/>
        <v/>
      </c>
      <c r="H330" s="143" t="str">
        <f t="shared" si="22"/>
        <v/>
      </c>
    </row>
    <row r="331" spans="2:8" x14ac:dyDescent="0.3">
      <c r="B331" s="21">
        <v>326</v>
      </c>
      <c r="C331" s="285"/>
      <c r="D331" s="286"/>
      <c r="E331" s="135" t="str">
        <f t="shared" ref="E331:E394" si="23">IF(D331="","",ROUNDUP(D331,0))</f>
        <v/>
      </c>
      <c r="F331" s="143" t="str">
        <f t="shared" ref="F331:F394" si="24">IF(C331="","",INDEX(V_UNITARIOMATERIAL,MATCH(C331,L_MATERIALES,0)))</f>
        <v/>
      </c>
      <c r="G331" s="135" t="str">
        <f t="shared" ref="G331:G394" si="25">IF(C331="","",INDEX(U_MATERIAL,MATCH(C331,L_MATERIALES,0)))</f>
        <v/>
      </c>
      <c r="H331" s="143" t="str">
        <f t="shared" ref="H331:H394" si="26">IF(E331="","",F331*E331)</f>
        <v/>
      </c>
    </row>
    <row r="332" spans="2:8" x14ac:dyDescent="0.3">
      <c r="B332" s="21">
        <v>327</v>
      </c>
      <c r="C332" s="285"/>
      <c r="D332" s="286"/>
      <c r="E332" s="135" t="str">
        <f t="shared" si="23"/>
        <v/>
      </c>
      <c r="F332" s="143" t="str">
        <f t="shared" si="24"/>
        <v/>
      </c>
      <c r="G332" s="135" t="str">
        <f t="shared" si="25"/>
        <v/>
      </c>
      <c r="H332" s="143" t="str">
        <f t="shared" si="26"/>
        <v/>
      </c>
    </row>
    <row r="333" spans="2:8" x14ac:dyDescent="0.3">
      <c r="B333" s="21">
        <v>328</v>
      </c>
      <c r="C333" s="285"/>
      <c r="D333" s="286"/>
      <c r="E333" s="135" t="str">
        <f t="shared" si="23"/>
        <v/>
      </c>
      <c r="F333" s="143" t="str">
        <f t="shared" si="24"/>
        <v/>
      </c>
      <c r="G333" s="135" t="str">
        <f t="shared" si="25"/>
        <v/>
      </c>
      <c r="H333" s="143" t="str">
        <f t="shared" si="26"/>
        <v/>
      </c>
    </row>
    <row r="334" spans="2:8" x14ac:dyDescent="0.3">
      <c r="B334" s="21">
        <v>329</v>
      </c>
      <c r="C334" s="285"/>
      <c r="D334" s="286"/>
      <c r="E334" s="135" t="str">
        <f t="shared" si="23"/>
        <v/>
      </c>
      <c r="F334" s="143" t="str">
        <f t="shared" si="24"/>
        <v/>
      </c>
      <c r="G334" s="135" t="str">
        <f t="shared" si="25"/>
        <v/>
      </c>
      <c r="H334" s="143" t="str">
        <f t="shared" si="26"/>
        <v/>
      </c>
    </row>
    <row r="335" spans="2:8" x14ac:dyDescent="0.3">
      <c r="B335" s="21">
        <v>330</v>
      </c>
      <c r="C335" s="285"/>
      <c r="D335" s="286"/>
      <c r="E335" s="135" t="str">
        <f t="shared" si="23"/>
        <v/>
      </c>
      <c r="F335" s="143" t="str">
        <f t="shared" si="24"/>
        <v/>
      </c>
      <c r="G335" s="135" t="str">
        <f t="shared" si="25"/>
        <v/>
      </c>
      <c r="H335" s="143" t="str">
        <f t="shared" si="26"/>
        <v/>
      </c>
    </row>
    <row r="336" spans="2:8" x14ac:dyDescent="0.3">
      <c r="B336" s="21">
        <v>331</v>
      </c>
      <c r="C336" s="285"/>
      <c r="D336" s="286"/>
      <c r="E336" s="135" t="str">
        <f t="shared" si="23"/>
        <v/>
      </c>
      <c r="F336" s="143" t="str">
        <f t="shared" si="24"/>
        <v/>
      </c>
      <c r="G336" s="135" t="str">
        <f t="shared" si="25"/>
        <v/>
      </c>
      <c r="H336" s="143" t="str">
        <f t="shared" si="26"/>
        <v/>
      </c>
    </row>
    <row r="337" spans="2:8" x14ac:dyDescent="0.3">
      <c r="B337" s="21">
        <v>332</v>
      </c>
      <c r="C337" s="285"/>
      <c r="D337" s="286"/>
      <c r="E337" s="135" t="str">
        <f t="shared" si="23"/>
        <v/>
      </c>
      <c r="F337" s="143" t="str">
        <f t="shared" si="24"/>
        <v/>
      </c>
      <c r="G337" s="135" t="str">
        <f t="shared" si="25"/>
        <v/>
      </c>
      <c r="H337" s="143" t="str">
        <f t="shared" si="26"/>
        <v/>
      </c>
    </row>
    <row r="338" spans="2:8" x14ac:dyDescent="0.3">
      <c r="B338" s="21">
        <v>333</v>
      </c>
      <c r="C338" s="285"/>
      <c r="D338" s="286"/>
      <c r="E338" s="135" t="str">
        <f t="shared" si="23"/>
        <v/>
      </c>
      <c r="F338" s="143" t="str">
        <f t="shared" si="24"/>
        <v/>
      </c>
      <c r="G338" s="135" t="str">
        <f t="shared" si="25"/>
        <v/>
      </c>
      <c r="H338" s="143" t="str">
        <f t="shared" si="26"/>
        <v/>
      </c>
    </row>
    <row r="339" spans="2:8" x14ac:dyDescent="0.3">
      <c r="B339" s="21">
        <v>334</v>
      </c>
      <c r="C339" s="285"/>
      <c r="D339" s="286"/>
      <c r="E339" s="135" t="str">
        <f t="shared" si="23"/>
        <v/>
      </c>
      <c r="F339" s="143" t="str">
        <f t="shared" si="24"/>
        <v/>
      </c>
      <c r="G339" s="135" t="str">
        <f t="shared" si="25"/>
        <v/>
      </c>
      <c r="H339" s="143" t="str">
        <f t="shared" si="26"/>
        <v/>
      </c>
    </row>
    <row r="340" spans="2:8" x14ac:dyDescent="0.3">
      <c r="B340" s="21">
        <v>335</v>
      </c>
      <c r="C340" s="285"/>
      <c r="D340" s="286"/>
      <c r="E340" s="135" t="str">
        <f t="shared" si="23"/>
        <v/>
      </c>
      <c r="F340" s="143" t="str">
        <f t="shared" si="24"/>
        <v/>
      </c>
      <c r="G340" s="135" t="str">
        <f t="shared" si="25"/>
        <v/>
      </c>
      <c r="H340" s="143" t="str">
        <f t="shared" si="26"/>
        <v/>
      </c>
    </row>
    <row r="341" spans="2:8" x14ac:dyDescent="0.3">
      <c r="B341" s="21">
        <v>336</v>
      </c>
      <c r="C341" s="285"/>
      <c r="D341" s="286"/>
      <c r="E341" s="135" t="str">
        <f t="shared" si="23"/>
        <v/>
      </c>
      <c r="F341" s="143" t="str">
        <f t="shared" si="24"/>
        <v/>
      </c>
      <c r="G341" s="135" t="str">
        <f t="shared" si="25"/>
        <v/>
      </c>
      <c r="H341" s="143" t="str">
        <f t="shared" si="26"/>
        <v/>
      </c>
    </row>
    <row r="342" spans="2:8" x14ac:dyDescent="0.3">
      <c r="B342" s="21">
        <v>337</v>
      </c>
      <c r="C342" s="285"/>
      <c r="D342" s="286"/>
      <c r="E342" s="135" t="str">
        <f t="shared" si="23"/>
        <v/>
      </c>
      <c r="F342" s="143" t="str">
        <f t="shared" si="24"/>
        <v/>
      </c>
      <c r="G342" s="135" t="str">
        <f t="shared" si="25"/>
        <v/>
      </c>
      <c r="H342" s="143" t="str">
        <f t="shared" si="26"/>
        <v/>
      </c>
    </row>
    <row r="343" spans="2:8" x14ac:dyDescent="0.3">
      <c r="B343" s="21">
        <v>338</v>
      </c>
      <c r="C343" s="285"/>
      <c r="D343" s="286"/>
      <c r="E343" s="135" t="str">
        <f t="shared" si="23"/>
        <v/>
      </c>
      <c r="F343" s="143" t="str">
        <f t="shared" si="24"/>
        <v/>
      </c>
      <c r="G343" s="135" t="str">
        <f t="shared" si="25"/>
        <v/>
      </c>
      <c r="H343" s="143" t="str">
        <f t="shared" si="26"/>
        <v/>
      </c>
    </row>
    <row r="344" spans="2:8" x14ac:dyDescent="0.3">
      <c r="B344" s="21">
        <v>339</v>
      </c>
      <c r="C344" s="285"/>
      <c r="D344" s="286"/>
      <c r="E344" s="135" t="str">
        <f t="shared" si="23"/>
        <v/>
      </c>
      <c r="F344" s="143" t="str">
        <f t="shared" si="24"/>
        <v/>
      </c>
      <c r="G344" s="135" t="str">
        <f t="shared" si="25"/>
        <v/>
      </c>
      <c r="H344" s="143" t="str">
        <f t="shared" si="26"/>
        <v/>
      </c>
    </row>
    <row r="345" spans="2:8" x14ac:dyDescent="0.3">
      <c r="B345" s="21">
        <v>340</v>
      </c>
      <c r="C345" s="285"/>
      <c r="D345" s="286"/>
      <c r="E345" s="135" t="str">
        <f t="shared" si="23"/>
        <v/>
      </c>
      <c r="F345" s="143" t="str">
        <f t="shared" si="24"/>
        <v/>
      </c>
      <c r="G345" s="135" t="str">
        <f t="shared" si="25"/>
        <v/>
      </c>
      <c r="H345" s="143" t="str">
        <f t="shared" si="26"/>
        <v/>
      </c>
    </row>
    <row r="346" spans="2:8" x14ac:dyDescent="0.3">
      <c r="B346" s="21">
        <v>341</v>
      </c>
      <c r="C346" s="285"/>
      <c r="D346" s="286"/>
      <c r="E346" s="135" t="str">
        <f t="shared" si="23"/>
        <v/>
      </c>
      <c r="F346" s="143" t="str">
        <f t="shared" si="24"/>
        <v/>
      </c>
      <c r="G346" s="135" t="str">
        <f t="shared" si="25"/>
        <v/>
      </c>
      <c r="H346" s="143" t="str">
        <f t="shared" si="26"/>
        <v/>
      </c>
    </row>
    <row r="347" spans="2:8" x14ac:dyDescent="0.3">
      <c r="B347" s="21">
        <v>342</v>
      </c>
      <c r="C347" s="285"/>
      <c r="D347" s="286"/>
      <c r="E347" s="135" t="str">
        <f t="shared" si="23"/>
        <v/>
      </c>
      <c r="F347" s="143" t="str">
        <f t="shared" si="24"/>
        <v/>
      </c>
      <c r="G347" s="135" t="str">
        <f t="shared" si="25"/>
        <v/>
      </c>
      <c r="H347" s="143" t="str">
        <f t="shared" si="26"/>
        <v/>
      </c>
    </row>
    <row r="348" spans="2:8" x14ac:dyDescent="0.3">
      <c r="B348" s="21">
        <v>343</v>
      </c>
      <c r="C348" s="285"/>
      <c r="D348" s="286"/>
      <c r="E348" s="135" t="str">
        <f t="shared" si="23"/>
        <v/>
      </c>
      <c r="F348" s="143" t="str">
        <f t="shared" si="24"/>
        <v/>
      </c>
      <c r="G348" s="135" t="str">
        <f t="shared" si="25"/>
        <v/>
      </c>
      <c r="H348" s="143" t="str">
        <f t="shared" si="26"/>
        <v/>
      </c>
    </row>
    <row r="349" spans="2:8" x14ac:dyDescent="0.3">
      <c r="B349" s="21">
        <v>344</v>
      </c>
      <c r="C349" s="285"/>
      <c r="D349" s="286"/>
      <c r="E349" s="135" t="str">
        <f t="shared" si="23"/>
        <v/>
      </c>
      <c r="F349" s="143" t="str">
        <f t="shared" si="24"/>
        <v/>
      </c>
      <c r="G349" s="135" t="str">
        <f t="shared" si="25"/>
        <v/>
      </c>
      <c r="H349" s="143" t="str">
        <f t="shared" si="26"/>
        <v/>
      </c>
    </row>
    <row r="350" spans="2:8" x14ac:dyDescent="0.3">
      <c r="B350" s="21">
        <v>345</v>
      </c>
      <c r="C350" s="285"/>
      <c r="D350" s="286"/>
      <c r="E350" s="135" t="str">
        <f t="shared" si="23"/>
        <v/>
      </c>
      <c r="F350" s="143" t="str">
        <f t="shared" si="24"/>
        <v/>
      </c>
      <c r="G350" s="135" t="str">
        <f t="shared" si="25"/>
        <v/>
      </c>
      <c r="H350" s="143" t="str">
        <f t="shared" si="26"/>
        <v/>
      </c>
    </row>
    <row r="351" spans="2:8" x14ac:dyDescent="0.3">
      <c r="B351" s="21">
        <v>346</v>
      </c>
      <c r="C351" s="285"/>
      <c r="D351" s="286"/>
      <c r="E351" s="135" t="str">
        <f t="shared" si="23"/>
        <v/>
      </c>
      <c r="F351" s="143" t="str">
        <f t="shared" si="24"/>
        <v/>
      </c>
      <c r="G351" s="135" t="str">
        <f t="shared" si="25"/>
        <v/>
      </c>
      <c r="H351" s="143" t="str">
        <f t="shared" si="26"/>
        <v/>
      </c>
    </row>
    <row r="352" spans="2:8" x14ac:dyDescent="0.3">
      <c r="B352" s="21">
        <v>347</v>
      </c>
      <c r="C352" s="285"/>
      <c r="D352" s="286"/>
      <c r="E352" s="135" t="str">
        <f t="shared" si="23"/>
        <v/>
      </c>
      <c r="F352" s="143" t="str">
        <f t="shared" si="24"/>
        <v/>
      </c>
      <c r="G352" s="135" t="str">
        <f t="shared" si="25"/>
        <v/>
      </c>
      <c r="H352" s="143" t="str">
        <f t="shared" si="26"/>
        <v/>
      </c>
    </row>
    <row r="353" spans="2:8" x14ac:dyDescent="0.3">
      <c r="B353" s="21">
        <v>348</v>
      </c>
      <c r="C353" s="285"/>
      <c r="D353" s="286"/>
      <c r="E353" s="135" t="str">
        <f t="shared" si="23"/>
        <v/>
      </c>
      <c r="F353" s="143" t="str">
        <f t="shared" si="24"/>
        <v/>
      </c>
      <c r="G353" s="135" t="str">
        <f t="shared" si="25"/>
        <v/>
      </c>
      <c r="H353" s="143" t="str">
        <f t="shared" si="26"/>
        <v/>
      </c>
    </row>
    <row r="354" spans="2:8" x14ac:dyDescent="0.3">
      <c r="B354" s="21">
        <v>349</v>
      </c>
      <c r="C354" s="285"/>
      <c r="D354" s="286"/>
      <c r="E354" s="135" t="str">
        <f t="shared" si="23"/>
        <v/>
      </c>
      <c r="F354" s="143" t="str">
        <f t="shared" si="24"/>
        <v/>
      </c>
      <c r="G354" s="135" t="str">
        <f t="shared" si="25"/>
        <v/>
      </c>
      <c r="H354" s="143" t="str">
        <f t="shared" si="26"/>
        <v/>
      </c>
    </row>
    <row r="355" spans="2:8" x14ac:dyDescent="0.3">
      <c r="B355" s="21">
        <v>350</v>
      </c>
      <c r="C355" s="285"/>
      <c r="D355" s="286"/>
      <c r="E355" s="135" t="str">
        <f t="shared" si="23"/>
        <v/>
      </c>
      <c r="F355" s="143" t="str">
        <f t="shared" si="24"/>
        <v/>
      </c>
      <c r="G355" s="135" t="str">
        <f t="shared" si="25"/>
        <v/>
      </c>
      <c r="H355" s="143" t="str">
        <f t="shared" si="26"/>
        <v/>
      </c>
    </row>
    <row r="356" spans="2:8" x14ac:dyDescent="0.3">
      <c r="B356" s="21">
        <v>351</v>
      </c>
      <c r="C356" s="285"/>
      <c r="D356" s="286"/>
      <c r="E356" s="135" t="str">
        <f t="shared" si="23"/>
        <v/>
      </c>
      <c r="F356" s="143" t="str">
        <f t="shared" si="24"/>
        <v/>
      </c>
      <c r="G356" s="135" t="str">
        <f t="shared" si="25"/>
        <v/>
      </c>
      <c r="H356" s="143" t="str">
        <f t="shared" si="26"/>
        <v/>
      </c>
    </row>
    <row r="357" spans="2:8" x14ac:dyDescent="0.3">
      <c r="B357" s="21">
        <v>352</v>
      </c>
      <c r="C357" s="285"/>
      <c r="D357" s="286"/>
      <c r="E357" s="135" t="str">
        <f t="shared" si="23"/>
        <v/>
      </c>
      <c r="F357" s="143" t="str">
        <f t="shared" si="24"/>
        <v/>
      </c>
      <c r="G357" s="135" t="str">
        <f t="shared" si="25"/>
        <v/>
      </c>
      <c r="H357" s="143" t="str">
        <f t="shared" si="26"/>
        <v/>
      </c>
    </row>
    <row r="358" spans="2:8" x14ac:dyDescent="0.3">
      <c r="B358" s="21">
        <v>353</v>
      </c>
      <c r="C358" s="285"/>
      <c r="D358" s="286"/>
      <c r="E358" s="135" t="str">
        <f t="shared" si="23"/>
        <v/>
      </c>
      <c r="F358" s="143" t="str">
        <f t="shared" si="24"/>
        <v/>
      </c>
      <c r="G358" s="135" t="str">
        <f t="shared" si="25"/>
        <v/>
      </c>
      <c r="H358" s="143" t="str">
        <f t="shared" si="26"/>
        <v/>
      </c>
    </row>
    <row r="359" spans="2:8" x14ac:dyDescent="0.3">
      <c r="B359" s="21">
        <v>354</v>
      </c>
      <c r="C359" s="285"/>
      <c r="D359" s="286"/>
      <c r="E359" s="135" t="str">
        <f t="shared" si="23"/>
        <v/>
      </c>
      <c r="F359" s="143" t="str">
        <f t="shared" si="24"/>
        <v/>
      </c>
      <c r="G359" s="135" t="str">
        <f t="shared" si="25"/>
        <v/>
      </c>
      <c r="H359" s="143" t="str">
        <f t="shared" si="26"/>
        <v/>
      </c>
    </row>
    <row r="360" spans="2:8" x14ac:dyDescent="0.3">
      <c r="B360" s="21">
        <v>355</v>
      </c>
      <c r="C360" s="285"/>
      <c r="D360" s="286"/>
      <c r="E360" s="135" t="str">
        <f t="shared" si="23"/>
        <v/>
      </c>
      <c r="F360" s="143" t="str">
        <f t="shared" si="24"/>
        <v/>
      </c>
      <c r="G360" s="135" t="str">
        <f t="shared" si="25"/>
        <v/>
      </c>
      <c r="H360" s="143" t="str">
        <f t="shared" si="26"/>
        <v/>
      </c>
    </row>
    <row r="361" spans="2:8" x14ac:dyDescent="0.3">
      <c r="B361" s="21">
        <v>356</v>
      </c>
      <c r="C361" s="285"/>
      <c r="D361" s="286"/>
      <c r="E361" s="135" t="str">
        <f t="shared" si="23"/>
        <v/>
      </c>
      <c r="F361" s="143" t="str">
        <f t="shared" si="24"/>
        <v/>
      </c>
      <c r="G361" s="135" t="str">
        <f t="shared" si="25"/>
        <v/>
      </c>
      <c r="H361" s="143" t="str">
        <f t="shared" si="26"/>
        <v/>
      </c>
    </row>
    <row r="362" spans="2:8" x14ac:dyDescent="0.3">
      <c r="B362" s="21">
        <v>357</v>
      </c>
      <c r="C362" s="285"/>
      <c r="D362" s="286"/>
      <c r="E362" s="135" t="str">
        <f t="shared" si="23"/>
        <v/>
      </c>
      <c r="F362" s="143" t="str">
        <f t="shared" si="24"/>
        <v/>
      </c>
      <c r="G362" s="135" t="str">
        <f t="shared" si="25"/>
        <v/>
      </c>
      <c r="H362" s="143" t="str">
        <f t="shared" si="26"/>
        <v/>
      </c>
    </row>
    <row r="363" spans="2:8" x14ac:dyDescent="0.3">
      <c r="B363" s="21">
        <v>358</v>
      </c>
      <c r="C363" s="285"/>
      <c r="D363" s="286"/>
      <c r="E363" s="135" t="str">
        <f t="shared" si="23"/>
        <v/>
      </c>
      <c r="F363" s="143" t="str">
        <f t="shared" si="24"/>
        <v/>
      </c>
      <c r="G363" s="135" t="str">
        <f t="shared" si="25"/>
        <v/>
      </c>
      <c r="H363" s="143" t="str">
        <f t="shared" si="26"/>
        <v/>
      </c>
    </row>
    <row r="364" spans="2:8" x14ac:dyDescent="0.3">
      <c r="B364" s="21">
        <v>359</v>
      </c>
      <c r="C364" s="285"/>
      <c r="D364" s="286"/>
      <c r="E364" s="135" t="str">
        <f t="shared" si="23"/>
        <v/>
      </c>
      <c r="F364" s="143" t="str">
        <f t="shared" si="24"/>
        <v/>
      </c>
      <c r="G364" s="135" t="str">
        <f t="shared" si="25"/>
        <v/>
      </c>
      <c r="H364" s="143" t="str">
        <f t="shared" si="26"/>
        <v/>
      </c>
    </row>
    <row r="365" spans="2:8" x14ac:dyDescent="0.3">
      <c r="B365" s="21">
        <v>360</v>
      </c>
      <c r="C365" s="285"/>
      <c r="D365" s="286"/>
      <c r="E365" s="135" t="str">
        <f t="shared" si="23"/>
        <v/>
      </c>
      <c r="F365" s="143" t="str">
        <f t="shared" si="24"/>
        <v/>
      </c>
      <c r="G365" s="135" t="str">
        <f t="shared" si="25"/>
        <v/>
      </c>
      <c r="H365" s="143" t="str">
        <f t="shared" si="26"/>
        <v/>
      </c>
    </row>
    <row r="366" spans="2:8" x14ac:dyDescent="0.3">
      <c r="B366" s="21">
        <v>361</v>
      </c>
      <c r="C366" s="285"/>
      <c r="D366" s="286"/>
      <c r="E366" s="135" t="str">
        <f t="shared" si="23"/>
        <v/>
      </c>
      <c r="F366" s="143" t="str">
        <f t="shared" si="24"/>
        <v/>
      </c>
      <c r="G366" s="135" t="str">
        <f t="shared" si="25"/>
        <v/>
      </c>
      <c r="H366" s="143" t="str">
        <f t="shared" si="26"/>
        <v/>
      </c>
    </row>
    <row r="367" spans="2:8" x14ac:dyDescent="0.3">
      <c r="B367" s="21">
        <v>362</v>
      </c>
      <c r="C367" s="285"/>
      <c r="D367" s="286"/>
      <c r="E367" s="135" t="str">
        <f t="shared" si="23"/>
        <v/>
      </c>
      <c r="F367" s="143" t="str">
        <f t="shared" si="24"/>
        <v/>
      </c>
      <c r="G367" s="135" t="str">
        <f t="shared" si="25"/>
        <v/>
      </c>
      <c r="H367" s="143" t="str">
        <f t="shared" si="26"/>
        <v/>
      </c>
    </row>
    <row r="368" spans="2:8" x14ac:dyDescent="0.3">
      <c r="B368" s="21">
        <v>363</v>
      </c>
      <c r="C368" s="285"/>
      <c r="D368" s="286"/>
      <c r="E368" s="135" t="str">
        <f t="shared" si="23"/>
        <v/>
      </c>
      <c r="F368" s="143" t="str">
        <f t="shared" si="24"/>
        <v/>
      </c>
      <c r="G368" s="135" t="str">
        <f t="shared" si="25"/>
        <v/>
      </c>
      <c r="H368" s="143" t="str">
        <f t="shared" si="26"/>
        <v/>
      </c>
    </row>
    <row r="369" spans="2:8" x14ac:dyDescent="0.3">
      <c r="B369" s="21">
        <v>364</v>
      </c>
      <c r="C369" s="285"/>
      <c r="D369" s="286"/>
      <c r="E369" s="135" t="str">
        <f t="shared" si="23"/>
        <v/>
      </c>
      <c r="F369" s="143" t="str">
        <f t="shared" si="24"/>
        <v/>
      </c>
      <c r="G369" s="135" t="str">
        <f t="shared" si="25"/>
        <v/>
      </c>
      <c r="H369" s="143" t="str">
        <f t="shared" si="26"/>
        <v/>
      </c>
    </row>
    <row r="370" spans="2:8" x14ac:dyDescent="0.3">
      <c r="B370" s="21">
        <v>365</v>
      </c>
      <c r="C370" s="285"/>
      <c r="D370" s="286"/>
      <c r="E370" s="135" t="str">
        <f t="shared" si="23"/>
        <v/>
      </c>
      <c r="F370" s="143" t="str">
        <f t="shared" si="24"/>
        <v/>
      </c>
      <c r="G370" s="135" t="str">
        <f t="shared" si="25"/>
        <v/>
      </c>
      <c r="H370" s="143" t="str">
        <f t="shared" si="26"/>
        <v/>
      </c>
    </row>
    <row r="371" spans="2:8" x14ac:dyDescent="0.3">
      <c r="B371" s="21">
        <v>366</v>
      </c>
      <c r="C371" s="285"/>
      <c r="D371" s="286"/>
      <c r="E371" s="135" t="str">
        <f t="shared" si="23"/>
        <v/>
      </c>
      <c r="F371" s="143" t="str">
        <f t="shared" si="24"/>
        <v/>
      </c>
      <c r="G371" s="135" t="str">
        <f t="shared" si="25"/>
        <v/>
      </c>
      <c r="H371" s="143" t="str">
        <f t="shared" si="26"/>
        <v/>
      </c>
    </row>
    <row r="372" spans="2:8" x14ac:dyDescent="0.3">
      <c r="B372" s="21">
        <v>367</v>
      </c>
      <c r="C372" s="285"/>
      <c r="D372" s="286"/>
      <c r="E372" s="135" t="str">
        <f t="shared" si="23"/>
        <v/>
      </c>
      <c r="F372" s="143" t="str">
        <f t="shared" si="24"/>
        <v/>
      </c>
      <c r="G372" s="135" t="str">
        <f t="shared" si="25"/>
        <v/>
      </c>
      <c r="H372" s="143" t="str">
        <f t="shared" si="26"/>
        <v/>
      </c>
    </row>
    <row r="373" spans="2:8" x14ac:dyDescent="0.3">
      <c r="B373" s="21">
        <v>368</v>
      </c>
      <c r="C373" s="285"/>
      <c r="D373" s="286"/>
      <c r="E373" s="135" t="str">
        <f t="shared" si="23"/>
        <v/>
      </c>
      <c r="F373" s="143" t="str">
        <f t="shared" si="24"/>
        <v/>
      </c>
      <c r="G373" s="135" t="str">
        <f t="shared" si="25"/>
        <v/>
      </c>
      <c r="H373" s="143" t="str">
        <f t="shared" si="26"/>
        <v/>
      </c>
    </row>
    <row r="374" spans="2:8" x14ac:dyDescent="0.3">
      <c r="B374" s="21">
        <v>369</v>
      </c>
      <c r="C374" s="285"/>
      <c r="D374" s="286"/>
      <c r="E374" s="135" t="str">
        <f t="shared" si="23"/>
        <v/>
      </c>
      <c r="F374" s="143" t="str">
        <f t="shared" si="24"/>
        <v/>
      </c>
      <c r="G374" s="135" t="str">
        <f t="shared" si="25"/>
        <v/>
      </c>
      <c r="H374" s="143" t="str">
        <f t="shared" si="26"/>
        <v/>
      </c>
    </row>
    <row r="375" spans="2:8" x14ac:dyDescent="0.3">
      <c r="B375" s="21">
        <v>370</v>
      </c>
      <c r="C375" s="285"/>
      <c r="D375" s="286"/>
      <c r="E375" s="135" t="str">
        <f t="shared" si="23"/>
        <v/>
      </c>
      <c r="F375" s="143" t="str">
        <f t="shared" si="24"/>
        <v/>
      </c>
      <c r="G375" s="135" t="str">
        <f t="shared" si="25"/>
        <v/>
      </c>
      <c r="H375" s="143" t="str">
        <f t="shared" si="26"/>
        <v/>
      </c>
    </row>
    <row r="376" spans="2:8" x14ac:dyDescent="0.3">
      <c r="B376" s="21">
        <v>371</v>
      </c>
      <c r="C376" s="285"/>
      <c r="D376" s="286"/>
      <c r="E376" s="135" t="str">
        <f t="shared" si="23"/>
        <v/>
      </c>
      <c r="F376" s="143" t="str">
        <f t="shared" si="24"/>
        <v/>
      </c>
      <c r="G376" s="135" t="str">
        <f t="shared" si="25"/>
        <v/>
      </c>
      <c r="H376" s="143" t="str">
        <f t="shared" si="26"/>
        <v/>
      </c>
    </row>
    <row r="377" spans="2:8" x14ac:dyDescent="0.3">
      <c r="B377" s="21">
        <v>372</v>
      </c>
      <c r="C377" s="285"/>
      <c r="D377" s="286"/>
      <c r="E377" s="135" t="str">
        <f t="shared" si="23"/>
        <v/>
      </c>
      <c r="F377" s="143" t="str">
        <f t="shared" si="24"/>
        <v/>
      </c>
      <c r="G377" s="135" t="str">
        <f t="shared" si="25"/>
        <v/>
      </c>
      <c r="H377" s="143" t="str">
        <f t="shared" si="26"/>
        <v/>
      </c>
    </row>
    <row r="378" spans="2:8" x14ac:dyDescent="0.3">
      <c r="B378" s="21">
        <v>373</v>
      </c>
      <c r="C378" s="285"/>
      <c r="D378" s="286"/>
      <c r="E378" s="135" t="str">
        <f t="shared" si="23"/>
        <v/>
      </c>
      <c r="F378" s="143" t="str">
        <f t="shared" si="24"/>
        <v/>
      </c>
      <c r="G378" s="135" t="str">
        <f t="shared" si="25"/>
        <v/>
      </c>
      <c r="H378" s="143" t="str">
        <f t="shared" si="26"/>
        <v/>
      </c>
    </row>
    <row r="379" spans="2:8" x14ac:dyDescent="0.3">
      <c r="B379" s="21">
        <v>374</v>
      </c>
      <c r="C379" s="285"/>
      <c r="D379" s="286"/>
      <c r="E379" s="135" t="str">
        <f t="shared" si="23"/>
        <v/>
      </c>
      <c r="F379" s="143" t="str">
        <f t="shared" si="24"/>
        <v/>
      </c>
      <c r="G379" s="135" t="str">
        <f t="shared" si="25"/>
        <v/>
      </c>
      <c r="H379" s="143" t="str">
        <f t="shared" si="26"/>
        <v/>
      </c>
    </row>
    <row r="380" spans="2:8" x14ac:dyDescent="0.3">
      <c r="B380" s="21">
        <v>375</v>
      </c>
      <c r="C380" s="285"/>
      <c r="D380" s="286"/>
      <c r="E380" s="135" t="str">
        <f t="shared" si="23"/>
        <v/>
      </c>
      <c r="F380" s="143" t="str">
        <f t="shared" si="24"/>
        <v/>
      </c>
      <c r="G380" s="135" t="str">
        <f t="shared" si="25"/>
        <v/>
      </c>
      <c r="H380" s="143" t="str">
        <f t="shared" si="26"/>
        <v/>
      </c>
    </row>
    <row r="381" spans="2:8" x14ac:dyDescent="0.3">
      <c r="B381" s="21">
        <v>376</v>
      </c>
      <c r="C381" s="285"/>
      <c r="D381" s="286"/>
      <c r="E381" s="135" t="str">
        <f t="shared" si="23"/>
        <v/>
      </c>
      <c r="F381" s="143" t="str">
        <f t="shared" si="24"/>
        <v/>
      </c>
      <c r="G381" s="135" t="str">
        <f t="shared" si="25"/>
        <v/>
      </c>
      <c r="H381" s="143" t="str">
        <f t="shared" si="26"/>
        <v/>
      </c>
    </row>
    <row r="382" spans="2:8" x14ac:dyDescent="0.3">
      <c r="B382" s="21">
        <v>377</v>
      </c>
      <c r="C382" s="285"/>
      <c r="D382" s="286"/>
      <c r="E382" s="135" t="str">
        <f t="shared" si="23"/>
        <v/>
      </c>
      <c r="F382" s="143" t="str">
        <f t="shared" si="24"/>
        <v/>
      </c>
      <c r="G382" s="135" t="str">
        <f t="shared" si="25"/>
        <v/>
      </c>
      <c r="H382" s="143" t="str">
        <f t="shared" si="26"/>
        <v/>
      </c>
    </row>
    <row r="383" spans="2:8" x14ac:dyDescent="0.3">
      <c r="B383" s="21">
        <v>378</v>
      </c>
      <c r="C383" s="285"/>
      <c r="D383" s="286"/>
      <c r="E383" s="135" t="str">
        <f t="shared" si="23"/>
        <v/>
      </c>
      <c r="F383" s="143" t="str">
        <f t="shared" si="24"/>
        <v/>
      </c>
      <c r="G383" s="135" t="str">
        <f t="shared" si="25"/>
        <v/>
      </c>
      <c r="H383" s="143" t="str">
        <f t="shared" si="26"/>
        <v/>
      </c>
    </row>
    <row r="384" spans="2:8" x14ac:dyDescent="0.3">
      <c r="B384" s="21">
        <v>379</v>
      </c>
      <c r="C384" s="285"/>
      <c r="D384" s="286"/>
      <c r="E384" s="135" t="str">
        <f t="shared" si="23"/>
        <v/>
      </c>
      <c r="F384" s="143" t="str">
        <f t="shared" si="24"/>
        <v/>
      </c>
      <c r="G384" s="135" t="str">
        <f t="shared" si="25"/>
        <v/>
      </c>
      <c r="H384" s="143" t="str">
        <f t="shared" si="26"/>
        <v/>
      </c>
    </row>
    <row r="385" spans="2:8" x14ac:dyDescent="0.3">
      <c r="B385" s="21">
        <v>380</v>
      </c>
      <c r="C385" s="285"/>
      <c r="D385" s="286"/>
      <c r="E385" s="135" t="str">
        <f t="shared" si="23"/>
        <v/>
      </c>
      <c r="F385" s="143" t="str">
        <f t="shared" si="24"/>
        <v/>
      </c>
      <c r="G385" s="135" t="str">
        <f t="shared" si="25"/>
        <v/>
      </c>
      <c r="H385" s="143" t="str">
        <f t="shared" si="26"/>
        <v/>
      </c>
    </row>
    <row r="386" spans="2:8" x14ac:dyDescent="0.3">
      <c r="B386" s="21">
        <v>381</v>
      </c>
      <c r="C386" s="285"/>
      <c r="D386" s="286"/>
      <c r="E386" s="135" t="str">
        <f t="shared" si="23"/>
        <v/>
      </c>
      <c r="F386" s="143" t="str">
        <f t="shared" si="24"/>
        <v/>
      </c>
      <c r="G386" s="135" t="str">
        <f t="shared" si="25"/>
        <v/>
      </c>
      <c r="H386" s="143" t="str">
        <f t="shared" si="26"/>
        <v/>
      </c>
    </row>
    <row r="387" spans="2:8" x14ac:dyDescent="0.3">
      <c r="B387" s="21">
        <v>382</v>
      </c>
      <c r="C387" s="285"/>
      <c r="D387" s="286"/>
      <c r="E387" s="135" t="str">
        <f t="shared" si="23"/>
        <v/>
      </c>
      <c r="F387" s="143" t="str">
        <f t="shared" si="24"/>
        <v/>
      </c>
      <c r="G387" s="135" t="str">
        <f t="shared" si="25"/>
        <v/>
      </c>
      <c r="H387" s="143" t="str">
        <f t="shared" si="26"/>
        <v/>
      </c>
    </row>
    <row r="388" spans="2:8" x14ac:dyDescent="0.3">
      <c r="B388" s="21">
        <v>383</v>
      </c>
      <c r="C388" s="285"/>
      <c r="D388" s="286"/>
      <c r="E388" s="135" t="str">
        <f t="shared" si="23"/>
        <v/>
      </c>
      <c r="F388" s="143" t="str">
        <f t="shared" si="24"/>
        <v/>
      </c>
      <c r="G388" s="135" t="str">
        <f t="shared" si="25"/>
        <v/>
      </c>
      <c r="H388" s="143" t="str">
        <f t="shared" si="26"/>
        <v/>
      </c>
    </row>
    <row r="389" spans="2:8" x14ac:dyDescent="0.3">
      <c r="B389" s="21">
        <v>384</v>
      </c>
      <c r="C389" s="285"/>
      <c r="D389" s="286"/>
      <c r="E389" s="135" t="str">
        <f t="shared" si="23"/>
        <v/>
      </c>
      <c r="F389" s="143" t="str">
        <f t="shared" si="24"/>
        <v/>
      </c>
      <c r="G389" s="135" t="str">
        <f t="shared" si="25"/>
        <v/>
      </c>
      <c r="H389" s="143" t="str">
        <f t="shared" si="26"/>
        <v/>
      </c>
    </row>
    <row r="390" spans="2:8" x14ac:dyDescent="0.3">
      <c r="B390" s="21">
        <v>385</v>
      </c>
      <c r="C390" s="285"/>
      <c r="D390" s="286"/>
      <c r="E390" s="135" t="str">
        <f t="shared" si="23"/>
        <v/>
      </c>
      <c r="F390" s="143" t="str">
        <f t="shared" si="24"/>
        <v/>
      </c>
      <c r="G390" s="135" t="str">
        <f t="shared" si="25"/>
        <v/>
      </c>
      <c r="H390" s="143" t="str">
        <f t="shared" si="26"/>
        <v/>
      </c>
    </row>
    <row r="391" spans="2:8" x14ac:dyDescent="0.3">
      <c r="B391" s="21">
        <v>386</v>
      </c>
      <c r="C391" s="285"/>
      <c r="D391" s="286"/>
      <c r="E391" s="135" t="str">
        <f t="shared" si="23"/>
        <v/>
      </c>
      <c r="F391" s="143" t="str">
        <f t="shared" si="24"/>
        <v/>
      </c>
      <c r="G391" s="135" t="str">
        <f t="shared" si="25"/>
        <v/>
      </c>
      <c r="H391" s="143" t="str">
        <f t="shared" si="26"/>
        <v/>
      </c>
    </row>
    <row r="392" spans="2:8" x14ac:dyDescent="0.3">
      <c r="B392" s="21">
        <v>387</v>
      </c>
      <c r="C392" s="285"/>
      <c r="D392" s="286"/>
      <c r="E392" s="135" t="str">
        <f t="shared" si="23"/>
        <v/>
      </c>
      <c r="F392" s="143" t="str">
        <f t="shared" si="24"/>
        <v/>
      </c>
      <c r="G392" s="135" t="str">
        <f t="shared" si="25"/>
        <v/>
      </c>
      <c r="H392" s="143" t="str">
        <f t="shared" si="26"/>
        <v/>
      </c>
    </row>
    <row r="393" spans="2:8" x14ac:dyDescent="0.3">
      <c r="B393" s="21">
        <v>388</v>
      </c>
      <c r="C393" s="285"/>
      <c r="D393" s="286"/>
      <c r="E393" s="135" t="str">
        <f t="shared" si="23"/>
        <v/>
      </c>
      <c r="F393" s="143" t="str">
        <f t="shared" si="24"/>
        <v/>
      </c>
      <c r="G393" s="135" t="str">
        <f t="shared" si="25"/>
        <v/>
      </c>
      <c r="H393" s="143" t="str">
        <f t="shared" si="26"/>
        <v/>
      </c>
    </row>
    <row r="394" spans="2:8" x14ac:dyDescent="0.3">
      <c r="B394" s="21">
        <v>389</v>
      </c>
      <c r="C394" s="285"/>
      <c r="D394" s="286"/>
      <c r="E394" s="135" t="str">
        <f t="shared" si="23"/>
        <v/>
      </c>
      <c r="F394" s="143" t="str">
        <f t="shared" si="24"/>
        <v/>
      </c>
      <c r="G394" s="135" t="str">
        <f t="shared" si="25"/>
        <v/>
      </c>
      <c r="H394" s="143" t="str">
        <f t="shared" si="26"/>
        <v/>
      </c>
    </row>
    <row r="395" spans="2:8" x14ac:dyDescent="0.3">
      <c r="B395" s="21">
        <v>390</v>
      </c>
      <c r="C395" s="285"/>
      <c r="D395" s="286"/>
      <c r="E395" s="135" t="str">
        <f t="shared" ref="E395:E400" si="27">IF(D395="","",ROUNDUP(D395,0))</f>
        <v/>
      </c>
      <c r="F395" s="143" t="str">
        <f t="shared" ref="F395:F400" si="28">IF(C395="","",INDEX(V_UNITARIOMATERIAL,MATCH(C395,L_MATERIALES,0)))</f>
        <v/>
      </c>
      <c r="G395" s="135" t="str">
        <f t="shared" ref="G395:G400" si="29">IF(C395="","",INDEX(U_MATERIAL,MATCH(C395,L_MATERIALES,0)))</f>
        <v/>
      </c>
      <c r="H395" s="143" t="str">
        <f t="shared" ref="H395:H400" si="30">IF(E395="","",F395*E395)</f>
        <v/>
      </c>
    </row>
    <row r="396" spans="2:8" x14ac:dyDescent="0.3">
      <c r="B396" s="21">
        <v>391</v>
      </c>
      <c r="C396" s="285"/>
      <c r="D396" s="286"/>
      <c r="E396" s="135" t="str">
        <f t="shared" si="27"/>
        <v/>
      </c>
      <c r="F396" s="143" t="str">
        <f t="shared" si="28"/>
        <v/>
      </c>
      <c r="G396" s="135" t="str">
        <f t="shared" si="29"/>
        <v/>
      </c>
      <c r="H396" s="143" t="str">
        <f t="shared" si="30"/>
        <v/>
      </c>
    </row>
    <row r="397" spans="2:8" x14ac:dyDescent="0.3">
      <c r="B397" s="21">
        <v>392</v>
      </c>
      <c r="C397" s="285"/>
      <c r="D397" s="286"/>
      <c r="E397" s="135" t="str">
        <f t="shared" si="27"/>
        <v/>
      </c>
      <c r="F397" s="143" t="str">
        <f t="shared" si="28"/>
        <v/>
      </c>
      <c r="G397" s="135" t="str">
        <f t="shared" si="29"/>
        <v/>
      </c>
      <c r="H397" s="143" t="str">
        <f t="shared" si="30"/>
        <v/>
      </c>
    </row>
    <row r="398" spans="2:8" x14ac:dyDescent="0.3">
      <c r="B398" s="21">
        <v>393</v>
      </c>
      <c r="C398" s="285"/>
      <c r="D398" s="286"/>
      <c r="E398" s="135" t="str">
        <f t="shared" si="27"/>
        <v/>
      </c>
      <c r="F398" s="143" t="str">
        <f t="shared" si="28"/>
        <v/>
      </c>
      <c r="G398" s="135" t="str">
        <f t="shared" si="29"/>
        <v/>
      </c>
      <c r="H398" s="143" t="str">
        <f t="shared" si="30"/>
        <v/>
      </c>
    </row>
    <row r="399" spans="2:8" x14ac:dyDescent="0.3">
      <c r="B399" s="21">
        <v>394</v>
      </c>
      <c r="C399" s="285"/>
      <c r="D399" s="286"/>
      <c r="E399" s="135" t="str">
        <f t="shared" si="27"/>
        <v/>
      </c>
      <c r="F399" s="143" t="str">
        <f t="shared" si="28"/>
        <v/>
      </c>
      <c r="G399" s="135" t="str">
        <f t="shared" si="29"/>
        <v/>
      </c>
      <c r="H399" s="143" t="str">
        <f t="shared" si="30"/>
        <v/>
      </c>
    </row>
    <row r="400" spans="2:8" x14ac:dyDescent="0.3">
      <c r="B400" s="21">
        <v>395</v>
      </c>
      <c r="C400" s="285"/>
      <c r="D400" s="286"/>
      <c r="E400" s="135" t="str">
        <f t="shared" si="27"/>
        <v/>
      </c>
      <c r="F400" s="143" t="str">
        <f t="shared" si="28"/>
        <v/>
      </c>
      <c r="G400" s="135" t="str">
        <f t="shared" si="29"/>
        <v/>
      </c>
      <c r="H400" s="143" t="str">
        <f t="shared" si="30"/>
        <v/>
      </c>
    </row>
  </sheetData>
  <dataConsolidate>
    <dataRefs count="80">
      <dataRef name="APU_1" r:id="rId1"/>
      <dataRef name="APU_10" r:id="rId2"/>
      <dataRef name="APU_11" r:id="rId3"/>
      <dataRef name="APU_12" r:id="rId4"/>
      <dataRef name="APU_13" r:id="rId5"/>
      <dataRef name="APU_14" r:id="rId6"/>
      <dataRef name="APU_15" r:id="rId7"/>
      <dataRef name="APU_16" r:id="rId8"/>
      <dataRef name="APU_17" r:id="rId9"/>
      <dataRef name="APU_18" r:id="rId10"/>
      <dataRef name="APU_19" r:id="rId11"/>
      <dataRef name="APU_2" r:id="rId12"/>
      <dataRef name="APU_20" r:id="rId13"/>
      <dataRef name="APU_21" r:id="rId14"/>
      <dataRef name="APU_22" r:id="rId15"/>
      <dataRef name="APU_23" r:id="rId16"/>
      <dataRef name="APU_24" r:id="rId17"/>
      <dataRef name="APU_25" r:id="rId18"/>
      <dataRef name="APU_26" r:id="rId19"/>
      <dataRef name="APU_27" r:id="rId20"/>
      <dataRef name="APU_28" r:id="rId21"/>
      <dataRef name="APU_29" r:id="rId22"/>
      <dataRef name="APU_3" r:id="rId23"/>
      <dataRef name="APU_30" r:id="rId24"/>
      <dataRef name="APU_31" r:id="rId25"/>
      <dataRef name="APU_32" r:id="rId26"/>
      <dataRef name="APU_33" r:id="rId27"/>
      <dataRef name="APU_34" r:id="rId28"/>
      <dataRef name="APU_35" r:id="rId29"/>
      <dataRef name="APU_36" r:id="rId30"/>
      <dataRef name="APU_37" r:id="rId31"/>
      <dataRef name="APU_38" r:id="rId32"/>
      <dataRef name="APU_39" r:id="rId33"/>
      <dataRef name="APU_4" r:id="rId34"/>
      <dataRef name="APU_40" r:id="rId35"/>
      <dataRef name="APU_41" r:id="rId36"/>
      <dataRef name="APU_42" r:id="rId37"/>
      <dataRef name="APU_43" r:id="rId38"/>
      <dataRef name="APU_44" r:id="rId39"/>
      <dataRef name="APU_45" r:id="rId40"/>
      <dataRef name="APU_46" r:id="rId41"/>
      <dataRef name="APU_47" r:id="rId42"/>
      <dataRef name="APU_48" r:id="rId43"/>
      <dataRef name="APU_49" r:id="rId44"/>
      <dataRef name="APU_5" r:id="rId45"/>
      <dataRef name="APU_50" r:id="rId46"/>
      <dataRef name="APU_51" r:id="rId47"/>
      <dataRef name="APU_52" r:id="rId48"/>
      <dataRef name="APU_53" r:id="rId49"/>
      <dataRef name="APU_54" r:id="rId50"/>
      <dataRef name="APU_55" r:id="rId51"/>
      <dataRef name="APU_56" r:id="rId52"/>
      <dataRef name="APU_57" r:id="rId53"/>
      <dataRef name="APU_58" r:id="rId54"/>
      <dataRef name="APU_59" r:id="rId55"/>
      <dataRef name="APU_6" r:id="rId56"/>
      <dataRef name="APU_60" r:id="rId57"/>
      <dataRef name="APU_61" r:id="rId58"/>
      <dataRef name="APU_62" r:id="rId59"/>
      <dataRef name="APU_63" r:id="rId60"/>
      <dataRef name="APU_64" r:id="rId61"/>
      <dataRef name="APU_65" r:id="rId62"/>
      <dataRef name="APU_66" r:id="rId63"/>
      <dataRef name="APU_67" r:id="rId64"/>
      <dataRef name="APU_68" r:id="rId65"/>
      <dataRef name="APU_69" r:id="rId66"/>
      <dataRef name="APU_7" r:id="rId67"/>
      <dataRef name="APU_70" r:id="rId68"/>
      <dataRef name="APU_71" r:id="rId69"/>
      <dataRef name="APU_72" r:id="rId70"/>
      <dataRef name="APU_73" r:id="rId71"/>
      <dataRef name="APU_74" r:id="rId72"/>
      <dataRef name="APU_75" r:id="rId73"/>
      <dataRef name="APU_76" r:id="rId74"/>
      <dataRef name="APU_77" r:id="rId75"/>
      <dataRef name="APU_78" r:id="rId76"/>
      <dataRef name="APU_79" r:id="rId77"/>
      <dataRef name="APU_8" r:id="rId78"/>
      <dataRef name="APU_80" r:id="rId79"/>
      <dataRef name="APU_9" r:id="rId80"/>
    </dataRefs>
  </dataConsolidate>
  <mergeCells count="4">
    <mergeCell ref="B2:H2"/>
    <mergeCell ref="B1:H1"/>
    <mergeCell ref="B4:H4"/>
    <mergeCell ref="B3:H3"/>
  </mergeCells>
  <phoneticPr fontId="42" type="noConversion"/>
  <pageMargins left="0.7" right="0.7" top="0.75" bottom="0.75" header="0.3" footer="0.3"/>
  <drawing r:id="rId8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83A9D-DD32-4F7B-8E17-48F9E272090E}">
  <sheetPr codeName="Hoja11"/>
  <dimension ref="A1:P105"/>
  <sheetViews>
    <sheetView zoomScale="70" zoomScaleNormal="70" workbookViewId="0">
      <selection activeCell="F22" sqref="F22"/>
    </sheetView>
  </sheetViews>
  <sheetFormatPr defaultColWidth="11" defaultRowHeight="16.5" x14ac:dyDescent="0.3"/>
  <cols>
    <col min="2" max="2" width="37.375" bestFit="1" customWidth="1"/>
    <col min="3" max="3" width="13.75" bestFit="1" customWidth="1"/>
    <col min="4" max="4" width="20.75" bestFit="1" customWidth="1"/>
    <col min="5" max="5" width="19.375" bestFit="1" customWidth="1"/>
    <col min="6" max="6" width="22.375" bestFit="1" customWidth="1"/>
    <col min="7" max="7" width="9.625" bestFit="1"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589"/>
      <c r="D8" s="589"/>
      <c r="E8" s="589"/>
      <c r="F8" s="589"/>
      <c r="G8" s="79"/>
    </row>
    <row r="9" spans="2:7" x14ac:dyDescent="0.3">
      <c r="B9" s="81" t="s">
        <v>128</v>
      </c>
      <c r="C9" s="590"/>
      <c r="D9" s="590"/>
      <c r="E9" s="590"/>
      <c r="F9" s="590"/>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t="s">
        <v>74</v>
      </c>
      <c r="C13" s="581"/>
      <c r="D13" s="581"/>
      <c r="E13" s="581"/>
      <c r="F13" s="581"/>
      <c r="G13" s="582"/>
    </row>
    <row r="14" spans="2:7" ht="17.25" thickBot="1" x14ac:dyDescent="0.35">
      <c r="B14" s="601" t="s">
        <v>278</v>
      </c>
      <c r="C14" s="602"/>
      <c r="D14" s="602"/>
      <c r="E14" s="602"/>
      <c r="F14" s="602"/>
      <c r="G14" s="603"/>
    </row>
    <row r="15" spans="2:7" ht="17.25" thickBot="1" x14ac:dyDescent="0.35">
      <c r="B15" s="592"/>
      <c r="C15" s="593"/>
      <c r="D15" s="593"/>
      <c r="E15" s="593"/>
      <c r="F15" s="593"/>
      <c r="G15" s="594"/>
    </row>
    <row r="16" spans="2:7" x14ac:dyDescent="0.3">
      <c r="B16" s="604" t="e">
        <f>+IF($B$13="","",INDEX(DESCRIP_ITEM,MATCH($B$13,ITEM,0)))</f>
        <v>#N/A</v>
      </c>
      <c r="C16" s="605"/>
      <c r="D16" s="605"/>
      <c r="E16" s="605"/>
      <c r="F16" s="605"/>
      <c r="G16" s="606"/>
    </row>
    <row r="17" spans="2:16" ht="44.25" customHeight="1" thickBot="1" x14ac:dyDescent="0.35">
      <c r="B17" s="607"/>
      <c r="C17" s="608"/>
      <c r="D17" s="608"/>
      <c r="E17" s="608"/>
      <c r="F17" s="608"/>
      <c r="G17" s="609"/>
    </row>
    <row r="18" spans="2:16" ht="17.25" thickBot="1" x14ac:dyDescent="0.35">
      <c r="B18" s="591"/>
      <c r="C18" s="579"/>
      <c r="D18" s="579"/>
      <c r="E18" s="579"/>
      <c r="G18" s="11"/>
    </row>
    <row r="19" spans="2:16" ht="17.25" thickBot="1" x14ac:dyDescent="0.35">
      <c r="B19" s="592"/>
      <c r="C19" s="593"/>
      <c r="D19" s="593"/>
      <c r="E19" s="593"/>
      <c r="F19" s="288" t="s">
        <v>279</v>
      </c>
      <c r="G19" s="25" t="e">
        <f>+IF(B13="","",INDEX(U_ITEM,MATCH(B13,ITEM,0)))</f>
        <v>#N/A</v>
      </c>
    </row>
    <row r="20" spans="2:16" ht="33.75" thickBot="1" x14ac:dyDescent="0.35">
      <c r="B20" s="592"/>
      <c r="C20" s="593"/>
      <c r="D20" s="593"/>
      <c r="E20" s="593"/>
      <c r="F20" s="287" t="s">
        <v>285</v>
      </c>
      <c r="G20" s="56">
        <v>0</v>
      </c>
      <c r="K20" s="92" t="s">
        <v>134</v>
      </c>
      <c r="L20" s="93"/>
      <c r="M20" s="93"/>
      <c r="N20" s="93"/>
      <c r="O20" s="93"/>
      <c r="P20" s="94"/>
    </row>
    <row r="21" spans="2:16" ht="33.75" thickBot="1" x14ac:dyDescent="0.35">
      <c r="B21" s="289" t="s">
        <v>280</v>
      </c>
      <c r="G21" s="11"/>
      <c r="K21" s="6"/>
      <c r="L21" s="7"/>
      <c r="M21" s="7"/>
      <c r="N21" s="7"/>
      <c r="O21" s="7"/>
      <c r="P21" s="8"/>
    </row>
    <row r="22" spans="2:16" ht="43.5" customHeight="1" x14ac:dyDescent="0.3">
      <c r="B22" s="290" t="s">
        <v>281</v>
      </c>
      <c r="C22" s="291" t="s">
        <v>282</v>
      </c>
      <c r="D22" s="292" t="s">
        <v>283</v>
      </c>
      <c r="E22" s="292" t="s">
        <v>284</v>
      </c>
      <c r="F22" s="291" t="s">
        <v>286</v>
      </c>
      <c r="G22" s="293" t="s">
        <v>85</v>
      </c>
      <c r="K22" s="9"/>
      <c r="L22" s="42" t="s">
        <v>109</v>
      </c>
      <c r="M22" s="42" t="s">
        <v>107</v>
      </c>
      <c r="N22" s="42" t="s">
        <v>108</v>
      </c>
      <c r="P22" s="11"/>
    </row>
    <row r="23" spans="2:16" x14ac:dyDescent="0.3">
      <c r="B23" s="27"/>
      <c r="C23" s="3" t="str">
        <f>+IF(B23="","",INDEX(U_MAQUINARIA,MATCH(B23,LISTA_MAQUINARIA,0)))</f>
        <v/>
      </c>
      <c r="D23" s="30"/>
      <c r="E23" s="23" t="str">
        <f>+IF(B23="","",INDEX(V_MAQUINARIA,MATCH(B23,LISTA_MAQUINARIA,0)))</f>
        <v/>
      </c>
      <c r="F23" s="3">
        <f>$G$20</f>
        <v>0</v>
      </c>
      <c r="G23" s="26" t="str">
        <f>+IF(B23="","",(D23*E23)/F23)</f>
        <v/>
      </c>
      <c r="K23" s="9"/>
      <c r="L23" s="23" t="str">
        <f>IF(B23="","",INDEX(V_COMBUSTIBLE_H,MATCH(B23,LISTA_MAQUINARIA,0)))</f>
        <v/>
      </c>
      <c r="M23" s="23" t="str">
        <f>+IF(L23="","",(L23*D23)/F23)</f>
        <v/>
      </c>
      <c r="N23" s="23" t="str">
        <f>IF(G23="","",G23-M23)</f>
        <v/>
      </c>
      <c r="P23" s="11"/>
    </row>
    <row r="24" spans="2:16" x14ac:dyDescent="0.3">
      <c r="B24" s="27"/>
      <c r="C24" s="3" t="str">
        <f>+IF(B24="","",INDEX(U_MAQUINARIA,MATCH(B24,LISTA_MAQUINARIA,0)))</f>
        <v/>
      </c>
      <c r="D24" s="30"/>
      <c r="E24" s="23" t="str">
        <f>+IF(B24="","",INDEX(V_MAQUINARIA,MATCH(B24,LISTA_MAQUINARIA,0)))</f>
        <v/>
      </c>
      <c r="F24" s="3">
        <f>$G$20</f>
        <v>0</v>
      </c>
      <c r="G24" s="26" t="str">
        <f>+IF(B24="","",(D24*E24)/F24)</f>
        <v/>
      </c>
      <c r="K24" s="9"/>
      <c r="L24" s="3" t="str">
        <f>IF(B24="","",INDEX(V_COMBUSTIBLE_H,MATCH(B24,LISTA_MAQUINARIA,0)))</f>
        <v/>
      </c>
      <c r="M24" s="3" t="str">
        <f>+IF(L24="","",(L24*D24)/F24)</f>
        <v/>
      </c>
      <c r="N24" s="3" t="str">
        <f>IF(G24="","",G24-M24)</f>
        <v/>
      </c>
      <c r="P24" s="11"/>
    </row>
    <row r="25" spans="2:16" x14ac:dyDescent="0.3">
      <c r="B25" s="27"/>
      <c r="C25" s="3" t="str">
        <f>+IF(B25="","",INDEX(U_MAQUINARIA,MATCH(B25,LISTA_MAQUINARIA,0)))</f>
        <v/>
      </c>
      <c r="D25" s="30"/>
      <c r="E25" s="23" t="str">
        <f>+IF(B25="","",INDEX(V_MAQUINARIA,MATCH(B25,LISTA_MAQUINARIA,0)))</f>
        <v/>
      </c>
      <c r="F25" s="3">
        <f>$G$20</f>
        <v>0</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0</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0</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0</v>
      </c>
      <c r="K28" s="9"/>
      <c r="M28" s="24">
        <f>SUM(M23:M27)</f>
        <v>0</v>
      </c>
      <c r="N28" s="24">
        <f>SUM(N23:N27)</f>
        <v>0</v>
      </c>
      <c r="P28" s="11"/>
    </row>
    <row r="29" spans="2:16" ht="17.25" thickBot="1" x14ac:dyDescent="0.35">
      <c r="B29" s="60" t="s">
        <v>287</v>
      </c>
      <c r="G29" s="11"/>
      <c r="K29" s="9"/>
      <c r="P29" s="11"/>
    </row>
    <row r="30" spans="2:16" x14ac:dyDescent="0.3">
      <c r="B30" s="59" t="s">
        <v>281</v>
      </c>
      <c r="C30" s="32" t="s">
        <v>282</v>
      </c>
      <c r="D30" s="32" t="s">
        <v>283</v>
      </c>
      <c r="E30" s="32" t="s">
        <v>284</v>
      </c>
      <c r="F30" s="32" t="s">
        <v>286</v>
      </c>
      <c r="G30" s="50" t="s">
        <v>85</v>
      </c>
      <c r="K30" s="9"/>
      <c r="L30" t="s">
        <v>16</v>
      </c>
      <c r="M30" t="s">
        <v>136</v>
      </c>
      <c r="P30" s="11"/>
    </row>
    <row r="31" spans="2:16" x14ac:dyDescent="0.3">
      <c r="B31" s="27"/>
      <c r="C31" s="3" t="str">
        <f>+IF(B31="","",INDEX(U_MATERIAL,MATCH(B31,L_MATERIALES,0)))</f>
        <v/>
      </c>
      <c r="D31" s="30"/>
      <c r="E31" s="153" t="str">
        <f>+IF(B31="","",INDEX(V_UNITARIOMATERIAL,MATCH(B31,L_MATERIALES,0)))</f>
        <v/>
      </c>
      <c r="F31" s="30"/>
      <c r="G31" s="26" t="str">
        <f>IF(D31="","",(E31*D31)/F31)</f>
        <v/>
      </c>
      <c r="K31" s="9"/>
      <c r="L31" t="str">
        <f>+IF(B31="","",B31)</f>
        <v/>
      </c>
      <c r="M31" t="str">
        <f t="shared" ref="M31:M38" si="0">IF(D31="","",(D31/F31)*INDEX(CANT_PROYECTO,MATCH($B$13,ITEM,0)))</f>
        <v/>
      </c>
      <c r="N31" s="1"/>
      <c r="P31" s="11"/>
    </row>
    <row r="32" spans="2:16" x14ac:dyDescent="0.3">
      <c r="B32" s="27"/>
      <c r="C32" s="3" t="str">
        <f>+IF(B32="","",INDEX(U_MATERIAL,MATCH(B32,L_MATERIALES,0)))</f>
        <v/>
      </c>
      <c r="D32" s="30"/>
      <c r="E32" s="153" t="str">
        <f>+IF(B32="","",INDEX(V_UNITARIOMATERIAL,MATCH(B32,L_MATERIALES,0)))</f>
        <v/>
      </c>
      <c r="F32" s="30"/>
      <c r="G32" s="26" t="str">
        <f t="shared" ref="G32:G38" si="1">IF(D32="","",(E32*D32)/F32)</f>
        <v/>
      </c>
      <c r="K32" s="9"/>
      <c r="L32" t="str">
        <f t="shared" ref="L32:L38" si="2">+IF(B32="","",B32)</f>
        <v/>
      </c>
      <c r="M32" t="str">
        <f t="shared" si="0"/>
        <v/>
      </c>
      <c r="N32" s="1"/>
      <c r="P32" s="11"/>
    </row>
    <row r="33" spans="2:16" x14ac:dyDescent="0.3">
      <c r="B33" s="27"/>
      <c r="C33" s="3"/>
      <c r="D33" s="30"/>
      <c r="E33" s="153"/>
      <c r="F33" s="30"/>
      <c r="G33" s="26" t="str">
        <f t="shared" si="1"/>
        <v/>
      </c>
      <c r="K33" s="9"/>
      <c r="L33" t="str">
        <f t="shared" si="2"/>
        <v/>
      </c>
      <c r="M33" t="str">
        <f t="shared" si="0"/>
        <v/>
      </c>
      <c r="N33" s="1"/>
      <c r="P33" s="11"/>
    </row>
    <row r="34" spans="2:16" x14ac:dyDescent="0.3">
      <c r="B34" s="27"/>
      <c r="C34" s="3"/>
      <c r="D34" s="30"/>
      <c r="E34" s="153"/>
      <c r="F34" s="30"/>
      <c r="G34" s="26" t="str">
        <f t="shared" si="1"/>
        <v/>
      </c>
      <c r="K34" s="9"/>
      <c r="L34" t="str">
        <f t="shared" si="2"/>
        <v/>
      </c>
      <c r="M34" t="str">
        <f t="shared" si="0"/>
        <v/>
      </c>
      <c r="N34" s="1"/>
      <c r="P34" s="11"/>
    </row>
    <row r="35" spans="2:16" x14ac:dyDescent="0.3">
      <c r="B35" s="27"/>
      <c r="C35" s="3"/>
      <c r="D35" s="30"/>
      <c r="E35" s="153"/>
      <c r="F35" s="30"/>
      <c r="G35" s="26" t="str">
        <f t="shared" si="1"/>
        <v/>
      </c>
      <c r="K35" s="9"/>
      <c r="L35" t="str">
        <f t="shared" si="2"/>
        <v/>
      </c>
      <c r="M35" t="str">
        <f t="shared" si="0"/>
        <v/>
      </c>
      <c r="N35" s="1"/>
      <c r="P35" s="11"/>
    </row>
    <row r="36" spans="2:16" ht="13.5" customHeight="1" x14ac:dyDescent="0.3">
      <c r="B36" s="27"/>
      <c r="C36" s="3" t="str">
        <f>+IF(B36="","",INDEX(U_MATERIAL,MATCH(B36,L_MATERIALES,0)))</f>
        <v/>
      </c>
      <c r="D36" s="30"/>
      <c r="E36" s="153" t="str">
        <f>+IF(B36="","",INDEX(V_UNITARIOMATERIAL,MATCH(B36,L_MATERIALES,0)))</f>
        <v/>
      </c>
      <c r="F36" s="30"/>
      <c r="G36" s="26" t="str">
        <f t="shared" si="1"/>
        <v/>
      </c>
      <c r="K36" s="9"/>
      <c r="L36" t="str">
        <f t="shared" si="2"/>
        <v/>
      </c>
      <c r="M36" t="str">
        <f t="shared" si="0"/>
        <v/>
      </c>
      <c r="N36" s="1"/>
      <c r="P36" s="11"/>
    </row>
    <row r="37" spans="2:16" x14ac:dyDescent="0.3">
      <c r="B37" s="27"/>
      <c r="C37" s="3" t="str">
        <f>+IF(B37="","",INDEX(U_MATERIAL,MATCH(B37,L_MATERIALES,0)))</f>
        <v/>
      </c>
      <c r="D37" s="30"/>
      <c r="E37" s="153" t="str">
        <f>+IF(B37="","",INDEX(V_UNITARIOMATERIAL,MATCH(B37,L_MATERIALES,0)))</f>
        <v/>
      </c>
      <c r="F37" s="30"/>
      <c r="G37" s="26" t="str">
        <f t="shared" si="1"/>
        <v/>
      </c>
      <c r="K37" s="9"/>
      <c r="L37" t="str">
        <f t="shared" si="2"/>
        <v/>
      </c>
      <c r="M37" t="str">
        <f t="shared" si="0"/>
        <v/>
      </c>
      <c r="N37" s="1"/>
      <c r="P37" s="11"/>
    </row>
    <row r="38" spans="2:16" x14ac:dyDescent="0.3">
      <c r="B38" s="27"/>
      <c r="C38" s="3" t="str">
        <f>+IF(B38="","",INDEX(U_MATERIAL,MATCH(B38,L_MATERIALES,0)))</f>
        <v/>
      </c>
      <c r="D38" s="30"/>
      <c r="E38" s="153" t="str">
        <f>+IF(B38="","",INDEX(V_UNITARIOMATERIAL,MATCH(B38,L_MATERIALES,0)))</f>
        <v/>
      </c>
      <c r="F38" s="30"/>
      <c r="G38" s="26" t="str">
        <f t="shared" si="1"/>
        <v/>
      </c>
      <c r="K38" s="9"/>
      <c r="L38" t="str">
        <f t="shared" si="2"/>
        <v/>
      </c>
      <c r="M38" t="str">
        <f t="shared" si="0"/>
        <v/>
      </c>
      <c r="N38" s="1"/>
      <c r="P38" s="11"/>
    </row>
    <row r="39" spans="2:16" ht="17.25" thickBot="1" x14ac:dyDescent="0.35">
      <c r="B39" s="9"/>
      <c r="G39" s="49">
        <f>SUM(G31:G38)</f>
        <v>0</v>
      </c>
      <c r="K39" s="9"/>
      <c r="P39" s="11"/>
    </row>
    <row r="40" spans="2:16" ht="17.25" thickBot="1" x14ac:dyDescent="0.35">
      <c r="B40" s="62" t="s">
        <v>288</v>
      </c>
      <c r="G40" s="11"/>
      <c r="K40" s="9"/>
      <c r="P40" s="11"/>
    </row>
    <row r="41" spans="2:16" ht="66" x14ac:dyDescent="0.3">
      <c r="B41" s="61" t="s">
        <v>281</v>
      </c>
      <c r="C41" s="33" t="s">
        <v>282</v>
      </c>
      <c r="D41" s="33" t="s">
        <v>283</v>
      </c>
      <c r="E41" s="33" t="s">
        <v>284</v>
      </c>
      <c r="F41" s="33" t="s">
        <v>286</v>
      </c>
      <c r="G41" s="51" t="s">
        <v>85</v>
      </c>
      <c r="K41" s="9"/>
      <c r="L41" s="42" t="s">
        <v>109</v>
      </c>
      <c r="M41" s="42" t="s">
        <v>107</v>
      </c>
      <c r="N41" s="42" t="s">
        <v>108</v>
      </c>
      <c r="P41" s="11"/>
    </row>
    <row r="42" spans="2:16" x14ac:dyDescent="0.3">
      <c r="B42" s="27"/>
      <c r="C42" s="3" t="str">
        <f>+IF(B42="","",INDEX(U_MAQUINARIA,MATCH(B42,LISTA_MAQUINARIA,0)))</f>
        <v/>
      </c>
      <c r="D42" s="30"/>
      <c r="E42" s="3" t="str">
        <f>+IF(B42="","",INDEX(V_MAQUINARIA,MATCH(B42,LISTA_MAQUINARIA,0)))</f>
        <v/>
      </c>
      <c r="F42" s="3">
        <f>$G$20</f>
        <v>0</v>
      </c>
      <c r="G42" s="26" t="str">
        <f>IF(D42="","",(E42*D42)/F42)</f>
        <v/>
      </c>
      <c r="K42" s="9"/>
      <c r="L42" s="23" t="str">
        <f>IF(B42="","",INDEX(V_COMBUSTIBLE_H,MATCH(B42,LISTA_MAQUINARIA,0)))</f>
        <v/>
      </c>
      <c r="M42" s="23" t="str">
        <f>+IF(L42="","",(L42*D42)/F42)</f>
        <v/>
      </c>
      <c r="N42" s="23" t="str">
        <f>IF(G42="","",G42-M42)</f>
        <v/>
      </c>
      <c r="P42" s="11"/>
    </row>
    <row r="43" spans="2:16" x14ac:dyDescent="0.3">
      <c r="B43" s="27"/>
      <c r="C43" s="3" t="str">
        <f>+IF(B43="","",INDEX(U_MAQUINARIA,MATCH(B43,LISTA_MAQUINARIA,0)))</f>
        <v/>
      </c>
      <c r="D43" s="30"/>
      <c r="E43" s="3" t="str">
        <f>+IF(B43="","",INDEX(V_MAQUINARIA,MATCH(B43,LISTA_MAQUINARIA,0)))</f>
        <v/>
      </c>
      <c r="F43" s="3">
        <f>+$G$20</f>
        <v>0</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3" t="str">
        <f>+IF(B44="","",INDEX(V_MAQUINARIA,MATCH(B44,LISTA_MAQUINARIA,0)))</f>
        <v/>
      </c>
      <c r="F44" s="3">
        <f>+$G$20</f>
        <v>0</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3" t="str">
        <f>+IF(B45="","",INDEX(V_MAQUINARIA,MATCH(B45,LISTA_MAQUINARIA,0)))</f>
        <v/>
      </c>
      <c r="F45" s="3">
        <f>+$G$20</f>
        <v>0</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3" t="str">
        <f>+IF(B46="","",INDEX(V_MAQUINARIA,MATCH(B46,LISTA_MAQUINARIA,0)))</f>
        <v/>
      </c>
      <c r="F46" s="3">
        <f>+$G$20</f>
        <v>0</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0</v>
      </c>
      <c r="K47" s="9"/>
      <c r="M47" s="24">
        <f>SUM(M42:M46)</f>
        <v>0</v>
      </c>
      <c r="N47" s="24">
        <f>SUM(N42:N46)</f>
        <v>0</v>
      </c>
      <c r="P47" s="11"/>
    </row>
    <row r="48" spans="2:16" ht="17.25" thickBot="1" x14ac:dyDescent="0.35">
      <c r="B48" s="64" t="s">
        <v>289</v>
      </c>
      <c r="G48" s="11"/>
      <c r="K48" s="15"/>
      <c r="L48" s="13"/>
      <c r="M48" s="13"/>
      <c r="N48" s="13"/>
      <c r="O48" s="13"/>
      <c r="P48" s="14"/>
    </row>
    <row r="49" spans="2:7" x14ac:dyDescent="0.3">
      <c r="B49" s="63" t="s">
        <v>281</v>
      </c>
      <c r="C49" s="30" t="s">
        <v>282</v>
      </c>
      <c r="D49" s="30" t="s">
        <v>283</v>
      </c>
      <c r="E49" s="30" t="s">
        <v>284</v>
      </c>
      <c r="F49" s="30" t="s">
        <v>286</v>
      </c>
      <c r="G49" s="47" t="s">
        <v>85</v>
      </c>
    </row>
    <row r="50" spans="2:7" x14ac:dyDescent="0.3">
      <c r="B50" s="27"/>
      <c r="C50" s="30"/>
      <c r="D50" s="22" t="str">
        <f>+IF(B50="","",INDEX(F_PRESTACIONAL,MATCH(B50,L_PERSONAL,)))</f>
        <v/>
      </c>
      <c r="E50" s="23" t="str">
        <f>+IF(B50="","",INDEX(V_H_MANODEOBRA,MATCH(B50,L_PERSONAL,0)))</f>
        <v/>
      </c>
      <c r="F50" s="3">
        <f>+$G$20</f>
        <v>0</v>
      </c>
      <c r="G50" s="26" t="str">
        <f>+IF(C50="","",(E50*C50)/F50)</f>
        <v/>
      </c>
    </row>
    <row r="51" spans="2:7" x14ac:dyDescent="0.3">
      <c r="B51" s="27"/>
      <c r="C51" s="30"/>
      <c r="D51" s="22" t="str">
        <f>+IF(B51="","",INDEX(F_PRESTACIONAL,MATCH(B51,L_PERSONAL,)))</f>
        <v/>
      </c>
      <c r="E51" s="23" t="str">
        <f>+IF(B51="","",INDEX(V_H_MANODEOBRA,MATCH(B51,L_PERSONAL,0)))</f>
        <v/>
      </c>
      <c r="F51" s="3">
        <f>+$G$20</f>
        <v>0</v>
      </c>
      <c r="G51" s="26" t="str">
        <f>+IF(C51="","",(E51*C51)/F51)</f>
        <v/>
      </c>
    </row>
    <row r="52" spans="2:7" x14ac:dyDescent="0.3">
      <c r="B52" s="27"/>
      <c r="C52" s="30"/>
      <c r="D52" s="22" t="str">
        <f>+IF(B52="","",INDEX(F_PRESTACIONAL,MATCH(B52,L_PERSONAL,)))</f>
        <v/>
      </c>
      <c r="E52" s="23" t="str">
        <f>+IF(B52="","",INDEX(V_H_MANODEOBRA,MATCH(B52,L_PERSONAL,0)))</f>
        <v/>
      </c>
      <c r="F52" s="3">
        <f>+$G$20</f>
        <v>0</v>
      </c>
      <c r="G52" s="26" t="str">
        <f>+IF(C52="","",(E52*C52)/F52)</f>
        <v/>
      </c>
    </row>
    <row r="53" spans="2:7" x14ac:dyDescent="0.3">
      <c r="B53" s="27"/>
      <c r="C53" s="30"/>
      <c r="D53" s="22" t="str">
        <f>+IF(B53="","",INDEX(F_PRESTACIONAL,MATCH(B53,L_PERSONAL,)))</f>
        <v/>
      </c>
      <c r="E53" s="23" t="str">
        <f>+IF(B53="","",INDEX(V_H_MANODEOBRA,MATCH(B53,L_PERSONAL,0)))</f>
        <v/>
      </c>
      <c r="F53" s="3">
        <f>+$G$20</f>
        <v>0</v>
      </c>
      <c r="G53" s="26" t="str">
        <f>+IF(C53="","",(E53*C53)/F53)</f>
        <v/>
      </c>
    </row>
    <row r="54" spans="2:7" x14ac:dyDescent="0.3">
      <c r="B54" s="27"/>
      <c r="C54" s="30"/>
      <c r="D54" s="22" t="str">
        <f>+IF(B54="","",INDEX(F_PRESTACIONAL,MATCH(B54,L_PERSONAL,)))</f>
        <v/>
      </c>
      <c r="E54" s="23" t="str">
        <f>+IF(B54="","",INDEX(V_H_MANODEOBRA,MATCH(B54,L_PERSONAL,0)))</f>
        <v/>
      </c>
      <c r="F54" s="3">
        <f>+$G$20</f>
        <v>0</v>
      </c>
      <c r="G54" s="26" t="str">
        <f>+IF(C54="","",(E54*C54)/F54)</f>
        <v/>
      </c>
    </row>
    <row r="55" spans="2:7" x14ac:dyDescent="0.3">
      <c r="B55" s="9"/>
      <c r="G55" s="26">
        <f>SUM(G50:G54)</f>
        <v>0</v>
      </c>
    </row>
    <row r="56" spans="2:7" ht="17.25" thickBot="1" x14ac:dyDescent="0.35">
      <c r="B56" s="9"/>
      <c r="G56" s="11"/>
    </row>
    <row r="57" spans="2:7" ht="17.25" thickBot="1" x14ac:dyDescent="0.35">
      <c r="B57" s="610" t="s">
        <v>290</v>
      </c>
      <c r="C57" s="611"/>
      <c r="D57" s="611"/>
      <c r="E57" s="611"/>
      <c r="F57" s="612"/>
      <c r="G57" s="66">
        <f>+G55+G47+G39+G28</f>
        <v>0</v>
      </c>
    </row>
    <row r="58" spans="2:7" x14ac:dyDescent="0.3">
      <c r="B58" s="9"/>
      <c r="G58" s="11"/>
    </row>
    <row r="59" spans="2:7" x14ac:dyDescent="0.3">
      <c r="B59" s="52" t="s">
        <v>291</v>
      </c>
      <c r="G59" s="11"/>
    </row>
    <row r="60" spans="2:7" x14ac:dyDescent="0.3">
      <c r="B60" s="613" t="s">
        <v>292</v>
      </c>
      <c r="C60" s="614"/>
      <c r="D60" s="614"/>
      <c r="E60" s="614"/>
      <c r="F60" s="22">
        <f>+ADMINISTRACION</f>
        <v>0.12</v>
      </c>
      <c r="G60" s="26">
        <f>+$G$57*F60</f>
        <v>0</v>
      </c>
    </row>
    <row r="61" spans="2:7" x14ac:dyDescent="0.3">
      <c r="B61" s="613" t="s">
        <v>293</v>
      </c>
      <c r="C61" s="614"/>
      <c r="D61" s="614"/>
      <c r="E61" s="614"/>
      <c r="F61" s="22">
        <f>+IMPREVISTOS</f>
        <v>0.03</v>
      </c>
      <c r="G61" s="26">
        <f>+$G$57*F61</f>
        <v>0</v>
      </c>
    </row>
    <row r="62" spans="2:7" x14ac:dyDescent="0.3">
      <c r="B62" s="613" t="s">
        <v>294</v>
      </c>
      <c r="C62" s="614"/>
      <c r="D62" s="614"/>
      <c r="E62" s="614"/>
      <c r="F62" s="22">
        <f>+UTILIDAD</f>
        <v>0.05</v>
      </c>
      <c r="G62" s="26">
        <f>+$G$57*F62</f>
        <v>0</v>
      </c>
    </row>
    <row r="63" spans="2:7" x14ac:dyDescent="0.3">
      <c r="B63" s="596" t="s">
        <v>295</v>
      </c>
      <c r="C63" s="597"/>
      <c r="D63" s="597"/>
      <c r="E63" s="597"/>
      <c r="F63" s="597"/>
      <c r="G63" s="53">
        <f>SUM(G60:G62)</f>
        <v>0</v>
      </c>
    </row>
    <row r="64" spans="2:7" ht="17.25" thickBot="1" x14ac:dyDescent="0.35">
      <c r="B64" s="9"/>
      <c r="G64" s="44"/>
    </row>
    <row r="65" spans="2:7" ht="17.25" thickBot="1" x14ac:dyDescent="0.35">
      <c r="B65" s="598" t="s">
        <v>296</v>
      </c>
      <c r="C65" s="599"/>
      <c r="D65" s="599"/>
      <c r="E65" s="599"/>
      <c r="F65" s="600"/>
      <c r="G65" s="65">
        <f>+G63+G57</f>
        <v>0</v>
      </c>
    </row>
    <row r="66" spans="2:7" x14ac:dyDescent="0.3">
      <c r="B66" s="6"/>
      <c r="C66" s="7"/>
      <c r="D66" s="7"/>
      <c r="E66" s="7"/>
      <c r="F66" s="7"/>
      <c r="G66" s="8"/>
    </row>
    <row r="67" spans="2:7" x14ac:dyDescent="0.3">
      <c r="B67" s="9"/>
      <c r="G67" s="11"/>
    </row>
    <row r="68" spans="2:7" x14ac:dyDescent="0.3">
      <c r="B68" s="69" t="s">
        <v>297</v>
      </c>
      <c r="C68" s="67"/>
      <c r="D68" s="67"/>
      <c r="E68" s="67"/>
      <c r="F68" s="67"/>
      <c r="G68" s="70"/>
    </row>
    <row r="69" spans="2:7" x14ac:dyDescent="0.3">
      <c r="B69" s="615"/>
      <c r="C69" s="616"/>
      <c r="D69" s="616"/>
      <c r="E69" s="616"/>
      <c r="F69" s="616"/>
      <c r="G69" s="617"/>
    </row>
    <row r="70" spans="2:7" x14ac:dyDescent="0.3">
      <c r="B70" s="615"/>
      <c r="C70" s="616"/>
      <c r="D70" s="616"/>
      <c r="E70" s="616"/>
      <c r="F70" s="616"/>
      <c r="G70" s="617"/>
    </row>
    <row r="71" spans="2:7" x14ac:dyDescent="0.3">
      <c r="B71" s="615"/>
      <c r="C71" s="616"/>
      <c r="D71" s="616"/>
      <c r="E71" s="616"/>
      <c r="F71" s="616"/>
      <c r="G71" s="617"/>
    </row>
    <row r="72" spans="2:7" ht="17.25" thickBot="1" x14ac:dyDescent="0.35">
      <c r="B72" s="615"/>
      <c r="C72" s="616"/>
      <c r="D72" s="616"/>
      <c r="E72" s="616"/>
      <c r="F72" s="616"/>
      <c r="G72" s="617"/>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23">
    <mergeCell ref="B73:G78"/>
    <mergeCell ref="B15:G15"/>
    <mergeCell ref="B18:E20"/>
    <mergeCell ref="B11:G11"/>
    <mergeCell ref="B63:F63"/>
    <mergeCell ref="B65:F65"/>
    <mergeCell ref="B14:G14"/>
    <mergeCell ref="B16:G17"/>
    <mergeCell ref="B57:F57"/>
    <mergeCell ref="B60:E60"/>
    <mergeCell ref="B61:E61"/>
    <mergeCell ref="B62:E62"/>
    <mergeCell ref="B69:G69"/>
    <mergeCell ref="B70:G70"/>
    <mergeCell ref="B71:G71"/>
    <mergeCell ref="B72:G72"/>
    <mergeCell ref="C12:G13"/>
    <mergeCell ref="B1:G1"/>
    <mergeCell ref="B2:G2"/>
    <mergeCell ref="B3:G3"/>
    <mergeCell ref="B4:G4"/>
    <mergeCell ref="C8:F8"/>
    <mergeCell ref="C9:F9"/>
  </mergeCells>
  <phoneticPr fontId="42" type="noConversion"/>
  <dataValidations count="5">
    <dataValidation type="list" allowBlank="1" showInputMessage="1" showErrorMessage="1" sqref="B23:B27 B42:B46" xr:uid="{2C084AE7-1326-4F5F-AEF2-9A61318762E7}">
      <formula1>LISTA_MAQUINARIA</formula1>
    </dataValidation>
    <dataValidation type="list" allowBlank="1" showInputMessage="1" showErrorMessage="1" sqref="B31:B38" xr:uid="{C669AE3A-6A61-4E43-B4B5-A77AD2254A97}">
      <formula1>L_MATERIALES</formula1>
    </dataValidation>
    <dataValidation type="list" allowBlank="1" showInputMessage="1" showErrorMessage="1" sqref="B50:B54" xr:uid="{B8D5265E-DED3-4DC7-81EF-5B1E42480666}">
      <formula1>L_PERSONAL</formula1>
    </dataValidation>
    <dataValidation type="list" allowBlank="1" showInputMessage="1" showErrorMessage="1" sqref="B13" xr:uid="{9637D9F1-CFC7-41A3-BFAD-591D8AC87CAC}">
      <formula1>ITEM</formula1>
    </dataValidation>
    <dataValidation type="list" allowBlank="1" showInputMessage="1" showErrorMessage="1" sqref="E102" xr:uid="{1F4479AE-A7D9-4D1E-952C-D18410C49ED3}">
      <formula1>$A$103:$A$105</formula1>
    </dataValidation>
  </dataValidations>
  <pageMargins left="0.7" right="0.7" top="0.75" bottom="0.75" header="0.3" footer="0.3"/>
  <drawing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57156F-EF55-45CD-9B9F-0330BFBAE09E}">
  <sheetPr codeName="Hoja12"/>
  <dimension ref="A1:P106"/>
  <sheetViews>
    <sheetView showGridLines="0" view="pageBreakPreview" topLeftCell="A34" zoomScale="162" zoomScaleNormal="70" workbookViewId="0"/>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8" max="8" width="12.125" bestFit="1" customWidth="1"/>
    <col min="9" max="10" width="8.625" customWidth="1"/>
    <col min="11" max="11" width="11.375" customWidth="1"/>
    <col min="12" max="13" width="17.375" customWidth="1"/>
    <col min="14" max="14" width="30.375" bestFit="1"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1</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18" t="str">
        <f>+IF($B$13="","",INDEX(DESCRIP_ITEM,MATCH($B$13,ITEM,0)))</f>
        <v xml:space="preserve">Movilización, instalación campamento </v>
      </c>
      <c r="C16" s="619"/>
      <c r="D16" s="619"/>
      <c r="E16" s="619"/>
      <c r="F16" s="619"/>
      <c r="G16" s="620"/>
    </row>
    <row r="17" spans="2:16" ht="44.25" customHeight="1" thickBot="1" x14ac:dyDescent="0.35">
      <c r="B17" s="621"/>
      <c r="C17" s="622"/>
      <c r="D17" s="622"/>
      <c r="E17" s="622"/>
      <c r="F17" s="622"/>
      <c r="G17" s="623"/>
    </row>
    <row r="18" spans="2:16" ht="17.25" thickBot="1" x14ac:dyDescent="0.35">
      <c r="B18" s="591"/>
      <c r="C18" s="579"/>
      <c r="D18" s="579"/>
      <c r="E18" s="579"/>
      <c r="G18" s="11"/>
    </row>
    <row r="19" spans="2:16" ht="17.25" thickBot="1" x14ac:dyDescent="0.35">
      <c r="B19" s="592"/>
      <c r="C19" s="593"/>
      <c r="D19" s="593"/>
      <c r="E19" s="593"/>
      <c r="F19" s="54" t="s">
        <v>89</v>
      </c>
      <c r="G19" s="25" t="str">
        <f>+IF(B13="","",INDEX(U_ITEM,MATCH(B13,ITEM,0)))</f>
        <v>GLB</v>
      </c>
    </row>
    <row r="20" spans="2:16" ht="17.25" thickBot="1" x14ac:dyDescent="0.35">
      <c r="B20" s="592"/>
      <c r="C20" s="593"/>
      <c r="D20" s="593"/>
      <c r="E20" s="593"/>
      <c r="F20" s="55" t="s">
        <v>90</v>
      </c>
      <c r="G20" s="56">
        <v>1</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c r="C23" s="3" t="str">
        <f>+IF(B23="","",INDEX(U_MAQUINARIA,MATCH(B23,LISTA_MAQUINARIA,0)))</f>
        <v/>
      </c>
      <c r="D23" s="30"/>
      <c r="E23" s="23" t="str">
        <f>+IF(B23="","",INDEX(V_MAQUINARIA,MATCH(B23,LISTA_MAQUINARIA,0)))</f>
        <v/>
      </c>
      <c r="F23" s="3">
        <f>$G$20</f>
        <v>1</v>
      </c>
      <c r="G23" s="26" t="str">
        <f>+IF(B23="","",(D23*E23)/F23)</f>
        <v/>
      </c>
      <c r="H23" s="1"/>
      <c r="K23" s="9"/>
      <c r="L23" s="23" t="str">
        <f>IF(B23="","",INDEX(V_COMBUSTIBLE_H,MATCH(B23,LISTA_MAQUINARIA,0)))</f>
        <v/>
      </c>
      <c r="M23" s="23" t="str">
        <f>+IF(L23="","",(L23*D23)/F23)</f>
        <v/>
      </c>
      <c r="N23" s="23" t="str">
        <f>IF(G23="","",G23-M23)</f>
        <v/>
      </c>
      <c r="P23" s="11"/>
    </row>
    <row r="24" spans="2:16" x14ac:dyDescent="0.3">
      <c r="B24" s="27"/>
      <c r="C24" s="3" t="str">
        <f>+IF(B24="","",INDEX(U_MAQUINARIA,MATCH(B24,LISTA_MAQUINARIA,0)))</f>
        <v/>
      </c>
      <c r="D24" s="30"/>
      <c r="E24" s="23" t="str">
        <f>+IF(B24="","",INDEX(V_MAQUINARIA,MATCH(B24,LISTA_MAQUINARIA,0)))</f>
        <v/>
      </c>
      <c r="F24" s="3">
        <f>$G$20</f>
        <v>1</v>
      </c>
      <c r="G24" s="26" t="str">
        <f>+IF(B24="","",(D24*E24)/F24)</f>
        <v/>
      </c>
      <c r="K24" s="9"/>
      <c r="L24" s="3" t="str">
        <f>IF(B24="","",INDEX(V_COMBUSTIBLE_H,MATCH(B24,LISTA_MAQUINARIA,0)))</f>
        <v/>
      </c>
      <c r="M24" s="3" t="str">
        <f>+IF(L24="","",(L24*D24)/F24)</f>
        <v/>
      </c>
      <c r="N24" s="3" t="str">
        <f>IF(G24="","",G24-M24)</f>
        <v/>
      </c>
      <c r="P24" s="11"/>
    </row>
    <row r="25" spans="2:16" x14ac:dyDescent="0.3">
      <c r="B25" s="27"/>
      <c r="C25" s="3" t="str">
        <f>+IF(B25="","",INDEX(U_MAQUINARIA,MATCH(B25,LISTA_MAQUINARIA,0)))</f>
        <v/>
      </c>
      <c r="D25" s="30"/>
      <c r="E25" s="23" t="str">
        <f>+IF(B25="","",INDEX(V_MAQUINARIA,MATCH(B25,LISTA_MAQUINARIA,0)))</f>
        <v/>
      </c>
      <c r="F25" s="3">
        <f>$G$20</f>
        <v>1</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1</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1</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0</v>
      </c>
      <c r="K28" s="9"/>
      <c r="M28" s="24">
        <f>SUM(M23:M27)</f>
        <v>0</v>
      </c>
      <c r="N28" s="24">
        <f>SUM(N23:N27)</f>
        <v>0</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t="s">
        <v>361</v>
      </c>
      <c r="C31" s="3" t="str">
        <f t="shared" ref="C31:C38" si="0">+IF(B31="","",INDEX(U_MATERIAL,MATCH(B31,L_MATERIALES,0)))</f>
        <v>UND</v>
      </c>
      <c r="D31" s="30">
        <v>10</v>
      </c>
      <c r="E31" s="23">
        <f t="shared" ref="E31:E38" si="1">+IF(B31="","",INDEX(V_UNITARIOMATERIAL,MATCH(B31,L_MATERIALES,0)))</f>
        <v>340000</v>
      </c>
      <c r="F31" s="30">
        <v>1</v>
      </c>
      <c r="G31" s="26">
        <f>IF(D31="","",(E31*D31)/F31)</f>
        <v>3400000</v>
      </c>
      <c r="K31" s="9"/>
      <c r="L31" t="str">
        <f>+IF(B31="","",B31)</f>
        <v>HERRAMIENTA MENOR---</v>
      </c>
      <c r="M31">
        <f t="shared" ref="M31:M38" si="2">IF(D31="","",(D31/F31)*INDEX(CANT_PROYECTO,MATCH($B$13,ITEM,0)))</f>
        <v>10</v>
      </c>
      <c r="N31" s="1"/>
      <c r="P31" s="11"/>
    </row>
    <row r="32" spans="2:16" x14ac:dyDescent="0.3">
      <c r="B32" s="27"/>
      <c r="C32" s="3" t="str">
        <f t="shared" si="0"/>
        <v/>
      </c>
      <c r="D32" s="30"/>
      <c r="E32" s="23" t="str">
        <f t="shared" si="1"/>
        <v/>
      </c>
      <c r="F32" s="30"/>
      <c r="G32" s="26" t="str">
        <f t="shared" ref="G32:G38" si="3">IF(D32="","",(E32*D32)/F32)</f>
        <v/>
      </c>
      <c r="K32" s="9"/>
      <c r="L32" t="str">
        <f t="shared" ref="L32:L38" si="4">+IF(B32="","",B32)</f>
        <v/>
      </c>
      <c r="M32" t="str">
        <f t="shared" si="2"/>
        <v/>
      </c>
      <c r="N32" s="1"/>
      <c r="P32" s="11"/>
    </row>
    <row r="33" spans="2:16" x14ac:dyDescent="0.3">
      <c r="B33" s="27"/>
      <c r="C33" s="3" t="str">
        <f t="shared" si="0"/>
        <v/>
      </c>
      <c r="D33" s="30"/>
      <c r="E33" s="23" t="str">
        <f t="shared" si="1"/>
        <v/>
      </c>
      <c r="F33" s="30"/>
      <c r="G33" s="26" t="str">
        <f t="shared" si="3"/>
        <v/>
      </c>
      <c r="K33" s="9"/>
      <c r="L33" t="str">
        <f t="shared" si="4"/>
        <v/>
      </c>
      <c r="M33" t="str">
        <f t="shared" si="2"/>
        <v/>
      </c>
      <c r="N33" s="1"/>
      <c r="P33" s="11"/>
    </row>
    <row r="34" spans="2:16" x14ac:dyDescent="0.3">
      <c r="B34" s="27"/>
      <c r="C34" s="3" t="str">
        <f t="shared" si="0"/>
        <v/>
      </c>
      <c r="D34" s="30"/>
      <c r="E34" s="23" t="str">
        <f t="shared" si="1"/>
        <v/>
      </c>
      <c r="F34" s="30"/>
      <c r="G34" s="26" t="str">
        <f t="shared" si="3"/>
        <v/>
      </c>
      <c r="K34" s="9"/>
      <c r="L34" t="str">
        <f t="shared" si="4"/>
        <v/>
      </c>
      <c r="M34" t="str">
        <f t="shared" si="2"/>
        <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3400000</v>
      </c>
      <c r="K39" s="9"/>
      <c r="P39" s="11"/>
    </row>
    <row r="40" spans="2:16" ht="17.25" thickBot="1" x14ac:dyDescent="0.35">
      <c r="B40" s="62" t="s">
        <v>94</v>
      </c>
      <c r="G40" s="11"/>
      <c r="K40" s="9"/>
      <c r="P40" s="11"/>
    </row>
    <row r="41" spans="2:16" ht="49.5"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t="s">
        <v>457</v>
      </c>
      <c r="C42" s="3" t="str">
        <f>+IF(B42="","",INDEX(U_MAQUINARIA,MATCH(B42,LISTA_MAQUINARIA,0)))</f>
        <v>und</v>
      </c>
      <c r="D42" s="30">
        <v>54</v>
      </c>
      <c r="E42" s="23">
        <f>+IF(B42="","",INDEX(V_MAQUINARIA,MATCH(B42,LISTA_MAQUINARIA,0)))</f>
        <v>4800000</v>
      </c>
      <c r="F42" s="3">
        <f>+$G$20</f>
        <v>1</v>
      </c>
      <c r="G42" s="26">
        <f>IF(D42="","",(E42*D42)/F42)</f>
        <v>259200000</v>
      </c>
      <c r="H42" s="1"/>
      <c r="K42" s="9"/>
      <c r="L42" s="23">
        <f>IF(B42="","",INDEX(V_COMBUSTIBLE_H,MATCH(B42,LISTA_MAQUINARIA,0)))</f>
        <v>0</v>
      </c>
      <c r="M42" s="23">
        <f>+IF(L42="","",(L42*D42)/F42)</f>
        <v>0</v>
      </c>
      <c r="N42" s="23">
        <f>IF(G42="","",G42-M42)</f>
        <v>259200000</v>
      </c>
      <c r="P42" s="11"/>
    </row>
    <row r="43" spans="2:16" x14ac:dyDescent="0.3">
      <c r="B43" s="27" t="s">
        <v>460</v>
      </c>
      <c r="C43" s="3" t="str">
        <f>+IF(B43="","",INDEX(U_MAQUINARIA,MATCH(B43,LISTA_MAQUINARIA,0)))</f>
        <v>persona</v>
      </c>
      <c r="D43" s="30">
        <v>22</v>
      </c>
      <c r="E43" s="23">
        <f>+IF(B43="","",INDEX(V_MAQUINARIA,MATCH(B43,LISTA_MAQUINARIA,0)))</f>
        <v>3950000</v>
      </c>
      <c r="F43" s="3">
        <f>+$G$20</f>
        <v>1</v>
      </c>
      <c r="G43" s="26">
        <f>IF(D43="","",(E43*D43)/F43)</f>
        <v>86900000</v>
      </c>
      <c r="K43" s="9"/>
      <c r="L43" s="23">
        <f>IF(B43="","",INDEX(V_COMBUSTIBLE_H,MATCH(B43,LISTA_MAQUINARIA,0)))</f>
        <v>0</v>
      </c>
      <c r="M43" s="23">
        <f>+IF(L43="","",(L43*D43)/F43)</f>
        <v>0</v>
      </c>
      <c r="N43" s="23">
        <f>IF(G43="","",G43-M43)</f>
        <v>86900000</v>
      </c>
      <c r="P43" s="11"/>
    </row>
    <row r="44" spans="2:16" x14ac:dyDescent="0.3">
      <c r="B44" s="27"/>
      <c r="C44" s="3" t="str">
        <f>+IF(B44="","",INDEX(U_MAQUINARIA,MATCH(B44,LISTA_MAQUINARIA,0)))</f>
        <v/>
      </c>
      <c r="D44" s="30"/>
      <c r="E44" s="23" t="str">
        <f>+IF(B44="","",INDEX(V_MAQUINARIA,MATCH(B44,LISTA_MAQUINARIA,0)))</f>
        <v/>
      </c>
      <c r="F44" s="3">
        <f>+$G$20</f>
        <v>1</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1</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1</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346100000</v>
      </c>
      <c r="K47" s="9"/>
      <c r="M47" s="24">
        <f>SUM(M42:M46)</f>
        <v>0</v>
      </c>
      <c r="N47" s="24">
        <f>SUM(N42:N46)</f>
        <v>346100000</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c r="C50" s="30"/>
      <c r="D50" s="22" t="str">
        <f t="shared" ref="D50:D55" si="5">+IF(B50="","",INDEX(F_PRESTACIONAL,MATCH(B50,L_PERSONAL,)))</f>
        <v/>
      </c>
      <c r="E50" s="23" t="str">
        <f t="shared" ref="E50:E55" si="6">+IF(B50="","",INDEX(V_H_MANODEOBRA,MATCH(B50,L_PERSONAL,0)))</f>
        <v/>
      </c>
      <c r="F50" s="3">
        <f t="shared" ref="F50:F55" si="7">+$G$20</f>
        <v>1</v>
      </c>
      <c r="G50" s="26" t="str">
        <f t="shared" ref="G50:G55" si="8">+IF(C50="","",(E50*C50)/F50)</f>
        <v/>
      </c>
    </row>
    <row r="51" spans="2:7" x14ac:dyDescent="0.3">
      <c r="B51" s="27"/>
      <c r="C51" s="30"/>
      <c r="D51" s="22" t="str">
        <f t="shared" si="5"/>
        <v/>
      </c>
      <c r="E51" s="23" t="str">
        <f t="shared" si="6"/>
        <v/>
      </c>
      <c r="F51" s="3">
        <f t="shared" si="7"/>
        <v>1</v>
      </c>
      <c r="G51" s="26" t="str">
        <f t="shared" si="8"/>
        <v/>
      </c>
    </row>
    <row r="52" spans="2:7" x14ac:dyDescent="0.3">
      <c r="B52" s="27"/>
      <c r="C52" s="30"/>
      <c r="D52" s="22" t="str">
        <f t="shared" si="5"/>
        <v/>
      </c>
      <c r="E52" s="23" t="str">
        <f t="shared" si="6"/>
        <v/>
      </c>
      <c r="F52" s="3">
        <f t="shared" si="7"/>
        <v>1</v>
      </c>
      <c r="G52" s="26" t="str">
        <f t="shared" si="8"/>
        <v/>
      </c>
    </row>
    <row r="53" spans="2:7" x14ac:dyDescent="0.3">
      <c r="B53" s="27"/>
      <c r="C53" s="30"/>
      <c r="D53" s="22" t="str">
        <f t="shared" si="5"/>
        <v/>
      </c>
      <c r="E53" s="23" t="str">
        <f t="shared" si="6"/>
        <v/>
      </c>
      <c r="F53" s="3">
        <f t="shared" si="7"/>
        <v>1</v>
      </c>
      <c r="G53" s="26" t="str">
        <f t="shared" si="8"/>
        <v/>
      </c>
    </row>
    <row r="54" spans="2:7" x14ac:dyDescent="0.3">
      <c r="B54" s="27"/>
      <c r="C54" s="30"/>
      <c r="D54" s="22" t="str">
        <f t="shared" si="5"/>
        <v/>
      </c>
      <c r="E54" s="23" t="str">
        <f t="shared" si="6"/>
        <v/>
      </c>
      <c r="F54" s="3">
        <f t="shared" si="7"/>
        <v>1</v>
      </c>
      <c r="G54" s="26" t="str">
        <f t="shared" si="8"/>
        <v/>
      </c>
    </row>
    <row r="55" spans="2:7" x14ac:dyDescent="0.3">
      <c r="B55" s="27"/>
      <c r="C55" s="30"/>
      <c r="D55" s="22" t="str">
        <f t="shared" si="5"/>
        <v/>
      </c>
      <c r="E55" s="23" t="str">
        <f t="shared" si="6"/>
        <v/>
      </c>
      <c r="F55" s="3">
        <f t="shared" si="7"/>
        <v>1</v>
      </c>
      <c r="G55" s="26" t="str">
        <f t="shared" si="8"/>
        <v/>
      </c>
    </row>
    <row r="56" spans="2:7" x14ac:dyDescent="0.3">
      <c r="B56" s="9"/>
      <c r="G56" s="26">
        <f>SUM(G50:G55)</f>
        <v>0</v>
      </c>
    </row>
    <row r="57" spans="2:7" ht="17.25" thickBot="1" x14ac:dyDescent="0.35">
      <c r="B57" s="9"/>
      <c r="G57" s="11"/>
    </row>
    <row r="58" spans="2:7" ht="17.25" thickBot="1" x14ac:dyDescent="0.35">
      <c r="B58" s="610" t="s">
        <v>98</v>
      </c>
      <c r="C58" s="611"/>
      <c r="D58" s="611"/>
      <c r="E58" s="611"/>
      <c r="F58" s="612"/>
      <c r="G58" s="66">
        <f>+G56+G47+G39+G28</f>
        <v>349500000</v>
      </c>
    </row>
    <row r="59" spans="2:7" x14ac:dyDescent="0.3">
      <c r="B59" s="9"/>
      <c r="G59" s="11"/>
    </row>
    <row r="60" spans="2:7" x14ac:dyDescent="0.3">
      <c r="B60" s="52" t="s">
        <v>122</v>
      </c>
      <c r="G60" s="11"/>
    </row>
    <row r="61" spans="2:7" x14ac:dyDescent="0.3">
      <c r="B61" s="613" t="s">
        <v>99</v>
      </c>
      <c r="C61" s="614"/>
      <c r="D61" s="614"/>
      <c r="E61" s="614"/>
      <c r="F61" s="22">
        <f>+ADMINISTRACION</f>
        <v>0.12</v>
      </c>
      <c r="G61" s="26">
        <f>+$G$58*F61</f>
        <v>41940000</v>
      </c>
    </row>
    <row r="62" spans="2:7" x14ac:dyDescent="0.3">
      <c r="B62" s="613" t="s">
        <v>86</v>
      </c>
      <c r="C62" s="614"/>
      <c r="D62" s="614"/>
      <c r="E62" s="614"/>
      <c r="F62" s="22">
        <f>+IMPREVISTOS</f>
        <v>0.03</v>
      </c>
      <c r="G62" s="26">
        <f>+$G$58*F62</f>
        <v>10485000</v>
      </c>
    </row>
    <row r="63" spans="2:7" x14ac:dyDescent="0.3">
      <c r="B63" s="613" t="s">
        <v>87</v>
      </c>
      <c r="C63" s="614"/>
      <c r="D63" s="614"/>
      <c r="E63" s="614"/>
      <c r="F63" s="22">
        <f>+UTILIDAD</f>
        <v>0.05</v>
      </c>
      <c r="G63" s="26">
        <f>+$G$58*F63</f>
        <v>17475000</v>
      </c>
    </row>
    <row r="64" spans="2:7" x14ac:dyDescent="0.3">
      <c r="B64" s="596" t="s">
        <v>100</v>
      </c>
      <c r="C64" s="597"/>
      <c r="D64" s="597"/>
      <c r="E64" s="597"/>
      <c r="F64" s="597"/>
      <c r="G64" s="53">
        <f>SUM(G61:G63)</f>
        <v>69900000</v>
      </c>
    </row>
    <row r="65" spans="2:7" ht="17.25" thickBot="1" x14ac:dyDescent="0.35">
      <c r="B65" s="9"/>
      <c r="G65" s="44"/>
    </row>
    <row r="66" spans="2:7" ht="17.25" thickBot="1" x14ac:dyDescent="0.35">
      <c r="B66" s="598" t="s">
        <v>101</v>
      </c>
      <c r="C66" s="599"/>
      <c r="D66" s="599"/>
      <c r="E66" s="599"/>
      <c r="F66" s="600"/>
      <c r="G66" s="65">
        <f>+G64+G58</f>
        <v>419400000</v>
      </c>
    </row>
    <row r="67" spans="2:7" x14ac:dyDescent="0.3">
      <c r="B67" s="6"/>
      <c r="C67" s="7"/>
      <c r="D67" s="7"/>
      <c r="E67" s="7"/>
      <c r="F67" s="7"/>
      <c r="G67" s="8"/>
    </row>
    <row r="68" spans="2:7" x14ac:dyDescent="0.3">
      <c r="B68" s="9"/>
      <c r="G68" s="11"/>
    </row>
    <row r="69" spans="2:7" x14ac:dyDescent="0.3">
      <c r="B69" s="69" t="s">
        <v>123</v>
      </c>
      <c r="C69" s="67"/>
      <c r="D69" s="67"/>
      <c r="E69" s="67"/>
      <c r="F69" s="67"/>
      <c r="G69" s="70"/>
    </row>
    <row r="70" spans="2:7" x14ac:dyDescent="0.3">
      <c r="B70" s="71"/>
      <c r="C70" s="67"/>
      <c r="D70" s="67"/>
      <c r="E70" s="67"/>
      <c r="F70" s="67"/>
      <c r="G70" s="70"/>
    </row>
    <row r="71" spans="2:7" x14ac:dyDescent="0.3">
      <c r="B71" s="72"/>
      <c r="C71" s="68"/>
      <c r="D71" s="68"/>
      <c r="E71" s="68"/>
      <c r="F71" s="68"/>
      <c r="G71" s="73"/>
    </row>
    <row r="72" spans="2:7" x14ac:dyDescent="0.3">
      <c r="B72" s="71"/>
      <c r="C72" s="67"/>
      <c r="D72" s="67"/>
      <c r="E72" s="67"/>
      <c r="F72" s="67"/>
      <c r="G72" s="70"/>
    </row>
    <row r="73" spans="2:7" ht="17.25" thickBot="1" x14ac:dyDescent="0.35">
      <c r="B73" s="15"/>
      <c r="C73" s="13"/>
      <c r="D73" s="13"/>
      <c r="E73" s="13"/>
      <c r="F73" s="13"/>
      <c r="G73" s="14"/>
    </row>
    <row r="74" spans="2:7" x14ac:dyDescent="0.3">
      <c r="B74" s="591"/>
      <c r="C74" s="579"/>
      <c r="D74" s="579"/>
      <c r="E74" s="579"/>
      <c r="F74" s="579"/>
      <c r="G74" s="580"/>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x14ac:dyDescent="0.3">
      <c r="B78" s="592"/>
      <c r="C78" s="593"/>
      <c r="D78" s="593"/>
      <c r="E78" s="593"/>
      <c r="F78" s="593"/>
      <c r="G78" s="594"/>
    </row>
    <row r="79" spans="2:7" ht="17.25" thickBot="1" x14ac:dyDescent="0.35">
      <c r="B79" s="595"/>
      <c r="C79" s="581"/>
      <c r="D79" s="581"/>
      <c r="E79" s="581"/>
      <c r="F79" s="581"/>
      <c r="G79" s="582"/>
    </row>
    <row r="104" spans="1:1" ht="112.5" customHeight="1" x14ac:dyDescent="0.3">
      <c r="A104" s="45"/>
    </row>
    <row r="105" spans="1:1" ht="112.5" customHeight="1" x14ac:dyDescent="0.3">
      <c r="A105" s="45"/>
    </row>
    <row r="106" spans="1:1" ht="67.5" customHeight="1" x14ac:dyDescent="0.3">
      <c r="A106" t="s">
        <v>130</v>
      </c>
    </row>
  </sheetData>
  <mergeCells count="17">
    <mergeCell ref="B61:E61"/>
    <mergeCell ref="B1:G1"/>
    <mergeCell ref="B2:G2"/>
    <mergeCell ref="B3:G3"/>
    <mergeCell ref="B4:G4"/>
    <mergeCell ref="B11:G11"/>
    <mergeCell ref="C12:G13"/>
    <mergeCell ref="B14:G14"/>
    <mergeCell ref="B15:G15"/>
    <mergeCell ref="B16:G17"/>
    <mergeCell ref="B18:E20"/>
    <mergeCell ref="B58:F58"/>
    <mergeCell ref="B62:E62"/>
    <mergeCell ref="B63:E63"/>
    <mergeCell ref="B64:F64"/>
    <mergeCell ref="B66:F66"/>
    <mergeCell ref="B74:G79"/>
  </mergeCells>
  <phoneticPr fontId="42" type="noConversion"/>
  <dataValidations count="5">
    <dataValidation type="list" allowBlank="1" showInputMessage="1" showErrorMessage="1" sqref="E103" xr:uid="{09C8406F-9325-4865-8405-C158BD96F89B}">
      <formula1>$A$104:$A$106</formula1>
    </dataValidation>
    <dataValidation type="list" allowBlank="1" showInputMessage="1" showErrorMessage="1" sqref="B13" xr:uid="{9047B3B2-5697-4201-AD2E-8BBA7D9E18BD}">
      <formula1>ITEM</formula1>
    </dataValidation>
    <dataValidation type="list" allowBlank="1" showInputMessage="1" showErrorMessage="1" sqref="B55 B50:B54" xr:uid="{7EDD86D0-2C03-4E70-ACF0-110F49038FB9}">
      <formula1>L_PERSONAL</formula1>
    </dataValidation>
    <dataValidation type="list" allowBlank="1" showInputMessage="1" showErrorMessage="1" sqref="B31:B38" xr:uid="{ABBA4ECA-03B0-4645-9D79-DE4F80D65853}">
      <formula1>L_MATERIALES</formula1>
    </dataValidation>
    <dataValidation type="list" allowBlank="1" showInputMessage="1" showErrorMessage="1" sqref="B23:B27 B42:B46" xr:uid="{769E6D1C-3053-4429-A004-3E5CFAABA6A5}">
      <formula1>LISTA_MAQUINARIA</formula1>
    </dataValidation>
  </dataValidations>
  <pageMargins left="0.70866141732283472" right="0.70866141732283472" top="0.74803149606299213" bottom="0.74803149606299213" header="0.31496062992125984" footer="0.31496062992125984"/>
  <pageSetup scale="50" orientation="portrait" r:id="rId1"/>
  <rowBreaks count="1" manualBreakCount="1">
    <brk id="73" max="16383" man="1"/>
  </rowBreaks>
  <colBreaks count="1" manualBreakCount="1">
    <brk id="7" max="1048575" man="1"/>
  </colBreaks>
  <drawing r:id="rId2"/>
  <tableParts count="1">
    <tablePart r:id="rId3"/>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49D27-E053-4841-AE39-51B75D592556}">
  <sheetPr codeName="Hoja13"/>
  <dimension ref="A1:P105"/>
  <sheetViews>
    <sheetView showGridLines="0" view="pageBreakPreview" zoomScale="150" zoomScaleNormal="25" workbookViewId="0">
      <selection activeCell="G21" sqref="G21"/>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2</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18" t="str">
        <f>+IF($B$13="","",INDEX(DESCRIP_ITEM,MATCH($B$13,ITEM,0)))</f>
        <v>Localizacion Topografica del sistema de Hincas</v>
      </c>
      <c r="C16" s="619"/>
      <c r="D16" s="619"/>
      <c r="E16" s="619"/>
      <c r="F16" s="619"/>
      <c r="G16" s="620"/>
    </row>
    <row r="17" spans="2:16" ht="44.25" customHeight="1" thickBot="1" x14ac:dyDescent="0.35">
      <c r="B17" s="621"/>
      <c r="C17" s="622"/>
      <c r="D17" s="622"/>
      <c r="E17" s="622"/>
      <c r="F17" s="622"/>
      <c r="G17" s="623"/>
    </row>
    <row r="18" spans="2:16" ht="17.25" thickBot="1" x14ac:dyDescent="0.35">
      <c r="B18" s="591"/>
      <c r="C18" s="579"/>
      <c r="D18" s="579"/>
      <c r="E18" s="579"/>
      <c r="G18" s="11"/>
    </row>
    <row r="19" spans="2:16" ht="17.25" thickBot="1" x14ac:dyDescent="0.35">
      <c r="B19" s="592"/>
      <c r="C19" s="593"/>
      <c r="D19" s="593"/>
      <c r="E19" s="593"/>
      <c r="F19" s="54" t="s">
        <v>89</v>
      </c>
      <c r="G19" s="25" t="str">
        <f>+IF(B13="","",INDEX(U_ITEM,MATCH(B13,ITEM,0)))</f>
        <v>UND</v>
      </c>
    </row>
    <row r="20" spans="2:16" ht="17.25" thickBot="1" x14ac:dyDescent="0.35">
      <c r="B20" s="592"/>
      <c r="C20" s="593"/>
      <c r="D20" s="593"/>
      <c r="E20" s="593"/>
      <c r="F20" s="55" t="s">
        <v>90</v>
      </c>
      <c r="G20" s="56">
        <f>+(10795/45)/8</f>
        <v>29.986111111111111</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t="s">
        <v>368</v>
      </c>
      <c r="C23" s="3" t="str">
        <f>+IF(B23="","",INDEX(U_MAQUINARIA,MATCH(B23,LISTA_MAQUINARIA,0)))</f>
        <v>VALOR / HORA</v>
      </c>
      <c r="D23" s="30">
        <v>1</v>
      </c>
      <c r="E23" s="23">
        <f>+IF(B23="","",INDEX(V_MAQUINARIA,MATCH(B23,LISTA_MAQUINARIA,0)))</f>
        <v>58531.818181818184</v>
      </c>
      <c r="F23" s="3">
        <f>$G$20</f>
        <v>29.986111111111111</v>
      </c>
      <c r="G23" s="26">
        <f>+IF(B23="","",(D23*E23)/F23)</f>
        <v>1951.9642932333993</v>
      </c>
      <c r="K23" s="9"/>
      <c r="L23" s="23">
        <f>IF(B23="","",INDEX(V_COMBUSTIBLE_H,MATCH(B23,LISTA_MAQUINARIA,0)))</f>
        <v>21600</v>
      </c>
      <c r="M23" s="23">
        <f>+IF(L23="","",(L23*D23)/F23)</f>
        <v>720.33348772579905</v>
      </c>
      <c r="N23" s="23">
        <f>IF(G23="","",G23-M23)</f>
        <v>1231.6308055076001</v>
      </c>
      <c r="P23" s="11"/>
    </row>
    <row r="24" spans="2:16" x14ac:dyDescent="0.3">
      <c r="B24" s="27"/>
      <c r="C24" s="3" t="str">
        <f>+IF(B24="","",INDEX(U_MAQUINARIA,MATCH(B24,LISTA_MAQUINARIA,0)))</f>
        <v/>
      </c>
      <c r="D24" s="30"/>
      <c r="E24" s="23" t="str">
        <f>+IF(B24="","",INDEX(V_MAQUINARIA,MATCH(B24,LISTA_MAQUINARIA,0)))</f>
        <v/>
      </c>
      <c r="F24" s="3">
        <f>$G$20</f>
        <v>29.986111111111111</v>
      </c>
      <c r="G24" s="26" t="str">
        <f>+IF(B24="","",(D24*E24)/F24)</f>
        <v/>
      </c>
      <c r="K24" s="9"/>
      <c r="L24" s="3" t="str">
        <f>IF(B24="","",INDEX(V_COMBUSTIBLE_H,MATCH(B24,LISTA_MAQUINARIA,0)))</f>
        <v/>
      </c>
      <c r="M24" s="3" t="str">
        <f>+IF(L24="","",(L24*D24)/F24)</f>
        <v/>
      </c>
      <c r="N24" s="3" t="str">
        <f>IF(G24="","",G24-M24)</f>
        <v/>
      </c>
      <c r="P24" s="11"/>
    </row>
    <row r="25" spans="2:16" x14ac:dyDescent="0.3">
      <c r="B25" s="27"/>
      <c r="C25" s="3" t="str">
        <f>+IF(B25="","",INDEX(U_MAQUINARIA,MATCH(B25,LISTA_MAQUINARIA,0)))</f>
        <v/>
      </c>
      <c r="D25" s="30"/>
      <c r="E25" s="23" t="str">
        <f>+IF(B25="","",INDEX(V_MAQUINARIA,MATCH(B25,LISTA_MAQUINARIA,0)))</f>
        <v/>
      </c>
      <c r="F25" s="3">
        <f>$G$20</f>
        <v>29.986111111111111</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29.986111111111111</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29.986111111111111</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1951.9642932333993</v>
      </c>
      <c r="K28" s="9"/>
      <c r="M28" s="24">
        <f>SUM(M23:M27)</f>
        <v>720.33348772579905</v>
      </c>
      <c r="N28" s="24">
        <f>SUM(N23:N27)</f>
        <v>1231.6308055076001</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t="s">
        <v>361</v>
      </c>
      <c r="C31" s="3" t="str">
        <f t="shared" ref="C31:C38" si="0">+IF(B31="","",INDEX(U_MATERIAL,MATCH(B31,L_MATERIALES,0)))</f>
        <v>UND</v>
      </c>
      <c r="D31" s="30">
        <v>4</v>
      </c>
      <c r="E31" s="23">
        <f t="shared" ref="E31:E38" si="1">+IF(B31="","",INDEX(V_UNITARIOMATERIAL,MATCH(B31,L_MATERIALES,0)))</f>
        <v>340000</v>
      </c>
      <c r="F31" s="30">
        <v>6000</v>
      </c>
      <c r="G31" s="26">
        <f>IF(D31="","",(E31*D31)/F31)</f>
        <v>226.66666666666666</v>
      </c>
      <c r="K31" s="9"/>
      <c r="L31" t="str">
        <f>+IF(B31="","",B31)</f>
        <v>HERRAMIENTA MENOR---</v>
      </c>
      <c r="M31">
        <f t="shared" ref="M31:M38" si="2">IF(D31="","",(D31/F31)*INDEX(CANT_PROYECTO,MATCH($B$13,ITEM,0)))</f>
        <v>19.190666666666665</v>
      </c>
      <c r="N31" s="1"/>
      <c r="P31" s="11"/>
    </row>
    <row r="32" spans="2:16" x14ac:dyDescent="0.3">
      <c r="B32" s="27" t="s">
        <v>462</v>
      </c>
      <c r="C32" s="3" t="str">
        <f t="shared" si="0"/>
        <v>und</v>
      </c>
      <c r="D32" s="30">
        <v>1</v>
      </c>
      <c r="E32" s="23">
        <f t="shared" si="1"/>
        <v>2040.8333333333351</v>
      </c>
      <c r="F32" s="30">
        <v>1</v>
      </c>
      <c r="G32" s="26">
        <f t="shared" ref="G32:G38" si="3">IF(D32="","",(E32*D32)/F32)</f>
        <v>2040.8333333333351</v>
      </c>
      <c r="K32" s="9"/>
      <c r="L32" t="str">
        <f t="shared" ref="L32:L38" si="4">+IF(B32="","",B32)</f>
        <v>Poncho para punto topografico---</v>
      </c>
      <c r="M32">
        <f t="shared" si="2"/>
        <v>28786</v>
      </c>
      <c r="N32" s="1"/>
      <c r="P32" s="11"/>
    </row>
    <row r="33" spans="2:16" x14ac:dyDescent="0.3">
      <c r="B33" s="27" t="s">
        <v>464</v>
      </c>
      <c r="C33" s="3" t="str">
        <f t="shared" si="0"/>
        <v>und</v>
      </c>
      <c r="D33" s="30">
        <v>2</v>
      </c>
      <c r="E33" s="23">
        <f t="shared" si="1"/>
        <v>8000000</v>
      </c>
      <c r="F33" s="30">
        <v>10795</v>
      </c>
      <c r="G33" s="26">
        <f t="shared" si="3"/>
        <v>1482.1676702176933</v>
      </c>
      <c r="K33" s="9"/>
      <c r="L33" t="str">
        <f t="shared" si="4"/>
        <v>Equipo Topografico---</v>
      </c>
      <c r="M33">
        <f t="shared" si="2"/>
        <v>5.3332098193608148</v>
      </c>
      <c r="N33" s="1"/>
      <c r="P33" s="11"/>
    </row>
    <row r="34" spans="2:16" x14ac:dyDescent="0.3">
      <c r="B34" s="27"/>
      <c r="C34" s="3" t="str">
        <f t="shared" si="0"/>
        <v/>
      </c>
      <c r="D34" s="30"/>
      <c r="E34" s="23" t="str">
        <f t="shared" si="1"/>
        <v/>
      </c>
      <c r="F34" s="30"/>
      <c r="G34" s="26" t="str">
        <f t="shared" si="3"/>
        <v/>
      </c>
      <c r="K34" s="9"/>
      <c r="L34" t="str">
        <f t="shared" si="4"/>
        <v/>
      </c>
      <c r="M34" t="str">
        <f t="shared" si="2"/>
        <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3749.6676702176951</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c r="C42" s="3" t="str">
        <f>+IF(B42="","",INDEX(U_MAQUINARIA,MATCH(B42,LISTA_MAQUINARIA,0)))</f>
        <v/>
      </c>
      <c r="D42" s="30"/>
      <c r="E42" s="23" t="str">
        <f>+IF(B42="","",INDEX(V_MAQUINARIA,MATCH(B42,LISTA_MAQUINARIA,0)))</f>
        <v/>
      </c>
      <c r="F42" s="3">
        <f>$G$20</f>
        <v>29.986111111111111</v>
      </c>
      <c r="G42" s="26" t="str">
        <f>IF(D42="","",(E42*D42)/F42)</f>
        <v/>
      </c>
      <c r="K42" s="9"/>
      <c r="L42" s="23" t="str">
        <f>IF(B42="","",INDEX(V_COMBUSTIBLE_H,MATCH(B42,LISTA_MAQUINARIA,0)))</f>
        <v/>
      </c>
      <c r="M42" s="23" t="str">
        <f>+IF(L42="","",(L42*D42)/F42)</f>
        <v/>
      </c>
      <c r="N42" s="23" t="str">
        <f>IF(G42="","",G42-M42)</f>
        <v/>
      </c>
      <c r="P42" s="11"/>
    </row>
    <row r="43" spans="2:16" x14ac:dyDescent="0.3">
      <c r="B43" s="27"/>
      <c r="C43" s="3" t="str">
        <f>+IF(B43="","",INDEX(U_MAQUINARIA,MATCH(B43,LISTA_MAQUINARIA,0)))</f>
        <v/>
      </c>
      <c r="D43" s="30"/>
      <c r="E43" s="23" t="str">
        <f>+IF(B43="","",INDEX(V_MAQUINARIA,MATCH(B43,LISTA_MAQUINARIA,0)))</f>
        <v/>
      </c>
      <c r="F43" s="3">
        <f>+$G$20</f>
        <v>29.986111111111111</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29.986111111111111</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29.986111111111111</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29.986111111111111</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0</v>
      </c>
      <c r="K47" s="9"/>
      <c r="M47" s="24">
        <f>SUM(M42:M46)</f>
        <v>0</v>
      </c>
      <c r="N47" s="24">
        <f>SUM(N42:N46)</f>
        <v>0</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t="s">
        <v>304</v>
      </c>
      <c r="C50" s="30">
        <v>2</v>
      </c>
      <c r="D50" s="22">
        <f>+IF(B50="","",INDEX(F_PRESTACIONAL,MATCH(B50,L_PERSONAL,)))</f>
        <v>1.6352</v>
      </c>
      <c r="E50" s="23">
        <f>+IF(B50="","",INDEX(V_H_MANODEOBRA,MATCH(B50,L_PERSONAL,0)))</f>
        <v>24658.815999999999</v>
      </c>
      <c r="F50" s="3">
        <f>+$G$20</f>
        <v>29.986111111111111</v>
      </c>
      <c r="G50" s="26">
        <f>+IF(C50="","",(E50*C50)/F50)</f>
        <v>1644.6824937471051</v>
      </c>
    </row>
    <row r="51" spans="2:7" x14ac:dyDescent="0.3">
      <c r="B51" s="27" t="s">
        <v>369</v>
      </c>
      <c r="C51" s="30">
        <v>2</v>
      </c>
      <c r="D51" s="22">
        <f>+IF(B51="","",INDEX(F_PRESTACIONAL,MATCH(B51,L_PERSONAL,)))</f>
        <v>2.0637714285714286</v>
      </c>
      <c r="E51" s="23">
        <f>+IF(B51="","",INDEX(V_H_MANODEOBRA,MATCH(B51,L_PERSONAL,0)))</f>
        <v>65665.454545454544</v>
      </c>
      <c r="F51" s="3">
        <f>+$G$20</f>
        <v>29.986111111111111</v>
      </c>
      <c r="G51" s="26">
        <f>+IF(C51="","",(E51*C51)/F51)</f>
        <v>4379.7246199839992</v>
      </c>
    </row>
    <row r="52" spans="2:7" x14ac:dyDescent="0.3">
      <c r="B52" s="27"/>
      <c r="C52" s="30"/>
      <c r="D52" s="22" t="str">
        <f>+IF(B52="","",INDEX(F_PRESTACIONAL,MATCH(B52,L_PERSONAL,)))</f>
        <v/>
      </c>
      <c r="E52" s="23" t="str">
        <f>+IF(B52="","",INDEX(V_H_MANODEOBRA,MATCH(B52,L_PERSONAL,0)))</f>
        <v/>
      </c>
      <c r="F52" s="3">
        <f>+$G$20</f>
        <v>29.986111111111111</v>
      </c>
      <c r="G52" s="26" t="str">
        <f>+IF(C52="","",(E52*C52)/F52)</f>
        <v/>
      </c>
    </row>
    <row r="53" spans="2:7" x14ac:dyDescent="0.3">
      <c r="B53" s="27"/>
      <c r="C53" s="30"/>
      <c r="D53" s="22" t="str">
        <f>+IF(B53="","",INDEX(F_PRESTACIONAL,MATCH(B53,L_PERSONAL,)))</f>
        <v/>
      </c>
      <c r="E53" s="23" t="str">
        <f>+IF(B53="","",INDEX(V_H_MANODEOBRA,MATCH(B53,L_PERSONAL,0)))</f>
        <v/>
      </c>
      <c r="F53" s="3">
        <f>+$G$20</f>
        <v>29.986111111111111</v>
      </c>
      <c r="G53" s="26" t="str">
        <f>+IF(C53="","",(E53*C53)/F53)</f>
        <v/>
      </c>
    </row>
    <row r="54" spans="2:7" x14ac:dyDescent="0.3">
      <c r="B54" s="27"/>
      <c r="C54" s="30"/>
      <c r="D54" s="22" t="str">
        <f>+IF(B54="","",INDEX(F_PRESTACIONAL,MATCH(B54,L_PERSONAL,)))</f>
        <v/>
      </c>
      <c r="E54" s="23" t="str">
        <f>+IF(B54="","",INDEX(V_H_MANODEOBRA,MATCH(B54,L_PERSONAL,0)))</f>
        <v/>
      </c>
      <c r="F54" s="3">
        <f>+$G$20</f>
        <v>29.986111111111111</v>
      </c>
      <c r="G54" s="26" t="str">
        <f>+IF(C54="","",(E54*C54)/F54)</f>
        <v/>
      </c>
    </row>
    <row r="55" spans="2:7" x14ac:dyDescent="0.3">
      <c r="B55" s="9"/>
      <c r="G55" s="26">
        <f>SUM(G50:G54)</f>
        <v>6024.4071137311039</v>
      </c>
    </row>
    <row r="56" spans="2:7" ht="17.25" thickBot="1" x14ac:dyDescent="0.35">
      <c r="B56" s="9"/>
      <c r="G56" s="11"/>
    </row>
    <row r="57" spans="2:7" ht="17.25" thickBot="1" x14ac:dyDescent="0.35">
      <c r="B57" s="610" t="s">
        <v>98</v>
      </c>
      <c r="C57" s="611"/>
      <c r="D57" s="611"/>
      <c r="E57" s="611"/>
      <c r="F57" s="612"/>
      <c r="G57" s="66">
        <f>+G55+G47+G39+G28</f>
        <v>11726.039077182199</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1407.1246892618638</v>
      </c>
    </row>
    <row r="61" spans="2:7" x14ac:dyDescent="0.3">
      <c r="B61" s="613" t="s">
        <v>86</v>
      </c>
      <c r="C61" s="614"/>
      <c r="D61" s="614"/>
      <c r="E61" s="614"/>
      <c r="F61" s="22">
        <f>+IMPREVISTOS</f>
        <v>0.03</v>
      </c>
      <c r="G61" s="26">
        <f>+$G$57*F61</f>
        <v>351.78117231546594</v>
      </c>
    </row>
    <row r="62" spans="2:7" x14ac:dyDescent="0.3">
      <c r="B62" s="613" t="s">
        <v>87</v>
      </c>
      <c r="C62" s="614"/>
      <c r="D62" s="614"/>
      <c r="E62" s="614"/>
      <c r="F62" s="22">
        <f>+UTILIDAD</f>
        <v>0.05</v>
      </c>
      <c r="G62" s="26">
        <f>+$G$57*F62</f>
        <v>586.30195385910997</v>
      </c>
    </row>
    <row r="63" spans="2:7" x14ac:dyDescent="0.3">
      <c r="B63" s="596" t="s">
        <v>100</v>
      </c>
      <c r="C63" s="597"/>
      <c r="D63" s="597"/>
      <c r="E63" s="597"/>
      <c r="F63" s="597"/>
      <c r="G63" s="53">
        <f>SUM(G60:G62)</f>
        <v>2345.2078154364399</v>
      </c>
    </row>
    <row r="64" spans="2:7" ht="17.25" thickBot="1" x14ac:dyDescent="0.35">
      <c r="B64" s="9"/>
      <c r="G64" s="44"/>
    </row>
    <row r="65" spans="2:7" ht="17.25" thickBot="1" x14ac:dyDescent="0.35">
      <c r="B65" s="598" t="s">
        <v>101</v>
      </c>
      <c r="C65" s="599"/>
      <c r="D65" s="599"/>
      <c r="E65" s="599"/>
      <c r="F65" s="600"/>
      <c r="G65" s="65">
        <f>+G63+G57</f>
        <v>14071.246892618638</v>
      </c>
    </row>
    <row r="66" spans="2:7" x14ac:dyDescent="0.3">
      <c r="B66" s="6"/>
      <c r="C66" s="7"/>
      <c r="D66" s="7"/>
      <c r="E66" s="7"/>
      <c r="F66" s="7"/>
      <c r="G66" s="8"/>
    </row>
    <row r="67" spans="2:7" x14ac:dyDescent="0.3">
      <c r="B67" s="9"/>
      <c r="G67" s="11"/>
    </row>
    <row r="68" spans="2:7" x14ac:dyDescent="0.3">
      <c r="B68" s="69" t="s">
        <v>123</v>
      </c>
      <c r="C68" s="67"/>
      <c r="D68" s="67"/>
      <c r="E68" s="67"/>
      <c r="F68" s="67"/>
      <c r="G68" s="70"/>
    </row>
    <row r="69" spans="2:7" x14ac:dyDescent="0.3">
      <c r="B69" s="71"/>
      <c r="C69" s="67"/>
      <c r="D69" s="67"/>
      <c r="E69" s="67"/>
      <c r="F69" s="67"/>
      <c r="G69" s="70"/>
    </row>
    <row r="70" spans="2:7" x14ac:dyDescent="0.3">
      <c r="B70" s="72"/>
      <c r="C70" s="68"/>
      <c r="D70" s="68"/>
      <c r="E70" s="68"/>
      <c r="F70" s="68"/>
      <c r="G70" s="73"/>
    </row>
    <row r="71" spans="2:7" x14ac:dyDescent="0.3">
      <c r="B71" s="71"/>
      <c r="C71" s="67"/>
      <c r="D71" s="67"/>
      <c r="E71" s="67"/>
      <c r="F71" s="67"/>
      <c r="G71" s="70"/>
    </row>
    <row r="72" spans="2:7" ht="17.25" thickBot="1" x14ac:dyDescent="0.35">
      <c r="B72" s="15"/>
      <c r="C72" s="13"/>
      <c r="D72" s="13"/>
      <c r="E72" s="13"/>
      <c r="F72" s="13"/>
      <c r="G72" s="14"/>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count="5">
    <dataValidation type="list" allowBlank="1" showInputMessage="1" showErrorMessage="1" sqref="E102" xr:uid="{1B915037-782E-4E0B-96B3-07148BB890FC}">
      <formula1>$A$103:$A$105</formula1>
    </dataValidation>
    <dataValidation type="list" allowBlank="1" showInputMessage="1" showErrorMessage="1" sqref="B13" xr:uid="{02203B87-1AF9-4032-B09B-6A33F779D061}">
      <formula1>ITEM</formula1>
    </dataValidation>
    <dataValidation type="list" allowBlank="1" showInputMessage="1" showErrorMessage="1" sqref="B50:B54" xr:uid="{9E14ECAA-8E94-489C-9F95-470A821162E3}">
      <formula1>L_PERSONAL</formula1>
    </dataValidation>
    <dataValidation type="list" allowBlank="1" showInputMessage="1" showErrorMessage="1" sqref="B31:B38" xr:uid="{FF4F05E6-8702-4028-B245-5F5685E9E11A}">
      <formula1>L_MATERIALES</formula1>
    </dataValidation>
    <dataValidation type="list" allowBlank="1" showInputMessage="1" showErrorMessage="1" sqref="B23:B27 B42:B46" xr:uid="{F3723363-6D8A-40AE-B7D9-47B70B9B0D9E}">
      <formula1>LISTA_MAQUINARIA</formula1>
    </dataValidation>
  </dataValidations>
  <pageMargins left="0.70866141732283472" right="0.70866141732283472" top="0.74803149606299213" bottom="0.74803149606299213" header="0.31496062992125984" footer="0.31496062992125984"/>
  <pageSetup scale="50" orientation="portrait" r:id="rId1"/>
  <rowBreaks count="1" manualBreakCount="1">
    <brk id="72" max="16383" man="1"/>
  </rowBreaks>
  <colBreaks count="1" manualBreakCount="1">
    <brk id="7" max="1048575" man="1"/>
  </colBreaks>
  <drawing r:id="rId2"/>
  <tableParts count="1">
    <tablePart r:id="rId3"/>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4B754-219F-4A25-A32A-B45D55256395}">
  <sheetPr codeName="Hoja14"/>
  <dimension ref="A1:P106"/>
  <sheetViews>
    <sheetView showGridLines="0" view="pageBreakPreview" zoomScale="136" zoomScaleNormal="60" workbookViewId="0">
      <selection activeCell="G21" sqref="G21"/>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3</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18" t="str">
        <f>+IF($B$13="","",INDEX(DESCRIP_ITEM,MATCH($B$13,ITEM,0)))</f>
        <v>Hincado Directo. El contratista debe garantizar un rendimiento eficiente en este proceso para cumplir con los plazos establecidos. Para lograrlo, es necesario contar con suficientes hincadoras y evitar retrasos en los hitos. Asegurar que los cabezales de las incadoras sean los apropiados para evitar daños físicos en la superficie de golpeado.</v>
      </c>
      <c r="C16" s="619"/>
      <c r="D16" s="619"/>
      <c r="E16" s="619"/>
      <c r="F16" s="619"/>
      <c r="G16" s="620"/>
    </row>
    <row r="17" spans="2:16" ht="44.25" customHeight="1" thickBot="1" x14ac:dyDescent="0.35">
      <c r="B17" s="621"/>
      <c r="C17" s="622"/>
      <c r="D17" s="622"/>
      <c r="E17" s="622"/>
      <c r="F17" s="622"/>
      <c r="G17" s="623"/>
    </row>
    <row r="18" spans="2:16" ht="17.25" thickBot="1" x14ac:dyDescent="0.35">
      <c r="B18" s="591"/>
      <c r="C18" s="579"/>
      <c r="D18" s="579"/>
      <c r="E18" s="579"/>
      <c r="G18" s="11"/>
    </row>
    <row r="19" spans="2:16" ht="17.25" thickBot="1" x14ac:dyDescent="0.35">
      <c r="B19" s="592"/>
      <c r="C19" s="593"/>
      <c r="D19" s="593"/>
      <c r="E19" s="593"/>
      <c r="F19" s="54" t="s">
        <v>89</v>
      </c>
      <c r="G19" s="25" t="str">
        <f>+IF(B13="","",INDEX(U_ITEM,MATCH(B13,ITEM,0)))</f>
        <v>Und</v>
      </c>
    </row>
    <row r="20" spans="2:16" ht="17.25" thickBot="1" x14ac:dyDescent="0.35">
      <c r="B20" s="592"/>
      <c r="C20" s="593"/>
      <c r="D20" s="593"/>
      <c r="E20" s="593"/>
      <c r="F20" s="55" t="s">
        <v>90</v>
      </c>
      <c r="G20" s="56">
        <f>(D23*100)/8</f>
        <v>50</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t="s">
        <v>356</v>
      </c>
      <c r="C23" s="3" t="str">
        <f>+IF(B23="","",INDEX(U_MAQUINARIA,MATCH(B23,LISTA_MAQUINARIA,0)))</f>
        <v>VALOR / HORA</v>
      </c>
      <c r="D23" s="30">
        <v>4</v>
      </c>
      <c r="E23" s="23">
        <f>+IF(B23="","",INDEX(V_MAQUINARIA,MATCH(B23,LISTA_MAQUINARIA,0)))</f>
        <v>447736.36363636365</v>
      </c>
      <c r="F23" s="3">
        <f>$G$20</f>
        <v>50</v>
      </c>
      <c r="G23" s="26">
        <f>+IF(B23="","",(D23*E23)/F23)</f>
        <v>35818.909090909088</v>
      </c>
      <c r="K23" s="9"/>
      <c r="L23" s="23">
        <f>IF(B23="","",INDEX(V_COMBUSTIBLE_H,MATCH(B23,LISTA_MAQUINARIA,0)))</f>
        <v>21600</v>
      </c>
      <c r="M23" s="23">
        <f>+IF(L23="","",(L23*D23)/F23)</f>
        <v>1728</v>
      </c>
      <c r="N23" s="23">
        <f>IF(G23="","",G23-M23)</f>
        <v>34090.909090909088</v>
      </c>
      <c r="P23" s="11"/>
    </row>
    <row r="24" spans="2:16" x14ac:dyDescent="0.3">
      <c r="B24" s="27" t="s">
        <v>353</v>
      </c>
      <c r="C24" s="3" t="str">
        <f>+IF(B24="","",INDEX(U_MAQUINARIA,MATCH(B24,LISTA_MAQUINARIA,0)))</f>
        <v>VALOR / HORA</v>
      </c>
      <c r="D24" s="30">
        <v>2</v>
      </c>
      <c r="E24" s="23">
        <f>+IF(B24="","",INDEX(V_MAQUINARIA,MATCH(B24,LISTA_MAQUINARIA,0)))</f>
        <v>176300</v>
      </c>
      <c r="F24" s="3">
        <f>$G$20</f>
        <v>50</v>
      </c>
      <c r="G24" s="26">
        <f>+IF(B24="","",(D24*E24)/F24)</f>
        <v>7052</v>
      </c>
      <c r="K24" s="9"/>
      <c r="L24" s="3">
        <f>IF(B24="","",INDEX(V_COMBUSTIBLE_H,MATCH(B24,LISTA_MAQUINARIA,0)))</f>
        <v>21600</v>
      </c>
      <c r="M24" s="3">
        <f>+IF(L24="","",(L24*D24)/F24)</f>
        <v>864</v>
      </c>
      <c r="N24" s="3">
        <f>IF(G24="","",G24-M24)</f>
        <v>6188</v>
      </c>
      <c r="P24" s="11"/>
    </row>
    <row r="25" spans="2:16" x14ac:dyDescent="0.3">
      <c r="B25" s="27" t="s">
        <v>354</v>
      </c>
      <c r="C25" s="3" t="str">
        <f>+IF(B25="","",INDEX(U_MAQUINARIA,MATCH(B25,LISTA_MAQUINARIA,0)))</f>
        <v>VALOR / HORA</v>
      </c>
      <c r="D25" s="30">
        <v>1</v>
      </c>
      <c r="E25" s="23">
        <f>+IF(B25="","",INDEX(V_MAQUINARIA,MATCH(B25,LISTA_MAQUINARIA,0)))</f>
        <v>89781.818181818177</v>
      </c>
      <c r="F25" s="3">
        <f>$G$20</f>
        <v>50</v>
      </c>
      <c r="G25" s="26">
        <f>+IF(B25="","",(D25*E25)/F25)</f>
        <v>1795.6363636363635</v>
      </c>
      <c r="K25" s="9"/>
      <c r="L25" s="3">
        <f>IF(B25="","",INDEX(V_COMBUSTIBLE_H,MATCH(B25,LISTA_MAQUINARIA,0)))</f>
        <v>21600</v>
      </c>
      <c r="M25" s="3">
        <f>+IF(L25="","",(L25*D25)/F25)</f>
        <v>432</v>
      </c>
      <c r="N25" s="3">
        <f>IF(G25="","",G25-M25)</f>
        <v>1363.6363636363635</v>
      </c>
      <c r="P25" s="11"/>
    </row>
    <row r="26" spans="2:16" x14ac:dyDescent="0.3">
      <c r="B26" s="27"/>
      <c r="C26" s="3" t="str">
        <f>+IF(B26="","",INDEX(U_MAQUINARIA,MATCH(B26,LISTA_MAQUINARIA,0)))</f>
        <v/>
      </c>
      <c r="D26" s="30"/>
      <c r="E26" s="23" t="str">
        <f>+IF(B26="","",INDEX(V_MAQUINARIA,MATCH(B26,LISTA_MAQUINARIA,0)))</f>
        <v/>
      </c>
      <c r="F26" s="3">
        <f>$G$20</f>
        <v>50</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50</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44666.545454545449</v>
      </c>
      <c r="K28" s="9"/>
      <c r="M28" s="24">
        <f>SUM(M23:M27)</f>
        <v>3024</v>
      </c>
      <c r="N28" s="24">
        <f>SUM(N23:N27)</f>
        <v>41642.545454545449</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N30" t="s">
        <v>362</v>
      </c>
      <c r="P30" s="11"/>
    </row>
    <row r="31" spans="2:16" x14ac:dyDescent="0.3">
      <c r="B31" s="27" t="s">
        <v>361</v>
      </c>
      <c r="C31" s="3" t="str">
        <f t="shared" ref="C31:C38" si="0">+IF(B31="","",INDEX(U_MATERIAL,MATCH(B31,L_MATERIALES,0)))</f>
        <v>UND</v>
      </c>
      <c r="D31" s="30">
        <v>1</v>
      </c>
      <c r="E31" s="23">
        <f t="shared" ref="E31:E38" si="1">+IF(B31="","",INDEX(V_UNITARIOMATERIAL,MATCH(B31,L_MATERIALES,0)))</f>
        <v>340000</v>
      </c>
      <c r="F31" s="30">
        <v>500</v>
      </c>
      <c r="G31" s="26">
        <f>IF(D31="","",(E31*D31)/F31)</f>
        <v>680</v>
      </c>
      <c r="K31" s="9"/>
      <c r="L31" t="str">
        <f>+IF(B31="","",B31)</f>
        <v>HERRAMIENTA MENOR---</v>
      </c>
      <c r="M31">
        <f t="shared" ref="M31:M38" si="2">IF(D31="","",(D31/F31)*INDEX(CANT_PROYECTO,MATCH($B$13,ITEM,0)))</f>
        <v>57.572000000000003</v>
      </c>
      <c r="N31" s="1">
        <f>APU_3[[#This Row],[CANTIDAD]]*E31</f>
        <v>19574480</v>
      </c>
      <c r="P31" s="11"/>
    </row>
    <row r="32" spans="2:16" x14ac:dyDescent="0.3">
      <c r="B32" s="27" t="s">
        <v>470</v>
      </c>
      <c r="C32" s="3" t="str">
        <f t="shared" si="0"/>
        <v>gal</v>
      </c>
      <c r="D32" s="30">
        <v>1</v>
      </c>
      <c r="E32" s="23">
        <f t="shared" si="1"/>
        <v>462000</v>
      </c>
      <c r="F32" s="30">
        <v>800</v>
      </c>
      <c r="G32" s="26">
        <f t="shared" ref="G32:G38" si="3">IF(D32="","",(E32*D32)/F32)</f>
        <v>577.5</v>
      </c>
      <c r="K32" s="9"/>
      <c r="L32" t="str">
        <f t="shared" ref="L32:L38" si="4">+IF(B32="","",B32)</f>
        <v>Galvanizado en frio---</v>
      </c>
      <c r="M32">
        <f t="shared" si="2"/>
        <v>35.982500000000002</v>
      </c>
      <c r="N32" s="1"/>
      <c r="P32" s="11"/>
    </row>
    <row r="33" spans="2:16" x14ac:dyDescent="0.3">
      <c r="B33" s="27"/>
      <c r="C33" s="3" t="str">
        <f t="shared" si="0"/>
        <v/>
      </c>
      <c r="D33" s="30"/>
      <c r="E33" s="23" t="str">
        <f t="shared" si="1"/>
        <v/>
      </c>
      <c r="F33" s="30"/>
      <c r="G33" s="26" t="str">
        <f t="shared" si="3"/>
        <v/>
      </c>
      <c r="K33" s="9"/>
      <c r="L33" t="str">
        <f t="shared" si="4"/>
        <v/>
      </c>
      <c r="M33" t="str">
        <f t="shared" si="2"/>
        <v/>
      </c>
      <c r="N33" s="1"/>
      <c r="P33" s="11"/>
    </row>
    <row r="34" spans="2:16" x14ac:dyDescent="0.3">
      <c r="B34" s="27"/>
      <c r="C34" s="3" t="str">
        <f t="shared" si="0"/>
        <v/>
      </c>
      <c r="D34" s="30"/>
      <c r="E34" s="23" t="str">
        <f t="shared" si="1"/>
        <v/>
      </c>
      <c r="F34" s="30"/>
      <c r="G34" s="26" t="str">
        <f t="shared" si="3"/>
        <v/>
      </c>
      <c r="K34" s="9"/>
      <c r="L34" t="str">
        <f t="shared" si="4"/>
        <v/>
      </c>
      <c r="M34" t="str">
        <f t="shared" si="2"/>
        <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1257.5</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t="s">
        <v>455</v>
      </c>
      <c r="C42" s="3">
        <f>+IF(B42="","",INDEX(U_MAQUINARIA,MATCH(B42,LISTA_MAQUINARIA,0)))</f>
        <v>0</v>
      </c>
      <c r="D42" s="30">
        <v>1</v>
      </c>
      <c r="E42" s="23">
        <f>+IF(B42="","",INDEX(V_MAQUINARIA,MATCH(B42,LISTA_MAQUINARIA,0)))</f>
        <v>101145.45454545454</v>
      </c>
      <c r="F42" s="3">
        <f>$G$20</f>
        <v>50</v>
      </c>
      <c r="G42" s="26">
        <f>IF(D42="","",(E42*D42)/F42)</f>
        <v>2022.909090909091</v>
      </c>
      <c r="K42" s="9"/>
      <c r="L42" s="23">
        <f>IF(B42="","",INDEX(V_COMBUSTIBLE_H,MATCH(B42,LISTA_MAQUINARIA,0)))</f>
        <v>21600</v>
      </c>
      <c r="M42" s="23">
        <f>+IF(L42="","",(L42*D42)/F42)</f>
        <v>432</v>
      </c>
      <c r="N42" s="23">
        <f>IF(G42="","",G42-M42)</f>
        <v>1590.909090909091</v>
      </c>
      <c r="P42" s="11"/>
    </row>
    <row r="43" spans="2:16" x14ac:dyDescent="0.3">
      <c r="B43" s="27"/>
      <c r="C43" s="3" t="str">
        <f>+IF(B43="","",INDEX(U_MAQUINARIA,MATCH(B43,LISTA_MAQUINARIA,0)))</f>
        <v/>
      </c>
      <c r="D43" s="30"/>
      <c r="E43" s="23" t="str">
        <f>+IF(B43="","",INDEX(V_MAQUINARIA,MATCH(B43,LISTA_MAQUINARIA,0)))</f>
        <v/>
      </c>
      <c r="F43" s="3">
        <f>+$G$20</f>
        <v>50</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50</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50</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50</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2022.909090909091</v>
      </c>
      <c r="K47" s="9"/>
      <c r="M47" s="24">
        <f>SUM(M42:M46)</f>
        <v>432</v>
      </c>
      <c r="N47" s="24">
        <f>SUM(N42:N46)</f>
        <v>1590.909090909091</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t="s">
        <v>360</v>
      </c>
      <c r="C50" s="30">
        <v>4</v>
      </c>
      <c r="D50" s="22">
        <f t="shared" ref="D50:D55" si="5">+IF(B50="","",INDEX(F_PRESTACIONAL,MATCH(B50,L_PERSONAL,)))</f>
        <v>1.9685333333333332</v>
      </c>
      <c r="E50" s="23">
        <f t="shared" ref="E50:E55" si="6">+IF(B50="","",INDEX(V_H_MANODEOBRA,MATCH(B50,L_PERSONAL,0)))</f>
        <v>80530.909090909088</v>
      </c>
      <c r="F50" s="3">
        <f t="shared" ref="F50:F55" si="7">+$G$20</f>
        <v>50</v>
      </c>
      <c r="G50" s="26">
        <f t="shared" ref="G50:G55" si="8">+IF(C50="","",(E50*C50)/F50)</f>
        <v>6442.4727272727268</v>
      </c>
    </row>
    <row r="51" spans="2:7" x14ac:dyDescent="0.3">
      <c r="B51" s="27" t="s">
        <v>304</v>
      </c>
      <c r="C51" s="30">
        <v>14</v>
      </c>
      <c r="D51" s="22">
        <f t="shared" si="5"/>
        <v>1.6352</v>
      </c>
      <c r="E51" s="23">
        <f t="shared" si="6"/>
        <v>24658.815999999999</v>
      </c>
      <c r="F51" s="3">
        <f t="shared" si="7"/>
        <v>50</v>
      </c>
      <c r="G51" s="26">
        <f t="shared" si="8"/>
        <v>6904.4684799999995</v>
      </c>
    </row>
    <row r="52" spans="2:7" x14ac:dyDescent="0.3">
      <c r="B52" s="27" t="s">
        <v>357</v>
      </c>
      <c r="C52" s="30">
        <v>4</v>
      </c>
      <c r="D52" s="22">
        <f t="shared" si="5"/>
        <v>1.6352</v>
      </c>
      <c r="E52" s="23">
        <f t="shared" si="6"/>
        <v>24658.815999999999</v>
      </c>
      <c r="F52" s="3">
        <f t="shared" si="7"/>
        <v>50</v>
      </c>
      <c r="G52" s="26">
        <f t="shared" si="8"/>
        <v>1972.7052799999999</v>
      </c>
    </row>
    <row r="53" spans="2:7" x14ac:dyDescent="0.3">
      <c r="B53" s="27" t="s">
        <v>298</v>
      </c>
      <c r="C53" s="30">
        <v>1</v>
      </c>
      <c r="D53" s="22">
        <f t="shared" si="5"/>
        <v>1.6352</v>
      </c>
      <c r="E53" s="23">
        <f t="shared" si="6"/>
        <v>40136.727272727272</v>
      </c>
      <c r="F53" s="3">
        <f t="shared" si="7"/>
        <v>50</v>
      </c>
      <c r="G53" s="26">
        <f t="shared" si="8"/>
        <v>802.73454545454547</v>
      </c>
    </row>
    <row r="54" spans="2:7" x14ac:dyDescent="0.3">
      <c r="B54" s="27" t="s">
        <v>302</v>
      </c>
      <c r="C54" s="30">
        <v>1</v>
      </c>
      <c r="D54" s="22">
        <f t="shared" si="5"/>
        <v>2.0102000000000002</v>
      </c>
      <c r="E54" s="23">
        <f t="shared" si="6"/>
        <v>73098.181818181823</v>
      </c>
      <c r="F54" s="3">
        <f t="shared" si="7"/>
        <v>50</v>
      </c>
      <c r="G54" s="26">
        <f t="shared" si="8"/>
        <v>1461.9636363636364</v>
      </c>
    </row>
    <row r="55" spans="2:7" x14ac:dyDescent="0.3">
      <c r="B55" s="27" t="s">
        <v>468</v>
      </c>
      <c r="C55" s="30">
        <v>10</v>
      </c>
      <c r="D55" s="22">
        <f t="shared" si="5"/>
        <v>1.6352</v>
      </c>
      <c r="E55" s="23">
        <f t="shared" si="6"/>
        <v>24658.815999999999</v>
      </c>
      <c r="F55" s="3">
        <f t="shared" si="7"/>
        <v>50</v>
      </c>
      <c r="G55" s="26">
        <f t="shared" si="8"/>
        <v>4931.7631999999994</v>
      </c>
    </row>
    <row r="56" spans="2:7" x14ac:dyDescent="0.3">
      <c r="B56" s="9"/>
      <c r="G56" s="26">
        <f>SUM(G50:G55)</f>
        <v>22516.107869090905</v>
      </c>
    </row>
    <row r="57" spans="2:7" ht="17.25" thickBot="1" x14ac:dyDescent="0.35">
      <c r="B57" s="9"/>
      <c r="G57" s="11"/>
    </row>
    <row r="58" spans="2:7" ht="17.25" thickBot="1" x14ac:dyDescent="0.35">
      <c r="B58" s="610" t="s">
        <v>98</v>
      </c>
      <c r="C58" s="611"/>
      <c r="D58" s="611"/>
      <c r="E58" s="611"/>
      <c r="F58" s="612"/>
      <c r="G58" s="66">
        <f>+G56+G47+G39+G28</f>
        <v>70463.062414545449</v>
      </c>
    </row>
    <row r="59" spans="2:7" x14ac:dyDescent="0.3">
      <c r="B59" s="9"/>
      <c r="G59" s="11"/>
    </row>
    <row r="60" spans="2:7" x14ac:dyDescent="0.3">
      <c r="B60" s="52" t="s">
        <v>122</v>
      </c>
      <c r="G60" s="11"/>
    </row>
    <row r="61" spans="2:7" x14ac:dyDescent="0.3">
      <c r="B61" s="613" t="s">
        <v>99</v>
      </c>
      <c r="C61" s="614"/>
      <c r="D61" s="614"/>
      <c r="E61" s="614"/>
      <c r="F61" s="22">
        <f>+ADMINISTRACION</f>
        <v>0.12</v>
      </c>
      <c r="G61" s="26">
        <f>+$G$58*F61</f>
        <v>8455.5674897454537</v>
      </c>
    </row>
    <row r="62" spans="2:7" x14ac:dyDescent="0.3">
      <c r="B62" s="613" t="s">
        <v>86</v>
      </c>
      <c r="C62" s="614"/>
      <c r="D62" s="614"/>
      <c r="E62" s="614"/>
      <c r="F62" s="22">
        <f>+IMPREVISTOS</f>
        <v>0.03</v>
      </c>
      <c r="G62" s="26">
        <f>+$G$58*F62</f>
        <v>2113.8918724363634</v>
      </c>
    </row>
    <row r="63" spans="2:7" x14ac:dyDescent="0.3">
      <c r="B63" s="613" t="s">
        <v>87</v>
      </c>
      <c r="C63" s="614"/>
      <c r="D63" s="614"/>
      <c r="E63" s="614"/>
      <c r="F63" s="22">
        <f>+UTILIDAD</f>
        <v>0.05</v>
      </c>
      <c r="G63" s="26">
        <f>+$G$58*F63</f>
        <v>3523.1531207272728</v>
      </c>
    </row>
    <row r="64" spans="2:7" x14ac:dyDescent="0.3">
      <c r="B64" s="596" t="s">
        <v>100</v>
      </c>
      <c r="C64" s="597"/>
      <c r="D64" s="597"/>
      <c r="E64" s="597"/>
      <c r="F64" s="597"/>
      <c r="G64" s="53">
        <f>SUM(G61:G63)</f>
        <v>14092.61248290909</v>
      </c>
    </row>
    <row r="65" spans="2:7" ht="17.25" thickBot="1" x14ac:dyDescent="0.35">
      <c r="B65" s="9"/>
      <c r="G65" s="44"/>
    </row>
    <row r="66" spans="2:7" ht="17.25" thickBot="1" x14ac:dyDescent="0.35">
      <c r="B66" s="598" t="s">
        <v>101</v>
      </c>
      <c r="C66" s="599"/>
      <c r="D66" s="599"/>
      <c r="E66" s="599"/>
      <c r="F66" s="600"/>
      <c r="G66" s="65">
        <f>+G64+G58</f>
        <v>84555.674897454533</v>
      </c>
    </row>
    <row r="67" spans="2:7" x14ac:dyDescent="0.3">
      <c r="B67" s="6"/>
      <c r="C67" s="7"/>
      <c r="D67" s="7"/>
      <c r="E67" s="7"/>
      <c r="F67" s="7"/>
      <c r="G67" s="8"/>
    </row>
    <row r="68" spans="2:7" x14ac:dyDescent="0.3">
      <c r="B68" s="9"/>
      <c r="G68" s="11"/>
    </row>
    <row r="69" spans="2:7" x14ac:dyDescent="0.3">
      <c r="B69" s="69" t="s">
        <v>123</v>
      </c>
      <c r="C69" s="67"/>
      <c r="D69" s="67"/>
      <c r="E69" s="67"/>
      <c r="F69" s="67"/>
      <c r="G69" s="70"/>
    </row>
    <row r="70" spans="2:7" x14ac:dyDescent="0.3">
      <c r="B70" s="71"/>
      <c r="C70" s="67"/>
      <c r="D70" s="67"/>
      <c r="E70" s="67"/>
      <c r="F70" s="67"/>
      <c r="G70" s="70"/>
    </row>
    <row r="71" spans="2:7" x14ac:dyDescent="0.3">
      <c r="B71" s="72"/>
      <c r="C71" s="68"/>
      <c r="D71" s="68"/>
      <c r="E71" s="68"/>
      <c r="F71" s="68"/>
      <c r="G71" s="73"/>
    </row>
    <row r="72" spans="2:7" x14ac:dyDescent="0.3">
      <c r="B72" s="71"/>
      <c r="C72" s="67"/>
      <c r="D72" s="67"/>
      <c r="E72" s="67"/>
      <c r="F72" s="67"/>
      <c r="G72" s="70"/>
    </row>
    <row r="73" spans="2:7" ht="17.25" thickBot="1" x14ac:dyDescent="0.35">
      <c r="B73" s="15"/>
      <c r="C73" s="13"/>
      <c r="D73" s="13"/>
      <c r="E73" s="13"/>
      <c r="F73" s="13"/>
      <c r="G73" s="14"/>
    </row>
    <row r="74" spans="2:7" x14ac:dyDescent="0.3">
      <c r="B74" s="591"/>
      <c r="C74" s="579"/>
      <c r="D74" s="579"/>
      <c r="E74" s="579"/>
      <c r="F74" s="579"/>
      <c r="G74" s="580"/>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x14ac:dyDescent="0.3">
      <c r="B78" s="592"/>
      <c r="C78" s="593"/>
      <c r="D78" s="593"/>
      <c r="E78" s="593"/>
      <c r="F78" s="593"/>
      <c r="G78" s="594"/>
    </row>
    <row r="79" spans="2:7" ht="17.25" thickBot="1" x14ac:dyDescent="0.35">
      <c r="B79" s="595"/>
      <c r="C79" s="581"/>
      <c r="D79" s="581"/>
      <c r="E79" s="581"/>
      <c r="F79" s="581"/>
      <c r="G79" s="582"/>
    </row>
    <row r="104" spans="1:1" ht="112.5" customHeight="1" x14ac:dyDescent="0.3">
      <c r="A104" s="45"/>
    </row>
    <row r="105" spans="1:1" ht="112.5" customHeight="1" x14ac:dyDescent="0.3">
      <c r="A105" s="45"/>
    </row>
    <row r="106" spans="1:1" ht="67.5" customHeight="1" x14ac:dyDescent="0.3">
      <c r="A106" t="s">
        <v>130</v>
      </c>
    </row>
  </sheetData>
  <mergeCells count="17">
    <mergeCell ref="B61:E61"/>
    <mergeCell ref="B1:G1"/>
    <mergeCell ref="B2:G2"/>
    <mergeCell ref="B3:G3"/>
    <mergeCell ref="B4:G4"/>
    <mergeCell ref="B11:G11"/>
    <mergeCell ref="C12:G13"/>
    <mergeCell ref="B14:G14"/>
    <mergeCell ref="B15:G15"/>
    <mergeCell ref="B16:G17"/>
    <mergeCell ref="B18:E20"/>
    <mergeCell ref="B58:F58"/>
    <mergeCell ref="B62:E62"/>
    <mergeCell ref="B63:E63"/>
    <mergeCell ref="B64:F64"/>
    <mergeCell ref="B66:F66"/>
    <mergeCell ref="B74:G79"/>
  </mergeCells>
  <phoneticPr fontId="42" type="noConversion"/>
  <dataValidations count="5">
    <dataValidation type="list" allowBlank="1" showInputMessage="1" showErrorMessage="1" sqref="E103" xr:uid="{B894FBF6-5290-4CDA-87B9-0680689254F8}">
      <formula1>$A$104:$A$106</formula1>
    </dataValidation>
    <dataValidation type="list" allowBlank="1" showInputMessage="1" showErrorMessage="1" sqref="B13" xr:uid="{F68396DD-DA7E-4EB7-B26C-6CF1206E2164}">
      <formula1>ITEM</formula1>
    </dataValidation>
    <dataValidation type="list" allowBlank="1" showInputMessage="1" showErrorMessage="1" sqref="B50:B55" xr:uid="{3C55CD61-3AC5-42E4-932A-4D4642037192}">
      <formula1>L_PERSONAL</formula1>
    </dataValidation>
    <dataValidation type="list" allowBlank="1" showInputMessage="1" showErrorMessage="1" sqref="B31:B38" xr:uid="{8BD4D814-225E-4333-A8A3-41117A32AE60}">
      <formula1>L_MATERIALES</formula1>
    </dataValidation>
    <dataValidation type="list" allowBlank="1" showInputMessage="1" showErrorMessage="1" sqref="B23:B27 B42:B46" xr:uid="{223EAE8E-71DD-457E-B64F-E56943A9562D}">
      <formula1>LISTA_MAQUINARIA</formula1>
    </dataValidation>
  </dataValidations>
  <pageMargins left="0.70866141732283472" right="0.70866141732283472" top="0.74803149606299213" bottom="0.74803149606299213" header="0.31496062992125984" footer="0.31496062992125984"/>
  <pageSetup scale="50" orientation="portrait" r:id="rId1"/>
  <rowBreaks count="1" manualBreakCount="1">
    <brk id="73" max="16383" man="1"/>
  </rowBreaks>
  <colBreaks count="1" manualBreakCount="1">
    <brk id="7" max="1048575" man="1"/>
  </colBreaks>
  <drawing r:id="rId2"/>
  <tableParts count="1">
    <tablePart r:id="rId3"/>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4CC0-977E-4587-952D-110966BF42BA}">
  <sheetPr codeName="Hoja15"/>
  <dimension ref="A1:P105"/>
  <sheetViews>
    <sheetView showGridLines="0" view="pageBreakPreview" zoomScale="113" zoomScaleNormal="60" workbookViewId="0">
      <selection activeCell="G21" sqref="G21"/>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4</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18" t="str">
        <f>+IF($B$13="","",INDEX(DESCRIP_ITEM,MATCH($B$13,ITEM,0)))</f>
        <v>Ensamblaje Preliminar y Montaje de la Estructura. Incluye toda la logística relacionada con el traslado de los elementos "hincas" y "tracker" al lugar de trabajo.</v>
      </c>
      <c r="C16" s="619"/>
      <c r="D16" s="619"/>
      <c r="E16" s="619"/>
      <c r="F16" s="619"/>
      <c r="G16" s="620"/>
    </row>
    <row r="17" spans="2:16" ht="69.400000000000006" customHeight="1" thickBot="1" x14ac:dyDescent="0.35">
      <c r="B17" s="621"/>
      <c r="C17" s="622"/>
      <c r="D17" s="622"/>
      <c r="E17" s="622"/>
      <c r="F17" s="622"/>
      <c r="G17" s="623"/>
    </row>
    <row r="18" spans="2:16" ht="17.25" thickBot="1" x14ac:dyDescent="0.35">
      <c r="B18" s="591"/>
      <c r="C18" s="579"/>
      <c r="D18" s="579"/>
      <c r="E18" s="579"/>
      <c r="G18" s="11"/>
    </row>
    <row r="19" spans="2:16" ht="17.25" thickBot="1" x14ac:dyDescent="0.35">
      <c r="B19" s="592"/>
      <c r="C19" s="593"/>
      <c r="D19" s="593"/>
      <c r="E19" s="593"/>
      <c r="F19" s="54" t="s">
        <v>89</v>
      </c>
      <c r="G19" s="25" t="str">
        <f>+IF(B13="","",INDEX(U_ITEM,MATCH(B13,ITEM,0)))</f>
        <v>Und</v>
      </c>
    </row>
    <row r="20" spans="2:16" ht="17.25" thickBot="1" x14ac:dyDescent="0.35">
      <c r="B20" s="592"/>
      <c r="C20" s="593"/>
      <c r="D20" s="593"/>
      <c r="E20" s="593"/>
      <c r="F20" s="55" t="s">
        <v>90</v>
      </c>
      <c r="G20" s="56">
        <f>16/8</f>
        <v>2</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t="s">
        <v>353</v>
      </c>
      <c r="C23" s="3" t="str">
        <f>+IF(B23="","",INDEX(U_MAQUINARIA,MATCH(B23,LISTA_MAQUINARIA,0)))</f>
        <v>VALOR / HORA</v>
      </c>
      <c r="D23" s="30">
        <v>2</v>
      </c>
      <c r="E23" s="23">
        <f>+IF(B23="","",INDEX(V_MAQUINARIA,MATCH(B23,LISTA_MAQUINARIA,0)))</f>
        <v>176300</v>
      </c>
      <c r="F23" s="3">
        <f>$G$20</f>
        <v>2</v>
      </c>
      <c r="G23" s="26">
        <f>+IF(B23="","",(D23*E23)/F23)</f>
        <v>176300</v>
      </c>
      <c r="K23" s="9"/>
      <c r="L23" s="23">
        <f>IF(B23="","",INDEX(V_COMBUSTIBLE_H,MATCH(B23,LISTA_MAQUINARIA,0)))</f>
        <v>21600</v>
      </c>
      <c r="M23" s="23">
        <f>+IF(L23="","",(L23*D23)/F23)</f>
        <v>21600</v>
      </c>
      <c r="N23" s="23">
        <f>IF(G23="","",G23-M23)</f>
        <v>154700</v>
      </c>
      <c r="P23" s="11"/>
    </row>
    <row r="24" spans="2:16" x14ac:dyDescent="0.3">
      <c r="B24" s="27" t="s">
        <v>354</v>
      </c>
      <c r="C24" s="3" t="str">
        <f>+IF(B24="","",INDEX(U_MAQUINARIA,MATCH(B24,LISTA_MAQUINARIA,0)))</f>
        <v>VALOR / HORA</v>
      </c>
      <c r="D24" s="30">
        <v>1</v>
      </c>
      <c r="E24" s="23">
        <f>+IF(B24="","",INDEX(V_MAQUINARIA,MATCH(B24,LISTA_MAQUINARIA,0)))</f>
        <v>89781.818181818177</v>
      </c>
      <c r="F24" s="3">
        <f>$G$20</f>
        <v>2</v>
      </c>
      <c r="G24" s="26">
        <f>+IF(B24="","",(D24*E24)/F24)</f>
        <v>44890.909090909088</v>
      </c>
      <c r="K24" s="9"/>
      <c r="L24" s="3">
        <f>IF(B24="","",INDEX(V_COMBUSTIBLE_H,MATCH(B24,LISTA_MAQUINARIA,0)))</f>
        <v>21600</v>
      </c>
      <c r="M24" s="3">
        <f>+IF(L24="","",(L24*D24)/F24)</f>
        <v>10800</v>
      </c>
      <c r="N24" s="3">
        <f>IF(G24="","",G24-M24)</f>
        <v>34090.909090909088</v>
      </c>
      <c r="P24" s="11"/>
    </row>
    <row r="25" spans="2:16" x14ac:dyDescent="0.3">
      <c r="B25" s="27"/>
      <c r="C25" s="3" t="str">
        <f>+IF(B25="","",INDEX(U_MAQUINARIA,MATCH(B25,LISTA_MAQUINARIA,0)))</f>
        <v/>
      </c>
      <c r="D25" s="30"/>
      <c r="E25" s="23" t="str">
        <f>+IF(B25="","",INDEX(V_MAQUINARIA,MATCH(B25,LISTA_MAQUINARIA,0)))</f>
        <v/>
      </c>
      <c r="F25" s="3">
        <f>$G$20</f>
        <v>2</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2</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2</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221190.90909090909</v>
      </c>
      <c r="K28" s="9"/>
      <c r="M28" s="24">
        <f>SUM(M23:M27)</f>
        <v>32400</v>
      </c>
      <c r="N28" s="24">
        <f>SUM(N23:N27)</f>
        <v>188790.90909090909</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c r="C31" s="3" t="str">
        <f t="shared" ref="C31:C38" si="0">+IF(B31="","",INDEX(U_MATERIAL,MATCH(B31,L_MATERIALES,0)))</f>
        <v/>
      </c>
      <c r="D31" s="30"/>
      <c r="E31" s="23" t="str">
        <f t="shared" ref="E31:E38" si="1">+IF(B31="","",INDEX(V_UNITARIOMATERIAL,MATCH(B31,L_MATERIALES,0)))</f>
        <v/>
      </c>
      <c r="F31" s="30"/>
      <c r="G31" s="26" t="str">
        <f>IF(D31="","",(E31*D31)/F31)</f>
        <v/>
      </c>
      <c r="K31" s="9"/>
      <c r="L31" t="str">
        <f>+IF(B31="","",B31)</f>
        <v/>
      </c>
      <c r="M31" t="str">
        <f t="shared" ref="M31:M38" si="2">IF(D31="","",(D31/F31)*INDEX(CANT_PROYECTO,MATCH($B$13,ITEM,0)))</f>
        <v/>
      </c>
      <c r="N31" s="1"/>
      <c r="P31" s="11"/>
    </row>
    <row r="32" spans="2:16" x14ac:dyDescent="0.3">
      <c r="B32" s="27"/>
      <c r="C32" s="3" t="str">
        <f t="shared" si="0"/>
        <v/>
      </c>
      <c r="D32" s="30"/>
      <c r="E32" s="23" t="str">
        <f t="shared" si="1"/>
        <v/>
      </c>
      <c r="F32" s="30"/>
      <c r="G32" s="26" t="str">
        <f t="shared" ref="G32:G38" si="3">IF(D32="","",(E32*D32)/F32)</f>
        <v/>
      </c>
      <c r="K32" s="9"/>
      <c r="L32" t="str">
        <f t="shared" ref="L32:L38" si="4">+IF(B32="","",B32)</f>
        <v/>
      </c>
      <c r="M32" t="str">
        <f t="shared" si="2"/>
        <v/>
      </c>
      <c r="N32" s="1"/>
      <c r="P32" s="11"/>
    </row>
    <row r="33" spans="2:16" x14ac:dyDescent="0.3">
      <c r="B33" s="27"/>
      <c r="C33" s="3" t="str">
        <f t="shared" si="0"/>
        <v/>
      </c>
      <c r="D33" s="30"/>
      <c r="E33" s="23" t="str">
        <f t="shared" si="1"/>
        <v/>
      </c>
      <c r="F33" s="30"/>
      <c r="G33" s="26" t="str">
        <f t="shared" si="3"/>
        <v/>
      </c>
      <c r="K33" s="9"/>
      <c r="L33" t="str">
        <f t="shared" si="4"/>
        <v/>
      </c>
      <c r="M33" t="str">
        <f t="shared" si="2"/>
        <v/>
      </c>
      <c r="N33" s="1"/>
      <c r="P33" s="11"/>
    </row>
    <row r="34" spans="2:16" x14ac:dyDescent="0.3">
      <c r="B34" s="27"/>
      <c r="C34" s="3" t="str">
        <f t="shared" si="0"/>
        <v/>
      </c>
      <c r="D34" s="30"/>
      <c r="E34" s="23" t="str">
        <f t="shared" si="1"/>
        <v/>
      </c>
      <c r="F34" s="30"/>
      <c r="G34" s="26" t="str">
        <f t="shared" si="3"/>
        <v/>
      </c>
      <c r="K34" s="9"/>
      <c r="L34" t="str">
        <f t="shared" si="4"/>
        <v/>
      </c>
      <c r="M34" t="str">
        <f t="shared" si="2"/>
        <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0</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t="s">
        <v>455</v>
      </c>
      <c r="C42" s="3">
        <f>+IF(B42="","",INDEX(U_MAQUINARIA,MATCH(B42,LISTA_MAQUINARIA,0)))</f>
        <v>0</v>
      </c>
      <c r="D42" s="30">
        <v>2</v>
      </c>
      <c r="E42" s="23">
        <f>+IF(B42="","",INDEX(V_MAQUINARIA,MATCH(B42,LISTA_MAQUINARIA,0)))</f>
        <v>101145.45454545454</v>
      </c>
      <c r="F42" s="3">
        <f>$G$20</f>
        <v>2</v>
      </c>
      <c r="G42" s="26">
        <f>IF(D42="","",(E42*D42)/F42)</f>
        <v>101145.45454545454</v>
      </c>
      <c r="K42" s="9"/>
      <c r="L42" s="23">
        <f>IF(B42="","",INDEX(V_COMBUSTIBLE_H,MATCH(B42,LISTA_MAQUINARIA,0)))</f>
        <v>21600</v>
      </c>
      <c r="M42" s="23">
        <f>+IF(L42="","",(L42*D42)/F42)</f>
        <v>21600</v>
      </c>
      <c r="N42" s="23">
        <f>IF(G42="","",G42-M42)</f>
        <v>79545.454545454544</v>
      </c>
      <c r="P42" s="11"/>
    </row>
    <row r="43" spans="2:16" x14ac:dyDescent="0.3">
      <c r="B43" s="27"/>
      <c r="C43" s="3" t="str">
        <f>+IF(B43="","",INDEX(U_MAQUINARIA,MATCH(B43,LISTA_MAQUINARIA,0)))</f>
        <v/>
      </c>
      <c r="D43" s="30"/>
      <c r="E43" s="23" t="str">
        <f>+IF(B43="","",INDEX(V_MAQUINARIA,MATCH(B43,LISTA_MAQUINARIA,0)))</f>
        <v/>
      </c>
      <c r="F43" s="3">
        <f>+$G$20</f>
        <v>2</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2</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2</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2</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101145.45454545454</v>
      </c>
      <c r="K47" s="9"/>
      <c r="M47" s="24">
        <f>SUM(M42:M46)</f>
        <v>21600</v>
      </c>
      <c r="N47" s="24">
        <f>SUM(N42:N46)</f>
        <v>79545.454545454544</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t="s">
        <v>304</v>
      </c>
      <c r="C50" s="30">
        <v>24</v>
      </c>
      <c r="D50" s="22">
        <f>+IF(B50="","",INDEX(F_PRESTACIONAL,MATCH(B50,L_PERSONAL,)))</f>
        <v>1.6352</v>
      </c>
      <c r="E50" s="23">
        <f>+IF(B50="","",INDEX(V_H_MANODEOBRA,MATCH(B50,L_PERSONAL,0)))</f>
        <v>24658.815999999999</v>
      </c>
      <c r="F50" s="3">
        <f>+$G$20</f>
        <v>2</v>
      </c>
      <c r="G50" s="26">
        <f>+IF(C50="","",(E50*C50)/F50)</f>
        <v>295905.79200000002</v>
      </c>
    </row>
    <row r="51" spans="2:7" x14ac:dyDescent="0.3">
      <c r="B51" s="27" t="s">
        <v>298</v>
      </c>
      <c r="C51" s="30">
        <v>1</v>
      </c>
      <c r="D51" s="22">
        <f>+IF(B51="","",INDEX(F_PRESTACIONAL,MATCH(B51,L_PERSONAL,)))</f>
        <v>1.6352</v>
      </c>
      <c r="E51" s="23">
        <f>+IF(B51="","",INDEX(V_H_MANODEOBRA,MATCH(B51,L_PERSONAL,0)))</f>
        <v>40136.727272727272</v>
      </c>
      <c r="F51" s="3">
        <f>+$G$20</f>
        <v>2</v>
      </c>
      <c r="G51" s="26">
        <f>+IF(C51="","",(E51*C51)/F51)</f>
        <v>20068.363636363636</v>
      </c>
    </row>
    <row r="52" spans="2:7" x14ac:dyDescent="0.3">
      <c r="B52" s="27" t="s">
        <v>357</v>
      </c>
      <c r="C52" s="30">
        <v>4</v>
      </c>
      <c r="D52" s="22">
        <f>+IF(B52="","",INDEX(F_PRESTACIONAL,MATCH(B52,L_PERSONAL,)))</f>
        <v>1.6352</v>
      </c>
      <c r="E52" s="23">
        <f>+IF(B52="","",INDEX(V_H_MANODEOBRA,MATCH(B52,L_PERSONAL,0)))</f>
        <v>24658.815999999999</v>
      </c>
      <c r="F52" s="3">
        <f>+$G$20</f>
        <v>2</v>
      </c>
      <c r="G52" s="26">
        <f>+IF(C52="","",(E52*C52)/F52)</f>
        <v>49317.631999999998</v>
      </c>
    </row>
    <row r="53" spans="2:7" x14ac:dyDescent="0.3">
      <c r="B53" s="27" t="s">
        <v>305</v>
      </c>
      <c r="C53" s="30">
        <v>2</v>
      </c>
      <c r="D53" s="22">
        <f>+IF(B53="","",INDEX(F_PRESTACIONAL,MATCH(B53,L_PERSONAL,)))</f>
        <v>2.2351999999999999</v>
      </c>
      <c r="E53" s="23">
        <f>+IF(B53="","",INDEX(V_H_MANODEOBRA,MATCH(B53,L_PERSONAL,0)))</f>
        <v>50800</v>
      </c>
      <c r="F53" s="3">
        <f>+$G$20</f>
        <v>2</v>
      </c>
      <c r="G53" s="26">
        <f>+IF(C53="","",(E53*C53)/F53)</f>
        <v>50800</v>
      </c>
    </row>
    <row r="54" spans="2:7" x14ac:dyDescent="0.3">
      <c r="B54" s="27" t="s">
        <v>299</v>
      </c>
      <c r="C54" s="30">
        <v>1</v>
      </c>
      <c r="D54" s="22">
        <f>+IF(B54="","",INDEX(F_PRESTACIONAL,MATCH(B54,L_PERSONAL,)))</f>
        <v>1.6352</v>
      </c>
      <c r="E54" s="23">
        <f>+IF(B54="","",INDEX(V_H_MANODEOBRA,MATCH(B54,L_PERSONAL,0)))</f>
        <v>22298.18181818182</v>
      </c>
      <c r="F54" s="3">
        <f>+$G$20</f>
        <v>2</v>
      </c>
      <c r="G54" s="26">
        <f>+IF(C54="","",(E54*C54)/F54)</f>
        <v>11149.09090909091</v>
      </c>
    </row>
    <row r="55" spans="2:7" x14ac:dyDescent="0.3">
      <c r="B55" s="9"/>
      <c r="G55" s="26">
        <f>SUM(G50:G54)</f>
        <v>427240.87854545453</v>
      </c>
    </row>
    <row r="56" spans="2:7" ht="17.25" thickBot="1" x14ac:dyDescent="0.35">
      <c r="B56" s="9"/>
      <c r="G56" s="11"/>
    </row>
    <row r="57" spans="2:7" ht="17.25" thickBot="1" x14ac:dyDescent="0.35">
      <c r="B57" s="610" t="s">
        <v>98</v>
      </c>
      <c r="C57" s="611"/>
      <c r="D57" s="611"/>
      <c r="E57" s="611"/>
      <c r="F57" s="612"/>
      <c r="G57" s="66">
        <f>+G55+G47+G39+G28</f>
        <v>749577.24218181812</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89949.269061818166</v>
      </c>
    </row>
    <row r="61" spans="2:7" x14ac:dyDescent="0.3">
      <c r="B61" s="613" t="s">
        <v>86</v>
      </c>
      <c r="C61" s="614"/>
      <c r="D61" s="614"/>
      <c r="E61" s="614"/>
      <c r="F61" s="22">
        <f>+IMPREVISTOS</f>
        <v>0.03</v>
      </c>
      <c r="G61" s="26">
        <f>+$G$57*F61</f>
        <v>22487.317265454541</v>
      </c>
    </row>
    <row r="62" spans="2:7" x14ac:dyDescent="0.3">
      <c r="B62" s="613" t="s">
        <v>87</v>
      </c>
      <c r="C62" s="614"/>
      <c r="D62" s="614"/>
      <c r="E62" s="614"/>
      <c r="F62" s="22">
        <f>+UTILIDAD</f>
        <v>0.05</v>
      </c>
      <c r="G62" s="26">
        <f>+$G$57*F62</f>
        <v>37478.862109090907</v>
      </c>
    </row>
    <row r="63" spans="2:7" x14ac:dyDescent="0.3">
      <c r="B63" s="596" t="s">
        <v>100</v>
      </c>
      <c r="C63" s="597"/>
      <c r="D63" s="597"/>
      <c r="E63" s="597"/>
      <c r="F63" s="597"/>
      <c r="G63" s="53">
        <f>SUM(G60:G62)</f>
        <v>149915.4484363636</v>
      </c>
    </row>
    <row r="64" spans="2:7" ht="17.25" thickBot="1" x14ac:dyDescent="0.35">
      <c r="B64" s="9"/>
      <c r="G64" s="44"/>
    </row>
    <row r="65" spans="2:7" ht="17.25" thickBot="1" x14ac:dyDescent="0.35">
      <c r="B65" s="598" t="s">
        <v>101</v>
      </c>
      <c r="C65" s="599"/>
      <c r="D65" s="599"/>
      <c r="E65" s="599"/>
      <c r="F65" s="600"/>
      <c r="G65" s="65">
        <f>+G63+G57</f>
        <v>899492.69061818172</v>
      </c>
    </row>
    <row r="66" spans="2:7" x14ac:dyDescent="0.3">
      <c r="B66" s="6"/>
      <c r="C66" s="7"/>
      <c r="D66" s="7"/>
      <c r="E66" s="7"/>
      <c r="F66" s="7"/>
      <c r="G66" s="8"/>
    </row>
    <row r="67" spans="2:7" x14ac:dyDescent="0.3">
      <c r="B67" s="9"/>
      <c r="G67" s="11"/>
    </row>
    <row r="68" spans="2:7" x14ac:dyDescent="0.3">
      <c r="B68" s="69" t="s">
        <v>123</v>
      </c>
      <c r="C68" s="67"/>
      <c r="D68" s="67"/>
      <c r="E68" s="67"/>
      <c r="F68" s="67"/>
      <c r="G68" s="70"/>
    </row>
    <row r="69" spans="2:7" x14ac:dyDescent="0.3">
      <c r="B69" s="71"/>
      <c r="C69" s="67"/>
      <c r="D69" s="67"/>
      <c r="E69" s="67"/>
      <c r="F69" s="67"/>
      <c r="G69" s="70"/>
    </row>
    <row r="70" spans="2:7" x14ac:dyDescent="0.3">
      <c r="B70" s="72"/>
      <c r="C70" s="68"/>
      <c r="D70" s="68"/>
      <c r="E70" s="68"/>
      <c r="F70" s="68"/>
      <c r="G70" s="73"/>
    </row>
    <row r="71" spans="2:7" x14ac:dyDescent="0.3">
      <c r="B71" s="71"/>
      <c r="C71" s="67"/>
      <c r="D71" s="67"/>
      <c r="E71" s="67"/>
      <c r="F71" s="67"/>
      <c r="G71" s="70"/>
    </row>
    <row r="72" spans="2:7" ht="17.25" thickBot="1" x14ac:dyDescent="0.35">
      <c r="B72" s="15"/>
      <c r="C72" s="13"/>
      <c r="D72" s="13"/>
      <c r="E72" s="13"/>
      <c r="F72" s="13"/>
      <c r="G72" s="14"/>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count="5">
    <dataValidation type="list" allowBlank="1" showInputMessage="1" showErrorMessage="1" sqref="E102" xr:uid="{FA2B0BD6-8D16-499B-AD27-07FADB0BDED9}">
      <formula1>$A$103:$A$105</formula1>
    </dataValidation>
    <dataValidation type="list" allowBlank="1" showInputMessage="1" showErrorMessage="1" sqref="B13" xr:uid="{473CB864-16A0-4594-984C-331978D22D27}">
      <formula1>ITEM</formula1>
    </dataValidation>
    <dataValidation type="list" allowBlank="1" showInputMessage="1" showErrorMessage="1" sqref="B50:B54" xr:uid="{13B5CAC9-4499-43D9-A114-061EA45F858C}">
      <formula1>L_PERSONAL</formula1>
    </dataValidation>
    <dataValidation type="list" allowBlank="1" showInputMessage="1" showErrorMessage="1" sqref="B31:B38" xr:uid="{6DE86FCD-93D7-4C39-8539-6787757AEA26}">
      <formula1>L_MATERIALES</formula1>
    </dataValidation>
    <dataValidation type="list" allowBlank="1" showInputMessage="1" showErrorMessage="1" sqref="B23:B27 B42:B46" xr:uid="{746F71E5-6B78-43F0-889C-C23B02F1B5C6}">
      <formula1>LISTA_MAQUINARIA</formula1>
    </dataValidation>
  </dataValidations>
  <pageMargins left="0.70866141732283472" right="0.70866141732283472" top="0.74803149606299213" bottom="0.74803149606299213" header="0.31496062992125984" footer="0.31496062992125984"/>
  <pageSetup scale="50" orientation="portrait" r:id="rId1"/>
  <rowBreaks count="1" manualBreakCount="1">
    <brk id="72" max="16383" man="1"/>
  </rowBreaks>
  <colBreaks count="1" manualBreakCount="1">
    <brk id="7" max="1048575" man="1"/>
  </colBreaks>
  <drawing r:id="rId2"/>
  <tableParts count="1">
    <tablePart r:id="rId3"/>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49B5C-737B-44FE-8EE8-89955102A594}">
  <sheetPr codeName="Hoja16"/>
  <dimension ref="A1:P106"/>
  <sheetViews>
    <sheetView showGridLines="0" view="pageBreakPreview" topLeftCell="C36" zoomScale="144" zoomScaleNormal="70" workbookViewId="0">
      <selection activeCell="F35" sqref="F35"/>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5</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18" t="str">
        <f>+IF($B$13="","",INDEX(DESCRIP_ITEM,MATCH($B$13,ITEM,0)))</f>
        <v xml:space="preserve">Alineación y Torsión de la Estructura. El contratista debe disponer de las herramientas y equipos (deben estar calibrados y certificados) necesarios para garantizar la calidad en la ejecución. </v>
      </c>
      <c r="C16" s="619"/>
      <c r="D16" s="619"/>
      <c r="E16" s="619"/>
      <c r="F16" s="619"/>
      <c r="G16" s="620"/>
    </row>
    <row r="17" spans="2:16" ht="44.25" customHeight="1" thickBot="1" x14ac:dyDescent="0.35">
      <c r="B17" s="621"/>
      <c r="C17" s="622"/>
      <c r="D17" s="622"/>
      <c r="E17" s="622"/>
      <c r="F17" s="622"/>
      <c r="G17" s="623"/>
    </row>
    <row r="18" spans="2:16" ht="17.25" thickBot="1" x14ac:dyDescent="0.35">
      <c r="B18" s="591"/>
      <c r="C18" s="579"/>
      <c r="D18" s="579"/>
      <c r="E18" s="579"/>
      <c r="G18" s="11"/>
    </row>
    <row r="19" spans="2:16" ht="17.25" thickBot="1" x14ac:dyDescent="0.35">
      <c r="B19" s="592"/>
      <c r="C19" s="593"/>
      <c r="D19" s="593"/>
      <c r="E19" s="593"/>
      <c r="F19" s="54" t="s">
        <v>89</v>
      </c>
      <c r="G19" s="25" t="str">
        <f>+IF(B13="","",INDEX(U_ITEM,MATCH(B13,ITEM,0)))</f>
        <v>Und</v>
      </c>
    </row>
    <row r="20" spans="2:16" ht="17.25" thickBot="1" x14ac:dyDescent="0.35">
      <c r="B20" s="592"/>
      <c r="C20" s="593"/>
      <c r="D20" s="593"/>
      <c r="E20" s="593"/>
      <c r="F20" s="55" t="s">
        <v>90</v>
      </c>
      <c r="G20" s="56">
        <f>(2*C51)/8</f>
        <v>2</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c r="C23" s="3" t="str">
        <f t="shared" ref="C23:C28" si="0">+IF(B23="","",INDEX(U_MAQUINARIA,MATCH(B23,LISTA_MAQUINARIA,0)))</f>
        <v/>
      </c>
      <c r="D23" s="30"/>
      <c r="E23" s="23" t="str">
        <f t="shared" ref="E23:E28" si="1">+IF(B23="","",INDEX(V_MAQUINARIA,MATCH(B23,LISTA_MAQUINARIA,0)))</f>
        <v/>
      </c>
      <c r="F23" s="3">
        <f t="shared" ref="F23:F28" si="2">$G$20</f>
        <v>2</v>
      </c>
      <c r="G23" s="26" t="str">
        <f t="shared" ref="G23:G28" si="3">+IF(B23="","",(D23*E23)/F23)</f>
        <v/>
      </c>
      <c r="K23" s="9"/>
      <c r="L23" s="23" t="str">
        <f>IF(B23="","",INDEX(V_COMBUSTIBLE_H,MATCH(B23,LISTA_MAQUINARIA,0)))</f>
        <v/>
      </c>
      <c r="M23" s="23" t="str">
        <f>+IF(L23="","",(L23*D23)/F23)</f>
        <v/>
      </c>
      <c r="N23" s="23" t="str">
        <f>IF(G23="","",G23-M23)</f>
        <v/>
      </c>
      <c r="P23" s="11"/>
    </row>
    <row r="24" spans="2:16" x14ac:dyDescent="0.3">
      <c r="B24" s="27"/>
      <c r="C24" s="3" t="str">
        <f t="shared" si="0"/>
        <v/>
      </c>
      <c r="D24" s="30"/>
      <c r="E24" s="23" t="str">
        <f t="shared" si="1"/>
        <v/>
      </c>
      <c r="F24" s="3">
        <f t="shared" si="2"/>
        <v>2</v>
      </c>
      <c r="G24" s="26" t="str">
        <f t="shared" si="3"/>
        <v/>
      </c>
      <c r="K24" s="9"/>
      <c r="L24" s="3" t="str">
        <f>IF(B24="","",INDEX(V_COMBUSTIBLE_H,MATCH(B24,LISTA_MAQUINARIA,0)))</f>
        <v/>
      </c>
      <c r="M24" s="3" t="str">
        <f>+IF(L24="","",(L24*D24)/F24)</f>
        <v/>
      </c>
      <c r="N24" s="3" t="str">
        <f>IF(G24="","",G24-M24)</f>
        <v/>
      </c>
      <c r="P24" s="11"/>
    </row>
    <row r="25" spans="2:16" x14ac:dyDescent="0.3">
      <c r="B25" s="27"/>
      <c r="C25" s="3" t="str">
        <f t="shared" si="0"/>
        <v/>
      </c>
      <c r="D25" s="30"/>
      <c r="E25" s="23" t="str">
        <f t="shared" si="1"/>
        <v/>
      </c>
      <c r="F25" s="3">
        <f t="shared" si="2"/>
        <v>2</v>
      </c>
      <c r="G25" s="26" t="str">
        <f t="shared" si="3"/>
        <v/>
      </c>
      <c r="K25" s="9"/>
      <c r="L25" s="3" t="str">
        <f>IF(B25="","",INDEX(V_COMBUSTIBLE_H,MATCH(B25,LISTA_MAQUINARIA,0)))</f>
        <v/>
      </c>
      <c r="M25" s="3" t="str">
        <f>+IF(L25="","",(L25*D25)/F25)</f>
        <v/>
      </c>
      <c r="N25" s="3" t="str">
        <f>IF(G25="","",G25-M25)</f>
        <v/>
      </c>
      <c r="P25" s="11"/>
    </row>
    <row r="26" spans="2:16" x14ac:dyDescent="0.3">
      <c r="B26" s="27"/>
      <c r="C26" s="3" t="str">
        <f t="shared" si="0"/>
        <v/>
      </c>
      <c r="D26" s="30"/>
      <c r="E26" s="23" t="str">
        <f t="shared" si="1"/>
        <v/>
      </c>
      <c r="F26" s="3">
        <f t="shared" si="2"/>
        <v>2</v>
      </c>
      <c r="G26" s="26" t="str">
        <f t="shared" si="3"/>
        <v/>
      </c>
      <c r="K26" s="9"/>
      <c r="L26" s="3" t="str">
        <f>IF(B26="","",INDEX(V_COMBUSTIBLE_H,MATCH(B26,LISTA_MAQUINARIA,0)))</f>
        <v/>
      </c>
      <c r="M26" s="3" t="str">
        <f>+IF(L26="","",(L26*D26)/F26)</f>
        <v/>
      </c>
      <c r="N26" s="3" t="str">
        <f>IF(G26="","",G26-M26)</f>
        <v/>
      </c>
      <c r="P26" s="11"/>
    </row>
    <row r="27" spans="2:16" x14ac:dyDescent="0.3">
      <c r="B27" s="3"/>
      <c r="C27" s="3" t="str">
        <f t="shared" si="0"/>
        <v/>
      </c>
      <c r="D27" s="30"/>
      <c r="E27" s="23" t="str">
        <f t="shared" si="1"/>
        <v/>
      </c>
      <c r="F27" s="3">
        <f t="shared" si="2"/>
        <v>2</v>
      </c>
      <c r="G27" s="26" t="str">
        <f t="shared" si="3"/>
        <v/>
      </c>
      <c r="K27" s="9"/>
      <c r="L27" s="3" t="str">
        <f>IF(B27="","",INDEX(V_COMBUSTIBLE_H,MATCH(B27,LISTA_MAQUINARIA,0)))</f>
        <v/>
      </c>
      <c r="M27" s="3" t="str">
        <f>+IF(L27="","",(L27*D27)/F27)</f>
        <v/>
      </c>
      <c r="N27" s="3" t="str">
        <f>IF(G27="","",G27-M27)</f>
        <v/>
      </c>
      <c r="P27" s="11"/>
    </row>
    <row r="28" spans="2:16" x14ac:dyDescent="0.3">
      <c r="B28" s="3"/>
      <c r="C28" s="3" t="str">
        <f t="shared" si="0"/>
        <v/>
      </c>
      <c r="D28" s="171"/>
      <c r="E28" s="23" t="str">
        <f t="shared" si="1"/>
        <v/>
      </c>
      <c r="F28" s="3">
        <f t="shared" si="2"/>
        <v>2</v>
      </c>
      <c r="G28" s="26" t="str">
        <f t="shared" si="3"/>
        <v/>
      </c>
      <c r="K28" s="9"/>
      <c r="M28" s="3"/>
      <c r="N28" s="3"/>
      <c r="P28" s="11"/>
    </row>
    <row r="29" spans="2:16" ht="17.25" thickBot="1" x14ac:dyDescent="0.35">
      <c r="B29" s="9"/>
      <c r="G29" s="49">
        <f>SUM(G23:G28)</f>
        <v>0</v>
      </c>
      <c r="K29" s="9"/>
      <c r="M29" s="24">
        <f>SUM(M23:M27)</f>
        <v>0</v>
      </c>
      <c r="N29" s="24">
        <f>SUM(N23:N27)</f>
        <v>0</v>
      </c>
      <c r="P29" s="11"/>
    </row>
    <row r="30" spans="2:16" ht="17.25" thickBot="1" x14ac:dyDescent="0.35">
      <c r="B30" s="60" t="s">
        <v>95</v>
      </c>
      <c r="G30" s="11"/>
      <c r="K30" s="9"/>
      <c r="P30" s="11"/>
    </row>
    <row r="31" spans="2:16" x14ac:dyDescent="0.3">
      <c r="B31" s="59" t="s">
        <v>75</v>
      </c>
      <c r="C31" s="32" t="s">
        <v>10</v>
      </c>
      <c r="D31" s="32" t="s">
        <v>60</v>
      </c>
      <c r="E31" s="32" t="s">
        <v>63</v>
      </c>
      <c r="F31" s="32" t="s">
        <v>93</v>
      </c>
      <c r="G31" s="50" t="s">
        <v>85</v>
      </c>
      <c r="K31" s="9"/>
      <c r="L31" t="s">
        <v>16</v>
      </c>
      <c r="M31" t="s">
        <v>136</v>
      </c>
      <c r="P31" s="11"/>
    </row>
    <row r="32" spans="2:16" x14ac:dyDescent="0.3">
      <c r="B32" s="27" t="s">
        <v>364</v>
      </c>
      <c r="C32" s="3" t="str">
        <f t="shared" ref="C32:C39" si="4">+IF(B32="","",INDEX(U_MATERIAL,MATCH(B32,L_MATERIALES,0)))</f>
        <v>UND</v>
      </c>
      <c r="D32" s="30">
        <v>1</v>
      </c>
      <c r="E32" s="23">
        <f t="shared" ref="E32:E39" si="5">+IF(B32="","",INDEX(V_UNITARIOMATERIAL,MATCH(B32,L_MATERIALES,0)))</f>
        <v>1250000</v>
      </c>
      <c r="F32" s="30">
        <v>400</v>
      </c>
      <c r="G32" s="26">
        <f>IF(D32="","",(E32*D32)/F32)</f>
        <v>3125</v>
      </c>
      <c r="K32" s="9"/>
      <c r="L32" t="str">
        <f>+IF(B32="","",B32)</f>
        <v>TORQUIMETRO DIGITAL - ACREDITACION---</v>
      </c>
      <c r="M32">
        <f t="shared" ref="M32:M39" si="6">IF(D32="","",(D32/F32)*INDEX(CANT_PROYECTO,MATCH($B$13,ITEM,0)))</f>
        <v>5.7250000000000005</v>
      </c>
      <c r="N32" s="1"/>
      <c r="P32" s="11"/>
    </row>
    <row r="33" spans="2:16" x14ac:dyDescent="0.3">
      <c r="B33" s="27" t="s">
        <v>361</v>
      </c>
      <c r="C33" s="3" t="str">
        <f t="shared" si="4"/>
        <v>UND</v>
      </c>
      <c r="D33" s="30">
        <v>1</v>
      </c>
      <c r="E33" s="23">
        <f t="shared" si="5"/>
        <v>340000</v>
      </c>
      <c r="F33" s="30">
        <v>1000</v>
      </c>
      <c r="G33" s="26">
        <f t="shared" ref="G33:G39" si="7">IF(D33="","",(E33*D33)/F33)</f>
        <v>340</v>
      </c>
      <c r="K33" s="9"/>
      <c r="L33" t="str">
        <f t="shared" ref="L33:L39" si="8">+IF(B33="","",B33)</f>
        <v>HERRAMIENTA MENOR---</v>
      </c>
      <c r="M33">
        <f t="shared" si="6"/>
        <v>2.29</v>
      </c>
      <c r="N33" s="1"/>
      <c r="P33" s="11"/>
    </row>
    <row r="34" spans="2:16" x14ac:dyDescent="0.3">
      <c r="B34" s="27" t="s">
        <v>472</v>
      </c>
      <c r="C34" s="3" t="str">
        <f t="shared" si="4"/>
        <v>und</v>
      </c>
      <c r="D34" s="30">
        <v>16</v>
      </c>
      <c r="E34" s="23">
        <f t="shared" si="5"/>
        <v>74160</v>
      </c>
      <c r="F34" s="30">
        <v>80</v>
      </c>
      <c r="G34" s="26">
        <f t="shared" si="7"/>
        <v>14832</v>
      </c>
      <c r="K34" s="9"/>
      <c r="L34" t="str">
        <f t="shared" si="8"/>
        <v>Marcadores---</v>
      </c>
      <c r="M34">
        <f t="shared" si="6"/>
        <v>458</v>
      </c>
      <c r="N34" s="1"/>
      <c r="P34" s="11"/>
    </row>
    <row r="35" spans="2:16" x14ac:dyDescent="0.3">
      <c r="B35" s="27"/>
      <c r="C35" s="3" t="str">
        <f t="shared" si="4"/>
        <v/>
      </c>
      <c r="D35" s="30"/>
      <c r="E35" s="23" t="str">
        <f t="shared" si="5"/>
        <v/>
      </c>
      <c r="F35" s="30"/>
      <c r="G35" s="26" t="str">
        <f t="shared" si="7"/>
        <v/>
      </c>
      <c r="K35" s="9"/>
      <c r="L35" t="str">
        <f t="shared" si="8"/>
        <v/>
      </c>
      <c r="M35" t="str">
        <f t="shared" si="6"/>
        <v/>
      </c>
      <c r="N35" s="1"/>
      <c r="P35" s="11"/>
    </row>
    <row r="36" spans="2:16" x14ac:dyDescent="0.3">
      <c r="B36" s="27"/>
      <c r="C36" s="3" t="str">
        <f t="shared" si="4"/>
        <v/>
      </c>
      <c r="D36" s="30"/>
      <c r="E36" s="23" t="str">
        <f t="shared" si="5"/>
        <v/>
      </c>
      <c r="F36" s="30"/>
      <c r="G36" s="26" t="str">
        <f t="shared" si="7"/>
        <v/>
      </c>
      <c r="K36" s="9"/>
      <c r="L36" t="str">
        <f t="shared" si="8"/>
        <v/>
      </c>
      <c r="M36" t="str">
        <f t="shared" si="6"/>
        <v/>
      </c>
      <c r="N36" s="1"/>
      <c r="P36" s="11"/>
    </row>
    <row r="37" spans="2:16" ht="13.5" customHeight="1" x14ac:dyDescent="0.3">
      <c r="B37" s="27"/>
      <c r="C37" s="3" t="str">
        <f t="shared" si="4"/>
        <v/>
      </c>
      <c r="D37" s="30"/>
      <c r="E37" s="23" t="str">
        <f t="shared" si="5"/>
        <v/>
      </c>
      <c r="F37" s="30"/>
      <c r="G37" s="26" t="str">
        <f t="shared" si="7"/>
        <v/>
      </c>
      <c r="K37" s="9"/>
      <c r="L37" t="str">
        <f t="shared" si="8"/>
        <v/>
      </c>
      <c r="M37" t="str">
        <f t="shared" si="6"/>
        <v/>
      </c>
      <c r="N37" s="1"/>
      <c r="P37" s="11"/>
    </row>
    <row r="38" spans="2:16" x14ac:dyDescent="0.3">
      <c r="B38" s="27"/>
      <c r="C38" s="3" t="str">
        <f t="shared" si="4"/>
        <v/>
      </c>
      <c r="D38" s="30"/>
      <c r="E38" s="23" t="str">
        <f t="shared" si="5"/>
        <v/>
      </c>
      <c r="F38" s="30"/>
      <c r="G38" s="26" t="str">
        <f t="shared" si="7"/>
        <v/>
      </c>
      <c r="K38" s="9"/>
      <c r="L38" t="str">
        <f t="shared" si="8"/>
        <v/>
      </c>
      <c r="M38" t="str">
        <f t="shared" si="6"/>
        <v/>
      </c>
      <c r="N38" s="1"/>
      <c r="P38" s="11"/>
    </row>
    <row r="39" spans="2:16" x14ac:dyDescent="0.3">
      <c r="B39" s="27"/>
      <c r="C39" s="3" t="str">
        <f t="shared" si="4"/>
        <v/>
      </c>
      <c r="D39" s="30"/>
      <c r="E39" s="23" t="str">
        <f t="shared" si="5"/>
        <v/>
      </c>
      <c r="F39" s="30"/>
      <c r="G39" s="26" t="str">
        <f t="shared" si="7"/>
        <v/>
      </c>
      <c r="K39" s="9"/>
      <c r="L39" t="str">
        <f t="shared" si="8"/>
        <v/>
      </c>
      <c r="M39" t="str">
        <f t="shared" si="6"/>
        <v/>
      </c>
      <c r="N39" s="1"/>
      <c r="P39" s="11"/>
    </row>
    <row r="40" spans="2:16" ht="17.25" thickBot="1" x14ac:dyDescent="0.35">
      <c r="B40" s="9"/>
      <c r="G40" s="49">
        <f>SUM(G32:G39)</f>
        <v>18297</v>
      </c>
      <c r="K40" s="9"/>
      <c r="P40" s="11"/>
    </row>
    <row r="41" spans="2:16" ht="17.25" thickBot="1" x14ac:dyDescent="0.35">
      <c r="B41" s="62" t="s">
        <v>94</v>
      </c>
      <c r="G41" s="11"/>
      <c r="K41" s="9"/>
      <c r="P41" s="11"/>
    </row>
    <row r="42" spans="2:16" ht="66" x14ac:dyDescent="0.3">
      <c r="B42" s="61" t="s">
        <v>75</v>
      </c>
      <c r="C42" s="33" t="s">
        <v>10</v>
      </c>
      <c r="D42" s="33" t="s">
        <v>60</v>
      </c>
      <c r="E42" s="33" t="s">
        <v>92</v>
      </c>
      <c r="F42" s="33" t="s">
        <v>93</v>
      </c>
      <c r="G42" s="51" t="s">
        <v>85</v>
      </c>
      <c r="K42" s="9"/>
      <c r="L42" s="42" t="s">
        <v>109</v>
      </c>
      <c r="M42" s="42" t="s">
        <v>107</v>
      </c>
      <c r="N42" s="42" t="s">
        <v>108</v>
      </c>
      <c r="P42" s="11"/>
    </row>
    <row r="43" spans="2:16" x14ac:dyDescent="0.3">
      <c r="B43" s="27" t="s">
        <v>455</v>
      </c>
      <c r="C43" s="3">
        <f>+IF(B43="","",INDEX(U_MAQUINARIA,MATCH(B43,LISTA_MAQUINARIA,0)))</f>
        <v>0</v>
      </c>
      <c r="D43" s="30">
        <v>1</v>
      </c>
      <c r="E43" s="23">
        <f>+IF(B43="","",INDEX(V_MAQUINARIA,MATCH(B43,LISTA_MAQUINARIA,0)))</f>
        <v>101145.45454545454</v>
      </c>
      <c r="F43" s="3">
        <f>+$G$20</f>
        <v>2</v>
      </c>
      <c r="G43" s="26">
        <f>IF(D43="","",(E43*D43)/F43)</f>
        <v>50572.727272727272</v>
      </c>
      <c r="K43" s="9"/>
      <c r="L43" s="23">
        <f>IF(B43="","",INDEX(V_COMBUSTIBLE_H,MATCH(B43,LISTA_MAQUINARIA,0)))</f>
        <v>21600</v>
      </c>
      <c r="M43" s="23">
        <f>+IF(L43="","",(L43*D43)/F43)</f>
        <v>10800</v>
      </c>
      <c r="N43" s="23">
        <f>IF(G43="","",G43-M43)</f>
        <v>39772.727272727272</v>
      </c>
      <c r="P43" s="11"/>
    </row>
    <row r="44" spans="2:16" x14ac:dyDescent="0.3">
      <c r="B44" s="27"/>
      <c r="C44" s="3" t="str">
        <f>+IF(B44="","",INDEX(U_MAQUINARIA,MATCH(B44,LISTA_MAQUINARIA,0)))</f>
        <v/>
      </c>
      <c r="D44" s="30"/>
      <c r="E44" s="23" t="str">
        <f>+IF(B44="","",INDEX(V_MAQUINARIA,MATCH(B44,LISTA_MAQUINARIA,0)))</f>
        <v/>
      </c>
      <c r="F44" s="3">
        <f>+$G$20</f>
        <v>2</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2</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2</v>
      </c>
      <c r="G46" s="26" t="str">
        <f>IF(D46="","",(E46*D46)/F46)</f>
        <v/>
      </c>
      <c r="K46" s="9"/>
      <c r="L46" s="23" t="str">
        <f>IF(B46="","",INDEX(V_COMBUSTIBLE_H,MATCH(B46,LISTA_MAQUINARIA,0)))</f>
        <v/>
      </c>
      <c r="M46" s="23" t="str">
        <f>+IF(L46="","",(L46*D46)/F46)</f>
        <v/>
      </c>
      <c r="N46" s="23" t="str">
        <f>IF(G46="","",G46-M46)</f>
        <v/>
      </c>
      <c r="P46" s="11"/>
    </row>
    <row r="47" spans="2:16" x14ac:dyDescent="0.3">
      <c r="B47" s="27"/>
      <c r="C47" s="3" t="str">
        <f>+IF(B47="","",INDEX(U_MAQUINARIA,MATCH(B47,LISTA_MAQUINARIA,0)))</f>
        <v/>
      </c>
      <c r="D47" s="30"/>
      <c r="E47" s="23" t="str">
        <f>+IF(B47="","",INDEX(V_MAQUINARIA,MATCH(B47,LISTA_MAQUINARIA,0)))</f>
        <v/>
      </c>
      <c r="F47" s="3">
        <f>+$G$20</f>
        <v>2</v>
      </c>
      <c r="G47" s="26" t="str">
        <f>IF(D47="","",(E47*D47)/F47)</f>
        <v/>
      </c>
      <c r="K47" s="9"/>
      <c r="L47" s="23" t="str">
        <f>IF(B47="","",INDEX(V_COMBUSTIBLE_H,MATCH(B47,LISTA_MAQUINARIA,0)))</f>
        <v/>
      </c>
      <c r="M47" s="23" t="str">
        <f>+IF(L47="","",(L47*D47)/F47)</f>
        <v/>
      </c>
      <c r="N47" s="23" t="str">
        <f>IF(G47="","",G47-M47)</f>
        <v/>
      </c>
      <c r="P47" s="11"/>
    </row>
    <row r="48" spans="2:16" ht="17.25" thickBot="1" x14ac:dyDescent="0.35">
      <c r="B48" s="9"/>
      <c r="G48" s="26">
        <f>SUM(G43:G47)</f>
        <v>50572.727272727272</v>
      </c>
      <c r="K48" s="9"/>
      <c r="M48" s="24">
        <f>SUM(M43:M47)</f>
        <v>10800</v>
      </c>
      <c r="N48" s="24">
        <f>SUM(N43:N47)</f>
        <v>39772.727272727272</v>
      </c>
      <c r="P48" s="11"/>
    </row>
    <row r="49" spans="2:16" ht="17.25" thickBot="1" x14ac:dyDescent="0.35">
      <c r="B49" s="64" t="s">
        <v>96</v>
      </c>
      <c r="G49" s="11"/>
      <c r="K49" s="15"/>
      <c r="L49" s="13"/>
      <c r="M49" s="13"/>
      <c r="N49" s="13"/>
      <c r="O49" s="13"/>
      <c r="P49" s="14"/>
    </row>
    <row r="50" spans="2:16" x14ac:dyDescent="0.3">
      <c r="B50" s="63" t="s">
        <v>75</v>
      </c>
      <c r="C50" s="30" t="s">
        <v>60</v>
      </c>
      <c r="D50" s="30" t="s">
        <v>97</v>
      </c>
      <c r="E50" s="30" t="s">
        <v>92</v>
      </c>
      <c r="F50" s="30" t="s">
        <v>93</v>
      </c>
      <c r="G50" s="47" t="s">
        <v>85</v>
      </c>
    </row>
    <row r="51" spans="2:16" x14ac:dyDescent="0.3">
      <c r="B51" s="27" t="s">
        <v>357</v>
      </c>
      <c r="C51" s="30">
        <v>8</v>
      </c>
      <c r="D51" s="22">
        <f>+IF(B51="","",INDEX(F_PRESTACIONAL,MATCH(B51,L_PERSONAL,)))</f>
        <v>1.6352</v>
      </c>
      <c r="E51" s="23">
        <f>+IF(B51="","",INDEX(V_H_MANODEOBRA,MATCH(B51,L_PERSONAL,0)))</f>
        <v>24658.815999999999</v>
      </c>
      <c r="F51" s="3">
        <f>+$G$20</f>
        <v>2</v>
      </c>
      <c r="G51" s="26">
        <f>+IF(C51="","",(E51*C51)/F51)</f>
        <v>98635.263999999996</v>
      </c>
    </row>
    <row r="52" spans="2:16" x14ac:dyDescent="0.3">
      <c r="B52" s="27" t="s">
        <v>298</v>
      </c>
      <c r="C52" s="30">
        <v>1</v>
      </c>
      <c r="D52" s="22">
        <f>+IF(B52="","",INDEX(F_PRESTACIONAL,MATCH(B52,L_PERSONAL,)))</f>
        <v>1.6352</v>
      </c>
      <c r="E52" s="23">
        <f>+IF(B52="","",INDEX(V_H_MANODEOBRA,MATCH(B52,L_PERSONAL,0)))</f>
        <v>40136.727272727272</v>
      </c>
      <c r="F52" s="3">
        <f>+$G$20</f>
        <v>2</v>
      </c>
      <c r="G52" s="26">
        <f>+IF(C52="","",(E52*C52)/F52)</f>
        <v>20068.363636363636</v>
      </c>
    </row>
    <row r="53" spans="2:16" x14ac:dyDescent="0.3">
      <c r="B53" s="27"/>
      <c r="C53" s="30"/>
      <c r="D53" s="22" t="str">
        <f>+IF(B53="","",INDEX(F_PRESTACIONAL,MATCH(B53,L_PERSONAL,)))</f>
        <v/>
      </c>
      <c r="E53" s="23" t="str">
        <f>+IF(B53="","",INDEX(V_H_MANODEOBRA,MATCH(B53,L_PERSONAL,0)))</f>
        <v/>
      </c>
      <c r="F53" s="3">
        <f>+$G$20</f>
        <v>2</v>
      </c>
      <c r="G53" s="26" t="str">
        <f>+IF(C53="","",(E53*C53)/F53)</f>
        <v/>
      </c>
    </row>
    <row r="54" spans="2:16" x14ac:dyDescent="0.3">
      <c r="B54" s="27"/>
      <c r="C54" s="30"/>
      <c r="D54" s="22" t="str">
        <f>+IF(B54="","",INDEX(F_PRESTACIONAL,MATCH(B54,L_PERSONAL,)))</f>
        <v/>
      </c>
      <c r="E54" s="23" t="str">
        <f>+IF(B54="","",INDEX(V_H_MANODEOBRA,MATCH(B54,L_PERSONAL,0)))</f>
        <v/>
      </c>
      <c r="F54" s="3">
        <f>+$G$20</f>
        <v>2</v>
      </c>
      <c r="G54" s="26" t="str">
        <f>+IF(C54="","",(E54*C54)/F54)</f>
        <v/>
      </c>
    </row>
    <row r="55" spans="2:16" x14ac:dyDescent="0.3">
      <c r="B55" s="27"/>
      <c r="C55" s="30"/>
      <c r="D55" s="22" t="str">
        <f>+IF(B55="","",INDEX(F_PRESTACIONAL,MATCH(B55,L_PERSONAL,)))</f>
        <v/>
      </c>
      <c r="E55" s="23" t="str">
        <f>+IF(B55="","",INDEX(V_H_MANODEOBRA,MATCH(B55,L_PERSONAL,0)))</f>
        <v/>
      </c>
      <c r="F55" s="3">
        <f>+$G$20</f>
        <v>2</v>
      </c>
      <c r="G55" s="26" t="str">
        <f>+IF(C55="","",(E55*C55)/F55)</f>
        <v/>
      </c>
    </row>
    <row r="56" spans="2:16" x14ac:dyDescent="0.3">
      <c r="B56" s="9"/>
      <c r="G56" s="26">
        <f>SUM(G51:G55)</f>
        <v>118703.62763636363</v>
      </c>
    </row>
    <row r="57" spans="2:16" ht="17.25" thickBot="1" x14ac:dyDescent="0.35">
      <c r="B57" s="9"/>
      <c r="G57" s="11"/>
    </row>
    <row r="58" spans="2:16" ht="17.25" thickBot="1" x14ac:dyDescent="0.35">
      <c r="B58" s="610" t="s">
        <v>98</v>
      </c>
      <c r="C58" s="611"/>
      <c r="D58" s="611"/>
      <c r="E58" s="611"/>
      <c r="F58" s="612"/>
      <c r="G58" s="66">
        <f>+G56+G48+G40+G29</f>
        <v>187573.35490909091</v>
      </c>
    </row>
    <row r="59" spans="2:16" x14ac:dyDescent="0.3">
      <c r="B59" s="9"/>
      <c r="G59" s="11"/>
    </row>
    <row r="60" spans="2:16" x14ac:dyDescent="0.3">
      <c r="B60" s="52" t="s">
        <v>122</v>
      </c>
      <c r="G60" s="11"/>
    </row>
    <row r="61" spans="2:16" x14ac:dyDescent="0.3">
      <c r="B61" s="613" t="s">
        <v>99</v>
      </c>
      <c r="C61" s="614"/>
      <c r="D61" s="614"/>
      <c r="E61" s="614"/>
      <c r="F61" s="22">
        <f>+ADMINISTRACION</f>
        <v>0.12</v>
      </c>
      <c r="G61" s="26">
        <f>+$G$58*F61</f>
        <v>22508.802589090908</v>
      </c>
    </row>
    <row r="62" spans="2:16" x14ac:dyDescent="0.3">
      <c r="B62" s="613" t="s">
        <v>86</v>
      </c>
      <c r="C62" s="614"/>
      <c r="D62" s="614"/>
      <c r="E62" s="614"/>
      <c r="F62" s="22">
        <f>+IMPREVISTOS</f>
        <v>0.03</v>
      </c>
      <c r="G62" s="26">
        <f>+$G$58*F62</f>
        <v>5627.2006472727271</v>
      </c>
    </row>
    <row r="63" spans="2:16" x14ac:dyDescent="0.3">
      <c r="B63" s="613" t="s">
        <v>87</v>
      </c>
      <c r="C63" s="614"/>
      <c r="D63" s="614"/>
      <c r="E63" s="614"/>
      <c r="F63" s="22">
        <f>+UTILIDAD</f>
        <v>0.05</v>
      </c>
      <c r="G63" s="26">
        <f>+$G$58*F63</f>
        <v>9378.6677454545461</v>
      </c>
    </row>
    <row r="64" spans="2:16" x14ac:dyDescent="0.3">
      <c r="B64" s="596" t="s">
        <v>100</v>
      </c>
      <c r="C64" s="597"/>
      <c r="D64" s="597"/>
      <c r="E64" s="597"/>
      <c r="F64" s="597"/>
      <c r="G64" s="53">
        <f>SUM(G61:G63)</f>
        <v>37514.670981818184</v>
      </c>
    </row>
    <row r="65" spans="2:7" ht="17.25" thickBot="1" x14ac:dyDescent="0.35">
      <c r="B65" s="9"/>
      <c r="G65" s="44"/>
    </row>
    <row r="66" spans="2:7" ht="17.25" thickBot="1" x14ac:dyDescent="0.35">
      <c r="B66" s="598" t="s">
        <v>101</v>
      </c>
      <c r="C66" s="599"/>
      <c r="D66" s="599"/>
      <c r="E66" s="599"/>
      <c r="F66" s="600"/>
      <c r="G66" s="65">
        <f>+G64+G58</f>
        <v>225088.02589090908</v>
      </c>
    </row>
    <row r="67" spans="2:7" x14ac:dyDescent="0.3">
      <c r="B67" s="6"/>
      <c r="C67" s="7"/>
      <c r="D67" s="7"/>
      <c r="E67" s="7"/>
      <c r="F67" s="7"/>
      <c r="G67" s="8"/>
    </row>
    <row r="68" spans="2:7" x14ac:dyDescent="0.3">
      <c r="B68" s="9"/>
      <c r="G68" s="11"/>
    </row>
    <row r="69" spans="2:7" x14ac:dyDescent="0.3">
      <c r="B69" s="69" t="s">
        <v>123</v>
      </c>
      <c r="C69" s="67"/>
      <c r="D69" s="67"/>
      <c r="E69" s="67"/>
      <c r="F69" s="67"/>
      <c r="G69" s="70"/>
    </row>
    <row r="70" spans="2:7" x14ac:dyDescent="0.3">
      <c r="B70" s="71"/>
      <c r="C70" s="67"/>
      <c r="D70" s="67"/>
      <c r="E70" s="67"/>
      <c r="F70" s="67"/>
      <c r="G70" s="70"/>
    </row>
    <row r="71" spans="2:7" x14ac:dyDescent="0.3">
      <c r="B71" s="72"/>
      <c r="C71" s="68"/>
      <c r="D71" s="68"/>
      <c r="E71" s="68"/>
      <c r="F71" s="68"/>
      <c r="G71" s="73"/>
    </row>
    <row r="72" spans="2:7" x14ac:dyDescent="0.3">
      <c r="B72" s="71"/>
      <c r="C72" s="67"/>
      <c r="D72" s="67"/>
      <c r="E72" s="67"/>
      <c r="F72" s="67"/>
      <c r="G72" s="70"/>
    </row>
    <row r="73" spans="2:7" ht="17.25" thickBot="1" x14ac:dyDescent="0.35">
      <c r="B73" s="15"/>
      <c r="C73" s="13"/>
      <c r="D73" s="13"/>
      <c r="E73" s="13"/>
      <c r="F73" s="13"/>
      <c r="G73" s="14"/>
    </row>
    <row r="74" spans="2:7" x14ac:dyDescent="0.3">
      <c r="B74" s="591"/>
      <c r="C74" s="579"/>
      <c r="D74" s="579"/>
      <c r="E74" s="579"/>
      <c r="F74" s="579"/>
      <c r="G74" s="580"/>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x14ac:dyDescent="0.3">
      <c r="B78" s="592"/>
      <c r="C78" s="593"/>
      <c r="D78" s="593"/>
      <c r="E78" s="593"/>
      <c r="F78" s="593"/>
      <c r="G78" s="594"/>
    </row>
    <row r="79" spans="2:7" ht="17.25" thickBot="1" x14ac:dyDescent="0.35">
      <c r="B79" s="595"/>
      <c r="C79" s="581"/>
      <c r="D79" s="581"/>
      <c r="E79" s="581"/>
      <c r="F79" s="581"/>
      <c r="G79" s="582"/>
    </row>
    <row r="104" spans="1:1" ht="112.5" customHeight="1" x14ac:dyDescent="0.3">
      <c r="A104" s="45"/>
    </row>
    <row r="105" spans="1:1" ht="112.5" customHeight="1" x14ac:dyDescent="0.3">
      <c r="A105" s="45"/>
    </row>
    <row r="106" spans="1:1" ht="67.5" customHeight="1" x14ac:dyDescent="0.3">
      <c r="A106" t="s">
        <v>130</v>
      </c>
    </row>
  </sheetData>
  <mergeCells count="17">
    <mergeCell ref="B61:E61"/>
    <mergeCell ref="B1:G1"/>
    <mergeCell ref="B2:G2"/>
    <mergeCell ref="B3:G3"/>
    <mergeCell ref="B4:G4"/>
    <mergeCell ref="B11:G11"/>
    <mergeCell ref="C12:G13"/>
    <mergeCell ref="B14:G14"/>
    <mergeCell ref="B15:G15"/>
    <mergeCell ref="B16:G17"/>
    <mergeCell ref="B18:E20"/>
    <mergeCell ref="B58:F58"/>
    <mergeCell ref="B62:E62"/>
    <mergeCell ref="B63:E63"/>
    <mergeCell ref="B64:F64"/>
    <mergeCell ref="B66:F66"/>
    <mergeCell ref="B74:G79"/>
  </mergeCells>
  <phoneticPr fontId="42" type="noConversion"/>
  <dataValidations count="5">
    <dataValidation type="list" allowBlank="1" showInputMessage="1" showErrorMessage="1" sqref="E103" xr:uid="{5F11FCD1-EE99-4525-A659-4C96D64C7AE4}">
      <formula1>$A$104:$A$106</formula1>
    </dataValidation>
    <dataValidation type="list" allowBlank="1" showInputMessage="1" showErrorMessage="1" sqref="B13" xr:uid="{D1A7265A-193D-44DF-B402-C23AE6F3D8C2}">
      <formula1>ITEM</formula1>
    </dataValidation>
    <dataValidation type="list" allowBlank="1" showInputMessage="1" showErrorMessage="1" sqref="B51:B55" xr:uid="{4CA64425-7018-417C-ABC1-B7019C259DC4}">
      <formula1>L_PERSONAL</formula1>
    </dataValidation>
    <dataValidation type="list" allowBlank="1" showInputMessage="1" showErrorMessage="1" sqref="B32:B39" xr:uid="{C6337C55-8652-4703-937D-D103C61CA9F2}">
      <formula1>L_MATERIALES</formula1>
    </dataValidation>
    <dataValidation type="list" allowBlank="1" showInputMessage="1" showErrorMessage="1" sqref="B23:B28 B43:B47" xr:uid="{D32F19FA-1218-4172-A116-8370E194D660}">
      <formula1>LISTA_MAQUINARIA</formula1>
    </dataValidation>
  </dataValidations>
  <pageMargins left="0.70866141732283472" right="0.70866141732283472" top="0.74803149606299213" bottom="0.74803149606299213" header="0.31496062992125984" footer="0.31496062992125984"/>
  <pageSetup scale="50" orientation="portrait" r:id="rId1"/>
  <rowBreaks count="1" manualBreakCount="1">
    <brk id="73" max="16383" man="1"/>
  </rowBreaks>
  <colBreaks count="1" manualBreakCount="1">
    <brk id="7" max="1048575" man="1"/>
  </colBreaks>
  <drawing r:id="rId2"/>
  <tableParts count="1">
    <tablePart r:id="rId3"/>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C3ADC3-036D-4196-BAFD-D68487DF28A8}">
  <sheetPr codeName="Hoja17"/>
  <dimension ref="A1:P105"/>
  <sheetViews>
    <sheetView showGridLines="0" view="pageBreakPreview" zoomScale="140" zoomScaleNormal="71" workbookViewId="0">
      <selection activeCell="D25" sqref="D25"/>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6</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18" t="str">
        <f>+IF($B$13="","",INDEX(DESCRIP_ITEM,MATCH($B$13,ITEM,0)))</f>
        <v>Montaje y Alineación de Módulos. El contratista debe utilizar las guías y accesorios del fabricante que permiten la estricta alienación de los módulos, utilizar las herramientas calibradas adecuadas y aplicar el torque según las tablas de torqueado. El contratista es responsable de la disposición de los residuos generados durante esta actividad y de los empaques como cartón, madera y plástico en el sitio establecido por powerchina.</v>
      </c>
      <c r="C16" s="619"/>
      <c r="D16" s="619"/>
      <c r="E16" s="619"/>
      <c r="F16" s="619"/>
      <c r="G16" s="620"/>
    </row>
    <row r="17" spans="2:16" ht="44.25" customHeight="1" thickBot="1" x14ac:dyDescent="0.35">
      <c r="B17" s="621"/>
      <c r="C17" s="622"/>
      <c r="D17" s="622"/>
      <c r="E17" s="622"/>
      <c r="F17" s="622"/>
      <c r="G17" s="623"/>
    </row>
    <row r="18" spans="2:16" ht="17.25" thickBot="1" x14ac:dyDescent="0.35">
      <c r="B18" s="591"/>
      <c r="C18" s="579"/>
      <c r="D18" s="579"/>
      <c r="E18" s="579"/>
      <c r="G18" s="11"/>
    </row>
    <row r="19" spans="2:16" ht="17.25" thickBot="1" x14ac:dyDescent="0.35">
      <c r="B19" s="592"/>
      <c r="C19" s="593"/>
      <c r="D19" s="593"/>
      <c r="E19" s="593"/>
      <c r="F19" s="54" t="s">
        <v>89</v>
      </c>
      <c r="G19" s="25" t="str">
        <f>+IF(B13="","",INDEX(U_ITEM,MATCH(B13,ITEM,0)))</f>
        <v>Und</v>
      </c>
    </row>
    <row r="20" spans="2:16" ht="17.25" thickBot="1" x14ac:dyDescent="0.35">
      <c r="B20" s="592"/>
      <c r="C20" s="593"/>
      <c r="D20" s="593"/>
      <c r="E20" s="593"/>
      <c r="F20" s="55" t="s">
        <v>90</v>
      </c>
      <c r="G20" s="56">
        <f>(C50*60)/8</f>
        <v>300</v>
      </c>
      <c r="H20">
        <f>G20*8</f>
        <v>2400</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t="s">
        <v>353</v>
      </c>
      <c r="C23" s="3" t="str">
        <f>+IF(B23="","",INDEX(U_MAQUINARIA,MATCH(B23,LISTA_MAQUINARIA,0)))</f>
        <v>VALOR / HORA</v>
      </c>
      <c r="D23" s="30">
        <v>2</v>
      </c>
      <c r="E23" s="23">
        <f>+IF(B23="","",INDEX(V_MAQUINARIA,MATCH(B23,LISTA_MAQUINARIA,0)))</f>
        <v>176300</v>
      </c>
      <c r="F23" s="3">
        <f>$G$20</f>
        <v>300</v>
      </c>
      <c r="G23" s="26">
        <f>+IF(B23="","",(D23*E23)/F23)</f>
        <v>1175.3333333333333</v>
      </c>
      <c r="K23" s="9"/>
      <c r="L23" s="23">
        <f>IF(B23="","",INDEX(V_COMBUSTIBLE_H,MATCH(B23,LISTA_MAQUINARIA,0)))</f>
        <v>21600</v>
      </c>
      <c r="M23" s="23">
        <f>+IF(L23="","",(L23*D23)/F23)</f>
        <v>144</v>
      </c>
      <c r="N23" s="23">
        <f>IF(G23="","",G23-M23)</f>
        <v>1031.3333333333333</v>
      </c>
      <c r="P23" s="11"/>
    </row>
    <row r="24" spans="2:16" x14ac:dyDescent="0.3">
      <c r="B24" s="27" t="s">
        <v>354</v>
      </c>
      <c r="C24" s="3" t="str">
        <f>+IF(B24="","",INDEX(U_MAQUINARIA,MATCH(B24,LISTA_MAQUINARIA,0)))</f>
        <v>VALOR / HORA</v>
      </c>
      <c r="D24" s="30">
        <v>2</v>
      </c>
      <c r="E24" s="23">
        <f>+IF(B24="","",INDEX(V_MAQUINARIA,MATCH(B24,LISTA_MAQUINARIA,0)))</f>
        <v>89781.818181818177</v>
      </c>
      <c r="F24" s="3">
        <f>$G$20</f>
        <v>300</v>
      </c>
      <c r="G24" s="26">
        <f>+IF(B24="","",(D24*E24)/F24)</f>
        <v>598.5454545454545</v>
      </c>
      <c r="K24" s="9"/>
      <c r="L24" s="3">
        <f>IF(B24="","",INDEX(V_COMBUSTIBLE_H,MATCH(B24,LISTA_MAQUINARIA,0)))</f>
        <v>21600</v>
      </c>
      <c r="M24" s="3">
        <f>+IF(L24="","",(L24*D24)/F24)</f>
        <v>144</v>
      </c>
      <c r="N24" s="3">
        <f>IF(G24="","",G24-M24)</f>
        <v>454.5454545454545</v>
      </c>
      <c r="P24" s="11"/>
    </row>
    <row r="25" spans="2:16" x14ac:dyDescent="0.3">
      <c r="B25" s="27"/>
      <c r="C25" s="3" t="str">
        <f>+IF(B25="","",INDEX(U_MAQUINARIA,MATCH(B25,LISTA_MAQUINARIA,0)))</f>
        <v/>
      </c>
      <c r="D25" s="30"/>
      <c r="E25" s="23" t="str">
        <f>+IF(B25="","",INDEX(V_MAQUINARIA,MATCH(B25,LISTA_MAQUINARIA,0)))</f>
        <v/>
      </c>
      <c r="F25" s="3">
        <f>$G$20</f>
        <v>300</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300</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300</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1773.8787878787878</v>
      </c>
      <c r="K28" s="9"/>
      <c r="M28" s="24">
        <f>SUM(M23:M27)</f>
        <v>288</v>
      </c>
      <c r="N28" s="24">
        <f>SUM(N23:N27)</f>
        <v>1485.8787878787878</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t="s">
        <v>361</v>
      </c>
      <c r="C31" s="3" t="str">
        <f t="shared" ref="C31:C38" si="0">+IF(B31="","",INDEX(U_MATERIAL,MATCH(B31,L_MATERIALES,0)))</f>
        <v>UND</v>
      </c>
      <c r="D31" s="30">
        <v>1</v>
      </c>
      <c r="E31" s="23">
        <f t="shared" ref="E31:E38" si="1">+IF(B31="","",INDEX(V_UNITARIOMATERIAL,MATCH(B31,L_MATERIALES,0)))</f>
        <v>340000</v>
      </c>
      <c r="F31" s="30">
        <v>5000</v>
      </c>
      <c r="G31" s="26">
        <f>IF(D31="","",(E31*D31)/F31)</f>
        <v>68</v>
      </c>
      <c r="K31" s="9"/>
      <c r="L31" t="str">
        <f>+IF(B31="","",B31)</f>
        <v>HERRAMIENTA MENOR---</v>
      </c>
      <c r="M31">
        <f t="shared" ref="M31:M38" si="2">IF(D31="","",(D31/F31)*INDEX(CANT_PROYECTO,MATCH($B$13,ITEM,0)))</f>
        <v>39.744</v>
      </c>
      <c r="N31" s="1"/>
      <c r="P31" s="11"/>
    </row>
    <row r="32" spans="2:16" x14ac:dyDescent="0.3">
      <c r="B32" s="27" t="s">
        <v>364</v>
      </c>
      <c r="C32" s="3" t="str">
        <f t="shared" si="0"/>
        <v>UND</v>
      </c>
      <c r="D32" s="30">
        <v>4</v>
      </c>
      <c r="E32" s="23">
        <f t="shared" si="1"/>
        <v>1250000</v>
      </c>
      <c r="F32" s="30">
        <v>50000</v>
      </c>
      <c r="G32" s="26">
        <f t="shared" ref="G32:G38" si="3">IF(D32="","",(E32*D32)/F32)</f>
        <v>100</v>
      </c>
      <c r="K32" s="9"/>
      <c r="L32" t="str">
        <f t="shared" ref="L32:L38" si="4">+IF(B32="","",B32)</f>
        <v>TORQUIMETRO DIGITAL - ACREDITACION---</v>
      </c>
      <c r="M32">
        <f t="shared" si="2"/>
        <v>15.897600000000001</v>
      </c>
      <c r="N32" s="1"/>
      <c r="P32" s="11"/>
    </row>
    <row r="33" spans="2:16" x14ac:dyDescent="0.3">
      <c r="B33" s="27" t="s">
        <v>366</v>
      </c>
      <c r="C33" s="3" t="str">
        <f t="shared" si="0"/>
        <v>UND</v>
      </c>
      <c r="D33" s="30">
        <v>1</v>
      </c>
      <c r="E33" s="23">
        <f t="shared" si="1"/>
        <v>870000</v>
      </c>
      <c r="F33" s="30">
        <v>10000</v>
      </c>
      <c r="G33" s="26">
        <f t="shared" si="3"/>
        <v>87</v>
      </c>
      <c r="K33" s="9"/>
      <c r="L33" t="str">
        <f t="shared" si="4"/>
        <v>HERRAMIENTA TORQUE HILTI---</v>
      </c>
      <c r="M33">
        <f t="shared" si="2"/>
        <v>19.872</v>
      </c>
      <c r="N33" s="1"/>
      <c r="P33" s="11"/>
    </row>
    <row r="34" spans="2:16" x14ac:dyDescent="0.3">
      <c r="B34" s="27"/>
      <c r="C34" s="3" t="str">
        <f t="shared" si="0"/>
        <v/>
      </c>
      <c r="D34" s="30"/>
      <c r="E34" s="23" t="str">
        <f t="shared" si="1"/>
        <v/>
      </c>
      <c r="F34" s="30"/>
      <c r="G34" s="26" t="str">
        <f t="shared" si="3"/>
        <v/>
      </c>
      <c r="K34" s="9"/>
      <c r="L34" t="str">
        <f t="shared" si="4"/>
        <v/>
      </c>
      <c r="M34" t="str">
        <f t="shared" si="2"/>
        <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255</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c r="C42" s="3" t="str">
        <f>+IF(B42="","",INDEX(U_MAQUINARIA,MATCH(B42,LISTA_MAQUINARIA,0)))</f>
        <v/>
      </c>
      <c r="D42" s="30"/>
      <c r="E42" s="23" t="str">
        <f>+IF(B42="","",INDEX(V_MAQUINARIA,MATCH(B42,LISTA_MAQUINARIA,0)))</f>
        <v/>
      </c>
      <c r="F42" s="3">
        <f>+$G$20</f>
        <v>300</v>
      </c>
      <c r="G42" s="26" t="str">
        <f>IF(D42="","",(E42*D42)/F42)</f>
        <v/>
      </c>
      <c r="K42" s="9"/>
      <c r="L42" s="23" t="str">
        <f>IF(B42="","",INDEX(V_COMBUSTIBLE_H,MATCH(B42,LISTA_MAQUINARIA,0)))</f>
        <v/>
      </c>
      <c r="M42" s="23" t="str">
        <f>+IF(L42="","",(L42*D42)/F42)</f>
        <v/>
      </c>
      <c r="N42" s="23" t="str">
        <f>IF(G42="","",G42-M42)</f>
        <v/>
      </c>
      <c r="P42" s="11"/>
    </row>
    <row r="43" spans="2:16" x14ac:dyDescent="0.3">
      <c r="B43" s="27"/>
      <c r="C43" s="3" t="str">
        <f>+IF(B43="","",INDEX(U_MAQUINARIA,MATCH(B43,LISTA_MAQUINARIA,0)))</f>
        <v/>
      </c>
      <c r="D43" s="30"/>
      <c r="E43" s="23" t="str">
        <f>+IF(B43="","",INDEX(V_MAQUINARIA,MATCH(B43,LISTA_MAQUINARIA,0)))</f>
        <v/>
      </c>
      <c r="F43" s="3">
        <f>+$G$20</f>
        <v>300</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300</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300</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300</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0</v>
      </c>
      <c r="K47" s="9"/>
      <c r="M47" s="24">
        <f>SUM(M42:M46)</f>
        <v>0</v>
      </c>
      <c r="N47" s="24">
        <f>SUM(N42:N46)</f>
        <v>0</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t="s">
        <v>304</v>
      </c>
      <c r="C50" s="30">
        <v>40</v>
      </c>
      <c r="D50" s="22">
        <f>+IF(B50="","",INDEX(F_PRESTACIONAL,MATCH(B50,L_PERSONAL,)))</f>
        <v>1.6352</v>
      </c>
      <c r="E50" s="23">
        <f>+IF(B50="","",INDEX(V_H_MANODEOBRA,MATCH(B50,L_PERSONAL,0)))</f>
        <v>24658.815999999999</v>
      </c>
      <c r="F50" s="3">
        <f>+$G$20</f>
        <v>300</v>
      </c>
      <c r="G50" s="26">
        <f>+IF(C50="","",(E50*C50)/F50)</f>
        <v>3287.8421333333331</v>
      </c>
    </row>
    <row r="51" spans="2:7" x14ac:dyDescent="0.3">
      <c r="B51" s="27" t="s">
        <v>298</v>
      </c>
      <c r="C51" s="30">
        <v>2</v>
      </c>
      <c r="D51" s="22">
        <f>+IF(B51="","",INDEX(F_PRESTACIONAL,MATCH(B51,L_PERSONAL,)))</f>
        <v>1.6352</v>
      </c>
      <c r="E51" s="23">
        <f>+IF(B51="","",INDEX(V_H_MANODEOBRA,MATCH(B51,L_PERSONAL,0)))</f>
        <v>40136.727272727272</v>
      </c>
      <c r="F51" s="3">
        <f>+$G$20</f>
        <v>300</v>
      </c>
      <c r="G51" s="26">
        <f>+IF(C51="","",(E51*C51)/F51)</f>
        <v>267.5781818181818</v>
      </c>
    </row>
    <row r="52" spans="2:7" x14ac:dyDescent="0.3">
      <c r="B52" s="27" t="s">
        <v>305</v>
      </c>
      <c r="C52" s="30">
        <v>2</v>
      </c>
      <c r="D52" s="22">
        <f>+IF(B52="","",INDEX(F_PRESTACIONAL,MATCH(B52,L_PERSONAL,)))</f>
        <v>2.2351999999999999</v>
      </c>
      <c r="E52" s="23">
        <f>+IF(B52="","",INDEX(V_H_MANODEOBRA,MATCH(B52,L_PERSONAL,0)))</f>
        <v>50800</v>
      </c>
      <c r="F52" s="3">
        <f>+$G$20</f>
        <v>300</v>
      </c>
      <c r="G52" s="26">
        <f>+IF(C52="","",(E52*C52)/F52)</f>
        <v>338.66666666666669</v>
      </c>
    </row>
    <row r="53" spans="2:7" x14ac:dyDescent="0.3">
      <c r="B53" s="27" t="s">
        <v>299</v>
      </c>
      <c r="C53" s="30">
        <v>2</v>
      </c>
      <c r="D53" s="22">
        <f>+IF(B53="","",INDEX(F_PRESTACIONAL,MATCH(B53,L_PERSONAL,)))</f>
        <v>1.6352</v>
      </c>
      <c r="E53" s="23">
        <f>+IF(B53="","",INDEX(V_H_MANODEOBRA,MATCH(B53,L_PERSONAL,0)))</f>
        <v>22298.18181818182</v>
      </c>
      <c r="F53" s="3">
        <f>+$G$20</f>
        <v>300</v>
      </c>
      <c r="G53" s="26">
        <f>+IF(C53="","",(E53*C53)/F53)</f>
        <v>148.65454545454546</v>
      </c>
    </row>
    <row r="54" spans="2:7" x14ac:dyDescent="0.3">
      <c r="B54" s="27" t="s">
        <v>357</v>
      </c>
      <c r="C54" s="30">
        <v>10</v>
      </c>
      <c r="D54" s="22">
        <f>+IF(B54="","",INDEX(F_PRESTACIONAL,MATCH(B54,L_PERSONAL,)))</f>
        <v>1.6352</v>
      </c>
      <c r="E54" s="23">
        <f>+IF(B54="","",INDEX(V_H_MANODEOBRA,MATCH(B54,L_PERSONAL,0)))</f>
        <v>24658.815999999999</v>
      </c>
      <c r="F54" s="3">
        <f>+$G$20</f>
        <v>300</v>
      </c>
      <c r="G54" s="26">
        <f>+IF(C54="","",(E54*C54)/F54)</f>
        <v>821.96053333333327</v>
      </c>
    </row>
    <row r="55" spans="2:7" x14ac:dyDescent="0.3">
      <c r="B55" s="9"/>
      <c r="G55" s="26">
        <f>SUM(G50:G54)</f>
        <v>4864.7020606060596</v>
      </c>
    </row>
    <row r="56" spans="2:7" ht="17.25" thickBot="1" x14ac:dyDescent="0.35">
      <c r="B56" s="9"/>
      <c r="G56" s="11"/>
    </row>
    <row r="57" spans="2:7" ht="17.25" thickBot="1" x14ac:dyDescent="0.35">
      <c r="B57" s="610" t="s">
        <v>98</v>
      </c>
      <c r="C57" s="611"/>
      <c r="D57" s="611"/>
      <c r="E57" s="611"/>
      <c r="F57" s="612"/>
      <c r="G57" s="66">
        <f>+G55+G47+G39+G28</f>
        <v>6893.5808484848476</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827.22970181818164</v>
      </c>
    </row>
    <row r="61" spans="2:7" x14ac:dyDescent="0.3">
      <c r="B61" s="613" t="s">
        <v>86</v>
      </c>
      <c r="C61" s="614"/>
      <c r="D61" s="614"/>
      <c r="E61" s="614"/>
      <c r="F61" s="22">
        <f>+IMPREVISTOS</f>
        <v>0.03</v>
      </c>
      <c r="G61" s="26">
        <f>+$G$57*F61</f>
        <v>206.80742545454541</v>
      </c>
    </row>
    <row r="62" spans="2:7" x14ac:dyDescent="0.3">
      <c r="B62" s="613" t="s">
        <v>87</v>
      </c>
      <c r="C62" s="614"/>
      <c r="D62" s="614"/>
      <c r="E62" s="614"/>
      <c r="F62" s="22">
        <f>+UTILIDAD</f>
        <v>0.05</v>
      </c>
      <c r="G62" s="26">
        <f>+$G$57*F62</f>
        <v>344.67904242424243</v>
      </c>
    </row>
    <row r="63" spans="2:7" x14ac:dyDescent="0.3">
      <c r="B63" s="596" t="s">
        <v>100</v>
      </c>
      <c r="C63" s="597"/>
      <c r="D63" s="597"/>
      <c r="E63" s="597"/>
      <c r="F63" s="597"/>
      <c r="G63" s="53">
        <f>SUM(G60:G62)</f>
        <v>1378.7161696969695</v>
      </c>
    </row>
    <row r="64" spans="2:7" ht="17.25" thickBot="1" x14ac:dyDescent="0.35">
      <c r="B64" s="9"/>
      <c r="G64" s="44"/>
    </row>
    <row r="65" spans="2:8" ht="17.25" thickBot="1" x14ac:dyDescent="0.35">
      <c r="B65" s="598" t="s">
        <v>101</v>
      </c>
      <c r="C65" s="599"/>
      <c r="D65" s="599"/>
      <c r="E65" s="599"/>
      <c r="F65" s="600"/>
      <c r="G65" s="65">
        <f>+G63+G57</f>
        <v>8272.2970181818164</v>
      </c>
      <c r="H65" s="294"/>
    </row>
    <row r="66" spans="2:8" x14ac:dyDescent="0.3">
      <c r="B66" s="6"/>
      <c r="C66" s="7"/>
      <c r="D66" s="7"/>
      <c r="E66" s="7"/>
      <c r="F66" s="7"/>
      <c r="G66" s="8"/>
    </row>
    <row r="67" spans="2:8" x14ac:dyDescent="0.3">
      <c r="B67" s="9"/>
      <c r="G67" s="11"/>
    </row>
    <row r="68" spans="2:8" x14ac:dyDescent="0.3">
      <c r="B68" s="69" t="s">
        <v>123</v>
      </c>
      <c r="C68" s="67"/>
      <c r="D68" s="67"/>
      <c r="E68" s="67"/>
      <c r="F68" s="67"/>
      <c r="G68" s="70"/>
    </row>
    <row r="69" spans="2:8" x14ac:dyDescent="0.3">
      <c r="B69" s="71"/>
      <c r="C69" s="67"/>
      <c r="D69" s="67"/>
      <c r="E69" s="67"/>
      <c r="F69" s="67"/>
      <c r="G69" s="70"/>
    </row>
    <row r="70" spans="2:8" x14ac:dyDescent="0.3">
      <c r="B70" s="72"/>
      <c r="C70" s="68"/>
      <c r="D70" s="68"/>
      <c r="E70" s="68"/>
      <c r="F70" s="68"/>
      <c r="G70" s="73"/>
    </row>
    <row r="71" spans="2:8" x14ac:dyDescent="0.3">
      <c r="B71" s="71"/>
      <c r="C71" s="67"/>
      <c r="D71" s="67"/>
      <c r="E71" s="67"/>
      <c r="F71" s="67"/>
      <c r="G71" s="70"/>
    </row>
    <row r="72" spans="2:8" ht="17.25" thickBot="1" x14ac:dyDescent="0.35">
      <c r="B72" s="15"/>
      <c r="C72" s="13"/>
      <c r="D72" s="13"/>
      <c r="E72" s="13"/>
      <c r="F72" s="13"/>
      <c r="G72" s="14"/>
    </row>
    <row r="73" spans="2:8" x14ac:dyDescent="0.3">
      <c r="B73" s="591"/>
      <c r="C73" s="579"/>
      <c r="D73" s="579"/>
      <c r="E73" s="579"/>
      <c r="F73" s="579"/>
      <c r="G73" s="580"/>
    </row>
    <row r="74" spans="2:8" x14ac:dyDescent="0.3">
      <c r="B74" s="592"/>
      <c r="C74" s="593"/>
      <c r="D74" s="593"/>
      <c r="E74" s="593"/>
      <c r="F74" s="593"/>
      <c r="G74" s="594"/>
    </row>
    <row r="75" spans="2:8" x14ac:dyDescent="0.3">
      <c r="B75" s="592"/>
      <c r="C75" s="593"/>
      <c r="D75" s="593"/>
      <c r="E75" s="593"/>
      <c r="F75" s="593"/>
      <c r="G75" s="594"/>
    </row>
    <row r="76" spans="2:8" x14ac:dyDescent="0.3">
      <c r="B76" s="592"/>
      <c r="C76" s="593"/>
      <c r="D76" s="593"/>
      <c r="E76" s="593"/>
      <c r="F76" s="593"/>
      <c r="G76" s="594"/>
    </row>
    <row r="77" spans="2:8" x14ac:dyDescent="0.3">
      <c r="B77" s="592"/>
      <c r="C77" s="593"/>
      <c r="D77" s="593"/>
      <c r="E77" s="593"/>
      <c r="F77" s="593"/>
      <c r="G77" s="594"/>
    </row>
    <row r="78" spans="2:8"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count="5">
    <dataValidation type="list" allowBlank="1" showInputMessage="1" showErrorMessage="1" sqref="E102" xr:uid="{F0596BF9-B00D-45FF-8C46-E5A802383A82}">
      <formula1>$A$103:$A$105</formula1>
    </dataValidation>
    <dataValidation type="list" allowBlank="1" showInputMessage="1" showErrorMessage="1" sqref="B13" xr:uid="{8DD64878-0688-4F3B-BC7F-986B5AF35C5A}">
      <formula1>ITEM</formula1>
    </dataValidation>
    <dataValidation type="list" allowBlank="1" showInputMessage="1" showErrorMessage="1" sqref="B50:B54" xr:uid="{F2248D05-FBA4-4FE4-A57A-2B650CACEA72}">
      <formula1>L_PERSONAL</formula1>
    </dataValidation>
    <dataValidation type="list" allowBlank="1" showInputMessage="1" showErrorMessage="1" sqref="B31:B38" xr:uid="{0A3C836A-8CB5-43AB-BD11-05345E4AADC0}">
      <formula1>L_MATERIALES</formula1>
    </dataValidation>
    <dataValidation type="list" allowBlank="1" showInputMessage="1" showErrorMessage="1" sqref="B23:B27 B42:B46" xr:uid="{E0045E36-9734-4F45-990B-B1BCA951262F}">
      <formula1>LISTA_MAQUINARIA</formula1>
    </dataValidation>
  </dataValidations>
  <pageMargins left="0.70866141732283472" right="0.70866141732283472" top="0.74803149606299213" bottom="0.74803149606299213" header="0.31496062992125984" footer="0.31496062992125984"/>
  <pageSetup scale="50" orientation="portrait" r:id="rId1"/>
  <rowBreaks count="1" manualBreakCount="1">
    <brk id="72" max="16383" man="1"/>
  </rowBreaks>
  <colBreaks count="1" manualBreakCount="1">
    <brk id="7" max="1048575" man="1"/>
  </colBreaks>
  <drawing r:id="rId2"/>
  <tableParts count="1">
    <tablePart r:id="rId3"/>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24CBF-0FB1-4D66-9BC5-94F08ABA2562}">
  <sheetPr codeName="Hoja18"/>
  <dimension ref="A1:P105"/>
  <sheetViews>
    <sheetView showGridLines="0" view="pageBreakPreview" zoomScale="79" zoomScaleNormal="77" workbookViewId="0">
      <selection activeCell="C53" sqref="C53"/>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7</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18" t="str">
        <f>+IF($B$13="","",INDEX(DESCRIP_ITEM,MATCH($B$13,ITEM,0)))</f>
        <v>Instalacion del Motor. Asegurar el acoplamiento mecánico de todo el sistema servomoter. Utilizando las herramietnas calibradas adecuadas. Seguir estrictamente las instrucciones del manual de instalación del fabricante.</v>
      </c>
      <c r="C16" s="619"/>
      <c r="D16" s="619"/>
      <c r="E16" s="619"/>
      <c r="F16" s="619"/>
      <c r="G16" s="620"/>
    </row>
    <row r="17" spans="2:16" ht="44.25" customHeight="1" thickBot="1" x14ac:dyDescent="0.35">
      <c r="B17" s="621"/>
      <c r="C17" s="622"/>
      <c r="D17" s="622"/>
      <c r="E17" s="622"/>
      <c r="F17" s="622"/>
      <c r="G17" s="623"/>
    </row>
    <row r="18" spans="2:16" ht="17.25" thickBot="1" x14ac:dyDescent="0.35">
      <c r="B18" s="591"/>
      <c r="C18" s="579"/>
      <c r="D18" s="579"/>
      <c r="E18" s="579"/>
      <c r="G18" s="11"/>
    </row>
    <row r="19" spans="2:16" ht="17.25" thickBot="1" x14ac:dyDescent="0.35">
      <c r="B19" s="592"/>
      <c r="C19" s="593"/>
      <c r="D19" s="593"/>
      <c r="E19" s="593"/>
      <c r="F19" s="54" t="s">
        <v>89</v>
      </c>
      <c r="G19" s="25" t="str">
        <f>+IF(B13="","",INDEX(U_ITEM,MATCH(B13,ITEM,0)))</f>
        <v>Und</v>
      </c>
    </row>
    <row r="20" spans="2:16" ht="17.25" thickBot="1" x14ac:dyDescent="0.35">
      <c r="B20" s="592"/>
      <c r="C20" s="593"/>
      <c r="D20" s="593"/>
      <c r="E20" s="593"/>
      <c r="F20" s="55" t="s">
        <v>90</v>
      </c>
      <c r="G20" s="56">
        <v>2</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c r="C23" s="3" t="str">
        <f>+IF(B23="","",INDEX(U_MAQUINARIA,MATCH(B23,LISTA_MAQUINARIA,0)))</f>
        <v/>
      </c>
      <c r="D23" s="30"/>
      <c r="E23" s="23" t="str">
        <f>+IF(B23="","",INDEX(V_MAQUINARIA,MATCH(B23,LISTA_MAQUINARIA,0)))</f>
        <v/>
      </c>
      <c r="F23" s="3">
        <f>$G$20</f>
        <v>2</v>
      </c>
      <c r="G23" s="26" t="str">
        <f>+IF(B23="","",(D23*E23)/F23)</f>
        <v/>
      </c>
      <c r="K23" s="9"/>
      <c r="L23" s="23" t="str">
        <f>IF(B23="","",INDEX(V_COMBUSTIBLE_H,MATCH(B23,LISTA_MAQUINARIA,0)))</f>
        <v/>
      </c>
      <c r="M23" s="23" t="str">
        <f>+IF(L23="","",(L23*D23)/F23)</f>
        <v/>
      </c>
      <c r="N23" s="23" t="str">
        <f>IF(G23="","",G23-M23)</f>
        <v/>
      </c>
      <c r="P23" s="11"/>
    </row>
    <row r="24" spans="2:16" x14ac:dyDescent="0.3">
      <c r="B24" s="27"/>
      <c r="C24" s="3" t="str">
        <f>+IF(B24="","",INDEX(U_MAQUINARIA,MATCH(B24,LISTA_MAQUINARIA,0)))</f>
        <v/>
      </c>
      <c r="D24" s="30"/>
      <c r="E24" s="23" t="str">
        <f>+IF(B24="","",INDEX(V_MAQUINARIA,MATCH(B24,LISTA_MAQUINARIA,0)))</f>
        <v/>
      </c>
      <c r="F24" s="3">
        <f>$G$20</f>
        <v>2</v>
      </c>
      <c r="G24" s="26" t="str">
        <f>+IF(B24="","",(D24*E24)/F24)</f>
        <v/>
      </c>
      <c r="K24" s="9"/>
      <c r="L24" s="3" t="str">
        <f>IF(B24="","",INDEX(V_COMBUSTIBLE_H,MATCH(B24,LISTA_MAQUINARIA,0)))</f>
        <v/>
      </c>
      <c r="M24" s="3" t="str">
        <f>+IF(L24="","",(L24*D24)/F24)</f>
        <v/>
      </c>
      <c r="N24" s="3" t="str">
        <f>IF(G24="","",G24-M24)</f>
        <v/>
      </c>
      <c r="P24" s="11"/>
    </row>
    <row r="25" spans="2:16" x14ac:dyDescent="0.3">
      <c r="B25" s="27"/>
      <c r="C25" s="3" t="str">
        <f>+IF(B25="","",INDEX(U_MAQUINARIA,MATCH(B25,LISTA_MAQUINARIA,0)))</f>
        <v/>
      </c>
      <c r="D25" s="30"/>
      <c r="E25" s="23" t="str">
        <f>+IF(B25="","",INDEX(V_MAQUINARIA,MATCH(B25,LISTA_MAQUINARIA,0)))</f>
        <v/>
      </c>
      <c r="F25" s="3">
        <f>$G$20</f>
        <v>2</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2</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2</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0</v>
      </c>
      <c r="K28" s="9"/>
      <c r="M28" s="24">
        <f>SUM(M23:M27)</f>
        <v>0</v>
      </c>
      <c r="N28" s="24">
        <f>SUM(N23:N27)</f>
        <v>0</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t="s">
        <v>361</v>
      </c>
      <c r="C31" s="3" t="str">
        <f t="shared" ref="C31:C38" si="0">+IF(B31="","",INDEX(U_MATERIAL,MATCH(B31,L_MATERIALES,0)))</f>
        <v>UND</v>
      </c>
      <c r="D31" s="30">
        <v>4</v>
      </c>
      <c r="E31" s="23">
        <f t="shared" ref="E31:E38" si="1">+IF(B31="","",INDEX(V_UNITARIOMATERIAL,MATCH(B31,L_MATERIALES,0)))</f>
        <v>340000</v>
      </c>
      <c r="F31" s="30">
        <v>500</v>
      </c>
      <c r="G31" s="26">
        <f>IF(D31="","",(E31*D31)/F31)</f>
        <v>2720</v>
      </c>
      <c r="K31" s="9"/>
      <c r="L31" t="str">
        <f>+IF(B31="","",B31)</f>
        <v>HERRAMIENTA MENOR---</v>
      </c>
      <c r="M31">
        <f t="shared" ref="M31:M38" si="2">IF(D31="","",(D31/F31)*INDEX(CANT_PROYECTO,MATCH($B$13,ITEM,0)))</f>
        <v>18.32</v>
      </c>
      <c r="N31" s="1"/>
      <c r="P31" s="11"/>
    </row>
    <row r="32" spans="2:16" x14ac:dyDescent="0.3">
      <c r="B32" s="27" t="s">
        <v>364</v>
      </c>
      <c r="C32" s="3" t="str">
        <f t="shared" si="0"/>
        <v>UND</v>
      </c>
      <c r="D32" s="30">
        <v>4</v>
      </c>
      <c r="E32" s="23">
        <f t="shared" si="1"/>
        <v>1250000</v>
      </c>
      <c r="F32" s="30">
        <v>500</v>
      </c>
      <c r="G32" s="26">
        <f t="shared" ref="G32:G38" si="3">IF(D32="","",(E32*D32)/F32)</f>
        <v>10000</v>
      </c>
      <c r="K32" s="9"/>
      <c r="L32" t="str">
        <f t="shared" ref="L32:L38" si="4">+IF(B32="","",B32)</f>
        <v>TORQUIMETRO DIGITAL - ACREDITACION---</v>
      </c>
      <c r="M32">
        <f t="shared" si="2"/>
        <v>18.32</v>
      </c>
      <c r="N32" s="1"/>
      <c r="P32" s="11"/>
    </row>
    <row r="33" spans="2:16" x14ac:dyDescent="0.3">
      <c r="B33" s="27"/>
      <c r="C33" s="3" t="str">
        <f t="shared" si="0"/>
        <v/>
      </c>
      <c r="D33" s="30"/>
      <c r="E33" s="23" t="str">
        <f t="shared" si="1"/>
        <v/>
      </c>
      <c r="F33" s="30"/>
      <c r="G33" s="26" t="str">
        <f t="shared" si="3"/>
        <v/>
      </c>
      <c r="K33" s="9"/>
      <c r="L33" t="str">
        <f t="shared" si="4"/>
        <v/>
      </c>
      <c r="M33" t="str">
        <f t="shared" si="2"/>
        <v/>
      </c>
      <c r="N33" s="1"/>
      <c r="P33" s="11"/>
    </row>
    <row r="34" spans="2:16" x14ac:dyDescent="0.3">
      <c r="B34" s="27"/>
      <c r="C34" s="3" t="str">
        <f t="shared" si="0"/>
        <v/>
      </c>
      <c r="D34" s="30"/>
      <c r="E34" s="23" t="str">
        <f t="shared" si="1"/>
        <v/>
      </c>
      <c r="F34" s="30"/>
      <c r="G34" s="26" t="str">
        <f t="shared" si="3"/>
        <v/>
      </c>
      <c r="K34" s="9"/>
      <c r="L34" t="str">
        <f t="shared" si="4"/>
        <v/>
      </c>
      <c r="M34" t="str">
        <f t="shared" si="2"/>
        <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12720</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c r="C42" s="3" t="str">
        <f>+IF(B42="","",INDEX(U_MAQUINARIA,MATCH(B42,LISTA_MAQUINARIA,0)))</f>
        <v/>
      </c>
      <c r="D42" s="30"/>
      <c r="E42" s="23" t="str">
        <f>+IF(B42="","",INDEX(V_MAQUINARIA,MATCH(B42,LISTA_MAQUINARIA,0)))</f>
        <v/>
      </c>
      <c r="F42" s="3">
        <f>+$G$20</f>
        <v>2</v>
      </c>
      <c r="G42" s="26" t="str">
        <f>IF(D42="","",(E42*D42)/F42)</f>
        <v/>
      </c>
      <c r="K42" s="9"/>
      <c r="L42" s="23" t="str">
        <f>IF(B42="","",INDEX(V_COMBUSTIBLE_H,MATCH(B42,LISTA_MAQUINARIA,0)))</f>
        <v/>
      </c>
      <c r="M42" s="23" t="str">
        <f>+IF(L42="","",(L42*D42)/F42)</f>
        <v/>
      </c>
      <c r="N42" s="23" t="str">
        <f>IF(G42="","",G42-M42)</f>
        <v/>
      </c>
      <c r="P42" s="11"/>
    </row>
    <row r="43" spans="2:16" x14ac:dyDescent="0.3">
      <c r="B43" s="27"/>
      <c r="C43" s="3" t="str">
        <f>+IF(B43="","",INDEX(U_MAQUINARIA,MATCH(B43,LISTA_MAQUINARIA,0)))</f>
        <v/>
      </c>
      <c r="D43" s="30"/>
      <c r="E43" s="23" t="str">
        <f>+IF(B43="","",INDEX(V_MAQUINARIA,MATCH(B43,LISTA_MAQUINARIA,0)))</f>
        <v/>
      </c>
      <c r="F43" s="3">
        <f>+$G$20</f>
        <v>2</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2</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2</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2</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0</v>
      </c>
      <c r="K47" s="9"/>
      <c r="M47" s="24">
        <f>SUM(M42:M46)</f>
        <v>0</v>
      </c>
      <c r="N47" s="24">
        <f>SUM(N42:N46)</f>
        <v>0</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t="s">
        <v>357</v>
      </c>
      <c r="C50" s="30">
        <v>1</v>
      </c>
      <c r="D50" s="22">
        <f>+IF(B50="","",INDEX(F_PRESTACIONAL,MATCH(B50,L_PERSONAL,)))</f>
        <v>1.6352</v>
      </c>
      <c r="E50" s="23">
        <f>+IF(B50="","",INDEX(V_H_MANODEOBRA,MATCH(B50,L_PERSONAL,0)))</f>
        <v>24658.815999999999</v>
      </c>
      <c r="F50" s="3">
        <f>+$G$20</f>
        <v>2</v>
      </c>
      <c r="G50" s="26">
        <f>+IF(C50="","",(E50*C50)/F50)</f>
        <v>12329.407999999999</v>
      </c>
    </row>
    <row r="51" spans="2:7" x14ac:dyDescent="0.3">
      <c r="B51" s="27" t="s">
        <v>298</v>
      </c>
      <c r="C51" s="30">
        <v>1</v>
      </c>
      <c r="D51" s="22">
        <f>+IF(B51="","",INDEX(F_PRESTACIONAL,MATCH(B51,L_PERSONAL,)))</f>
        <v>1.6352</v>
      </c>
      <c r="E51" s="23">
        <f>+IF(B51="","",INDEX(V_H_MANODEOBRA,MATCH(B51,L_PERSONAL,0)))</f>
        <v>40136.727272727272</v>
      </c>
      <c r="F51" s="3">
        <f>+$G$20</f>
        <v>2</v>
      </c>
      <c r="G51" s="26">
        <f>+IF(C51="","",(E51*C51)/F51)</f>
        <v>20068.363636363636</v>
      </c>
    </row>
    <row r="52" spans="2:7" x14ac:dyDescent="0.3">
      <c r="B52" s="27" t="s">
        <v>304</v>
      </c>
      <c r="C52" s="30">
        <v>12</v>
      </c>
      <c r="D52" s="22">
        <f>+IF(B52="","",INDEX(F_PRESTACIONAL,MATCH(B52,L_PERSONAL,)))</f>
        <v>1.6352</v>
      </c>
      <c r="E52" s="23">
        <f>+IF(B52="","",INDEX(V_H_MANODEOBRA,MATCH(B52,L_PERSONAL,0)))</f>
        <v>24658.815999999999</v>
      </c>
      <c r="F52" s="3">
        <f>+$G$20</f>
        <v>2</v>
      </c>
      <c r="G52" s="26">
        <f>+IF(C52="","",(E52*C52)/F52)</f>
        <v>147952.89600000001</v>
      </c>
    </row>
    <row r="53" spans="2:7" x14ac:dyDescent="0.3">
      <c r="B53" s="27"/>
      <c r="C53" s="30"/>
      <c r="D53" s="22" t="str">
        <f>+IF(B53="","",INDEX(F_PRESTACIONAL,MATCH(B53,L_PERSONAL,)))</f>
        <v/>
      </c>
      <c r="E53" s="23" t="str">
        <f>+IF(B53="","",INDEX(V_H_MANODEOBRA,MATCH(B53,L_PERSONAL,0)))</f>
        <v/>
      </c>
      <c r="F53" s="3">
        <f>+$G$20</f>
        <v>2</v>
      </c>
      <c r="G53" s="26" t="str">
        <f>+IF(C53="","",(E53*C53)/F53)</f>
        <v/>
      </c>
    </row>
    <row r="54" spans="2:7" x14ac:dyDescent="0.3">
      <c r="B54" s="27"/>
      <c r="C54" s="30"/>
      <c r="D54" s="22" t="str">
        <f>+IF(B54="","",INDEX(F_PRESTACIONAL,MATCH(B54,L_PERSONAL,)))</f>
        <v/>
      </c>
      <c r="E54" s="23" t="str">
        <f>+IF(B54="","",INDEX(V_H_MANODEOBRA,MATCH(B54,L_PERSONAL,0)))</f>
        <v/>
      </c>
      <c r="F54" s="3">
        <f>+$G$20</f>
        <v>2</v>
      </c>
      <c r="G54" s="26" t="str">
        <f>+IF(C54="","",(E54*C54)/F54)</f>
        <v/>
      </c>
    </row>
    <row r="55" spans="2:7" x14ac:dyDescent="0.3">
      <c r="B55" s="9"/>
      <c r="G55" s="26">
        <f>SUM(G50:G54)</f>
        <v>180350.66763636365</v>
      </c>
    </row>
    <row r="56" spans="2:7" ht="17.25" thickBot="1" x14ac:dyDescent="0.35">
      <c r="B56" s="9"/>
      <c r="G56" s="11"/>
    </row>
    <row r="57" spans="2:7" ht="17.25" thickBot="1" x14ac:dyDescent="0.35">
      <c r="B57" s="610" t="s">
        <v>98</v>
      </c>
      <c r="C57" s="611"/>
      <c r="D57" s="611"/>
      <c r="E57" s="611"/>
      <c r="F57" s="612"/>
      <c r="G57" s="66">
        <f>+G55+G47+G39+G28</f>
        <v>193070.66763636365</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23168.480116363637</v>
      </c>
    </row>
    <row r="61" spans="2:7" x14ac:dyDescent="0.3">
      <c r="B61" s="613" t="s">
        <v>86</v>
      </c>
      <c r="C61" s="614"/>
      <c r="D61" s="614"/>
      <c r="E61" s="614"/>
      <c r="F61" s="22">
        <f>+IMPREVISTOS</f>
        <v>0.03</v>
      </c>
      <c r="G61" s="26">
        <f>+$G$57*F61</f>
        <v>5792.1200290909092</v>
      </c>
    </row>
    <row r="62" spans="2:7" x14ac:dyDescent="0.3">
      <c r="B62" s="613" t="s">
        <v>87</v>
      </c>
      <c r="C62" s="614"/>
      <c r="D62" s="614"/>
      <c r="E62" s="614"/>
      <c r="F62" s="22">
        <f>+UTILIDAD</f>
        <v>0.05</v>
      </c>
      <c r="G62" s="26">
        <f>+$G$57*F62</f>
        <v>9653.5333818181825</v>
      </c>
    </row>
    <row r="63" spans="2:7" x14ac:dyDescent="0.3">
      <c r="B63" s="596" t="s">
        <v>100</v>
      </c>
      <c r="C63" s="597"/>
      <c r="D63" s="597"/>
      <c r="E63" s="597"/>
      <c r="F63" s="597"/>
      <c r="G63" s="53">
        <f>SUM(G60:G62)</f>
        <v>38614.13352727273</v>
      </c>
    </row>
    <row r="64" spans="2:7" ht="17.25" thickBot="1" x14ac:dyDescent="0.35">
      <c r="B64" s="9"/>
      <c r="G64" s="44"/>
    </row>
    <row r="65" spans="2:7" ht="17.25" thickBot="1" x14ac:dyDescent="0.35">
      <c r="B65" s="598" t="s">
        <v>101</v>
      </c>
      <c r="C65" s="599"/>
      <c r="D65" s="599"/>
      <c r="E65" s="599"/>
      <c r="F65" s="600"/>
      <c r="G65" s="65">
        <f>+G63+G57</f>
        <v>231684.80116363638</v>
      </c>
    </row>
    <row r="66" spans="2:7" x14ac:dyDescent="0.3">
      <c r="B66" s="6"/>
      <c r="C66" s="7"/>
      <c r="D66" s="7"/>
      <c r="E66" s="7"/>
      <c r="F66" s="7"/>
      <c r="G66" s="8"/>
    </row>
    <row r="67" spans="2:7" x14ac:dyDescent="0.3">
      <c r="B67" s="9"/>
      <c r="G67" s="11"/>
    </row>
    <row r="68" spans="2:7" x14ac:dyDescent="0.3">
      <c r="B68" s="69" t="s">
        <v>123</v>
      </c>
      <c r="C68" s="67"/>
      <c r="D68" s="67"/>
      <c r="E68" s="67"/>
      <c r="F68" s="67"/>
      <c r="G68" s="70"/>
    </row>
    <row r="69" spans="2:7" x14ac:dyDescent="0.3">
      <c r="B69" s="71"/>
      <c r="C69" s="67"/>
      <c r="D69" s="67"/>
      <c r="E69" s="67"/>
      <c r="F69" s="67"/>
      <c r="G69" s="70"/>
    </row>
    <row r="70" spans="2:7" x14ac:dyDescent="0.3">
      <c r="B70" s="72"/>
      <c r="C70" s="68"/>
      <c r="D70" s="68"/>
      <c r="E70" s="68"/>
      <c r="F70" s="68"/>
      <c r="G70" s="73"/>
    </row>
    <row r="71" spans="2:7" x14ac:dyDescent="0.3">
      <c r="B71" s="71"/>
      <c r="C71" s="67"/>
      <c r="D71" s="67"/>
      <c r="E71" s="67"/>
      <c r="F71" s="67"/>
      <c r="G71" s="70"/>
    </row>
    <row r="72" spans="2:7" ht="17.25" thickBot="1" x14ac:dyDescent="0.35">
      <c r="B72" s="15"/>
      <c r="C72" s="13"/>
      <c r="D72" s="13"/>
      <c r="E72" s="13"/>
      <c r="F72" s="13"/>
      <c r="G72" s="14"/>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count="5">
    <dataValidation type="list" allowBlank="1" showInputMessage="1" showErrorMessage="1" sqref="E102" xr:uid="{BFE9056E-7747-49A5-BB9D-7EF8D175CB0C}">
      <formula1>$A$103:$A$105</formula1>
    </dataValidation>
    <dataValidation type="list" allowBlank="1" showInputMessage="1" showErrorMessage="1" sqref="B13" xr:uid="{757342A4-B30D-4CE9-9B6D-A5F2277D81A6}">
      <formula1>ITEM</formula1>
    </dataValidation>
    <dataValidation type="list" allowBlank="1" showInputMessage="1" showErrorMessage="1" sqref="B50:B54" xr:uid="{00E8E147-C68A-4BD3-B3AB-B357E1AD3C62}">
      <formula1>L_PERSONAL</formula1>
    </dataValidation>
    <dataValidation type="list" allowBlank="1" showInputMessage="1" showErrorMessage="1" sqref="B31:B38" xr:uid="{E59C99AA-DDCA-4C22-A373-3B4E3076DCC5}">
      <formula1>L_MATERIALES</formula1>
    </dataValidation>
    <dataValidation type="list" allowBlank="1" showInputMessage="1" showErrorMessage="1" sqref="B23:B27 B42:B46" xr:uid="{5FF1134F-F286-4FB8-999D-3CD300971353}">
      <formula1>LISTA_MAQUINARIA</formula1>
    </dataValidation>
  </dataValidations>
  <pageMargins left="0.70866141732283472" right="0.70866141732283472" top="0.74803149606299213" bottom="0.74803149606299213" header="0.31496062992125984" footer="0.31496062992125984"/>
  <pageSetup scale="50" orientation="portrait" r:id="rId1"/>
  <rowBreaks count="1" manualBreakCount="1">
    <brk id="72" max="16383" man="1"/>
  </rowBreaks>
  <colBreaks count="1" manualBreakCount="1">
    <brk id="7" max="1048575" man="1"/>
  </colBreaks>
  <drawing r:id="rId2"/>
  <tableParts count="1">
    <tablePart r:id="rId3"/>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51848A-CD4F-455C-A265-E178D807CD84}">
  <sheetPr codeName="Hoja19"/>
  <dimension ref="A1:P105"/>
  <sheetViews>
    <sheetView showGridLines="0" view="pageBreakPreview" topLeftCell="B1" zoomScale="89" zoomScaleNormal="60" workbookViewId="0">
      <selection activeCell="C53" sqref="C53"/>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8</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18" t="str">
        <f>+IF($B$13="","",INDEX(DESCRIP_ITEM,MATCH($B$13,ITEM,0)))</f>
        <v>Instalación de NCUS. El contratista debe encargarse de la construcción de la cimentación y el montaje de la estructura y accesorios que garanticen la correcta ubicación y sujeción del equipo.  Seguir estrictamente las instrucciones del manual de instalación del fabricante.</v>
      </c>
      <c r="C16" s="619"/>
      <c r="D16" s="619"/>
      <c r="E16" s="619"/>
      <c r="F16" s="619"/>
      <c r="G16" s="620"/>
    </row>
    <row r="17" spans="2:16" ht="44.25" customHeight="1" thickBot="1" x14ac:dyDescent="0.35">
      <c r="B17" s="621"/>
      <c r="C17" s="622"/>
      <c r="D17" s="622"/>
      <c r="E17" s="622"/>
      <c r="F17" s="622"/>
      <c r="G17" s="623"/>
    </row>
    <row r="18" spans="2:16" ht="17.25" thickBot="1" x14ac:dyDescent="0.35">
      <c r="B18" s="591"/>
      <c r="C18" s="579"/>
      <c r="D18" s="579"/>
      <c r="E18" s="579"/>
      <c r="G18" s="11"/>
    </row>
    <row r="19" spans="2:16" ht="17.25" thickBot="1" x14ac:dyDescent="0.35">
      <c r="B19" s="592"/>
      <c r="C19" s="593"/>
      <c r="D19" s="593"/>
      <c r="E19" s="593"/>
      <c r="F19" s="54" t="s">
        <v>89</v>
      </c>
      <c r="G19" s="25" t="str">
        <f>+IF(B13="","",INDEX(U_ITEM,MATCH(B13,ITEM,0)))</f>
        <v>Und</v>
      </c>
    </row>
    <row r="20" spans="2:16" ht="17.25" thickBot="1" x14ac:dyDescent="0.35">
      <c r="B20" s="592"/>
      <c r="C20" s="593"/>
      <c r="D20" s="593"/>
      <c r="E20" s="593"/>
      <c r="F20" s="55" t="s">
        <v>90</v>
      </c>
      <c r="G20" s="56">
        <f>1/8</f>
        <v>0.125</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c r="C23" s="3" t="str">
        <f>+IF(B23="","",INDEX(U_MAQUINARIA,MATCH(B23,LISTA_MAQUINARIA,0)))</f>
        <v/>
      </c>
      <c r="D23" s="30"/>
      <c r="E23" s="23" t="str">
        <f>+IF(B23="","",INDEX(V_MAQUINARIA,MATCH(B23,LISTA_MAQUINARIA,0)))</f>
        <v/>
      </c>
      <c r="F23" s="3">
        <f>$G$20</f>
        <v>0.125</v>
      </c>
      <c r="G23" s="26" t="str">
        <f>+IF(B23="","",(D23*E23)/F23)</f>
        <v/>
      </c>
      <c r="K23" s="9"/>
      <c r="L23" s="23" t="str">
        <f>IF(B23="","",INDEX(V_COMBUSTIBLE_H,MATCH(B23,LISTA_MAQUINARIA,0)))</f>
        <v/>
      </c>
      <c r="M23" s="23" t="str">
        <f>+IF(L23="","",(L23*D23)/F23)</f>
        <v/>
      </c>
      <c r="N23" s="23" t="str">
        <f>IF(G23="","",G23-M23)</f>
        <v/>
      </c>
      <c r="P23" s="11"/>
    </row>
    <row r="24" spans="2:16" x14ac:dyDescent="0.3">
      <c r="B24" s="27"/>
      <c r="C24" s="3" t="str">
        <f>+IF(B24="","",INDEX(U_MAQUINARIA,MATCH(B24,LISTA_MAQUINARIA,0)))</f>
        <v/>
      </c>
      <c r="D24" s="30"/>
      <c r="E24" s="23" t="str">
        <f>+IF(B24="","",INDEX(V_MAQUINARIA,MATCH(B24,LISTA_MAQUINARIA,0)))</f>
        <v/>
      </c>
      <c r="F24" s="3">
        <f>$G$20</f>
        <v>0.125</v>
      </c>
      <c r="G24" s="26" t="str">
        <f>+IF(B24="","",(D24*E24)/F24)</f>
        <v/>
      </c>
      <c r="K24" s="9"/>
      <c r="L24" s="3" t="str">
        <f>IF(B24="","",INDEX(V_COMBUSTIBLE_H,MATCH(B24,LISTA_MAQUINARIA,0)))</f>
        <v/>
      </c>
      <c r="M24" s="3" t="str">
        <f>+IF(L24="","",(L24*D24)/F24)</f>
        <v/>
      </c>
      <c r="N24" s="3" t="str">
        <f>IF(G24="","",G24-M24)</f>
        <v/>
      </c>
      <c r="P24" s="11"/>
    </row>
    <row r="25" spans="2:16" x14ac:dyDescent="0.3">
      <c r="B25" s="27"/>
      <c r="C25" s="3" t="str">
        <f>+IF(B25="","",INDEX(U_MAQUINARIA,MATCH(B25,LISTA_MAQUINARIA,0)))</f>
        <v/>
      </c>
      <c r="D25" s="30"/>
      <c r="E25" s="23" t="str">
        <f>+IF(B25="","",INDEX(V_MAQUINARIA,MATCH(B25,LISTA_MAQUINARIA,0)))</f>
        <v/>
      </c>
      <c r="F25" s="3">
        <f>$G$20</f>
        <v>0.125</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0.125</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0.125</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0</v>
      </c>
      <c r="K28" s="9"/>
      <c r="M28" s="24">
        <f>SUM(M23:M27)</f>
        <v>0</v>
      </c>
      <c r="N28" s="24">
        <f>SUM(N23:N27)</f>
        <v>0</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c r="C31" s="3" t="str">
        <f t="shared" ref="C31:C38" si="0">+IF(B31="","",INDEX(U_MATERIAL,MATCH(B31,L_MATERIALES,0)))</f>
        <v/>
      </c>
      <c r="D31" s="30"/>
      <c r="E31" s="23" t="str">
        <f t="shared" ref="E31:E38" si="1">+IF(B31="","",INDEX(V_UNITARIOMATERIAL,MATCH(B31,L_MATERIALES,0)))</f>
        <v/>
      </c>
      <c r="F31" s="30"/>
      <c r="G31" s="26" t="str">
        <f>IF(D31="","",(E31*D31)/F31)</f>
        <v/>
      </c>
      <c r="K31" s="9"/>
      <c r="L31" t="str">
        <f>+IF(B31="","",B31)</f>
        <v/>
      </c>
      <c r="M31" t="str">
        <f t="shared" ref="M31:M38" si="2">IF(D31="","",(D31/F31)*INDEX(CANT_PROYECTO,MATCH($B$13,ITEM,0)))</f>
        <v/>
      </c>
      <c r="N31" s="1"/>
      <c r="P31" s="11"/>
    </row>
    <row r="32" spans="2:16" x14ac:dyDescent="0.3">
      <c r="B32" s="27"/>
      <c r="C32" s="3" t="str">
        <f t="shared" si="0"/>
        <v/>
      </c>
      <c r="D32" s="30"/>
      <c r="E32" s="23" t="str">
        <f t="shared" si="1"/>
        <v/>
      </c>
      <c r="F32" s="30"/>
      <c r="G32" s="26" t="str">
        <f t="shared" ref="G32:G38" si="3">IF(D32="","",(E32*D32)/F32)</f>
        <v/>
      </c>
      <c r="K32" s="9"/>
      <c r="L32" t="str">
        <f t="shared" ref="L32:L38" si="4">+IF(B32="","",B32)</f>
        <v/>
      </c>
      <c r="M32" t="str">
        <f t="shared" si="2"/>
        <v/>
      </c>
      <c r="N32" s="1"/>
      <c r="P32" s="11"/>
    </row>
    <row r="33" spans="2:16" x14ac:dyDescent="0.3">
      <c r="B33" s="27"/>
      <c r="C33" s="3" t="str">
        <f t="shared" si="0"/>
        <v/>
      </c>
      <c r="D33" s="30"/>
      <c r="E33" s="23" t="str">
        <f t="shared" si="1"/>
        <v/>
      </c>
      <c r="F33" s="30"/>
      <c r="G33" s="26" t="str">
        <f t="shared" si="3"/>
        <v/>
      </c>
      <c r="K33" s="9"/>
      <c r="L33" t="str">
        <f t="shared" si="4"/>
        <v/>
      </c>
      <c r="M33" t="str">
        <f t="shared" si="2"/>
        <v/>
      </c>
      <c r="N33" s="1"/>
      <c r="P33" s="11"/>
    </row>
    <row r="34" spans="2:16" x14ac:dyDescent="0.3">
      <c r="B34" s="27"/>
      <c r="C34" s="3" t="str">
        <f t="shared" si="0"/>
        <v/>
      </c>
      <c r="D34" s="30"/>
      <c r="E34" s="23" t="str">
        <f t="shared" si="1"/>
        <v/>
      </c>
      <c r="F34" s="30"/>
      <c r="G34" s="26" t="str">
        <f t="shared" si="3"/>
        <v/>
      </c>
      <c r="K34" s="9"/>
      <c r="L34" t="str">
        <f t="shared" si="4"/>
        <v/>
      </c>
      <c r="M34" t="str">
        <f t="shared" si="2"/>
        <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0</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c r="C42" s="3" t="str">
        <f>+IF(B42="","",INDEX(U_MAQUINARIA,MATCH(B42,LISTA_MAQUINARIA,0)))</f>
        <v/>
      </c>
      <c r="D42" s="30"/>
      <c r="E42" s="23" t="str">
        <f>+IF(B42="","",INDEX(V_MAQUINARIA,MATCH(B42,LISTA_MAQUINARIA,0)))</f>
        <v/>
      </c>
      <c r="F42" s="3">
        <f>$G$20</f>
        <v>0.125</v>
      </c>
      <c r="G42" s="26" t="str">
        <f>IF(D42="","",(E42*D42)/F42)</f>
        <v/>
      </c>
      <c r="K42" s="9"/>
      <c r="L42" s="23" t="str">
        <f>IF(B42="","",INDEX(V_COMBUSTIBLE_H,MATCH(B42,LISTA_MAQUINARIA,0)))</f>
        <v/>
      </c>
      <c r="M42" s="23" t="str">
        <f>+IF(L42="","",(L42*D42)/F42)</f>
        <v/>
      </c>
      <c r="N42" s="23" t="str">
        <f>IF(G42="","",G42-M42)</f>
        <v/>
      </c>
      <c r="P42" s="11"/>
    </row>
    <row r="43" spans="2:16" x14ac:dyDescent="0.3">
      <c r="B43" s="27"/>
      <c r="C43" s="3" t="str">
        <f>+IF(B43="","",INDEX(U_MAQUINARIA,MATCH(B43,LISTA_MAQUINARIA,0)))</f>
        <v/>
      </c>
      <c r="D43" s="30"/>
      <c r="E43" s="23" t="str">
        <f>+IF(B43="","",INDEX(V_MAQUINARIA,MATCH(B43,LISTA_MAQUINARIA,0)))</f>
        <v/>
      </c>
      <c r="F43" s="3">
        <f>+$G$20</f>
        <v>0.125</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0.125</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0.125</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0.125</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0</v>
      </c>
      <c r="K47" s="9"/>
      <c r="M47" s="24">
        <f>SUM(M42:M46)</f>
        <v>0</v>
      </c>
      <c r="N47" s="24">
        <f>SUM(N42:N46)</f>
        <v>0</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t="s">
        <v>357</v>
      </c>
      <c r="C50" s="30">
        <v>1</v>
      </c>
      <c r="D50" s="22">
        <f>+IF(B50="","",INDEX(F_PRESTACIONAL,MATCH(B50,L_PERSONAL,)))</f>
        <v>1.6352</v>
      </c>
      <c r="E50" s="23">
        <f>+IF(B50="","",INDEX(V_H_MANODEOBRA,MATCH(B50,L_PERSONAL,0)))</f>
        <v>24658.815999999999</v>
      </c>
      <c r="F50" s="3">
        <f>+$G$20</f>
        <v>0.125</v>
      </c>
      <c r="G50" s="26">
        <f>+IF(C50="","",(E50*C50)/F50)</f>
        <v>197270.52799999999</v>
      </c>
    </row>
    <row r="51" spans="2:7" x14ac:dyDescent="0.3">
      <c r="B51" s="27" t="s">
        <v>298</v>
      </c>
      <c r="C51" s="30">
        <v>1</v>
      </c>
      <c r="D51" s="22">
        <f>+IF(B51="","",INDEX(F_PRESTACIONAL,MATCH(B51,L_PERSONAL,)))</f>
        <v>1.6352</v>
      </c>
      <c r="E51" s="23">
        <f>+IF(B51="","",INDEX(V_H_MANODEOBRA,MATCH(B51,L_PERSONAL,0)))</f>
        <v>40136.727272727272</v>
      </c>
      <c r="F51" s="3">
        <f>+$G$20</f>
        <v>0.125</v>
      </c>
      <c r="G51" s="26">
        <f>+IF(C51="","",(E51*C51)/F51)</f>
        <v>321093.81818181818</v>
      </c>
    </row>
    <row r="52" spans="2:7" x14ac:dyDescent="0.3">
      <c r="B52" s="27" t="s">
        <v>304</v>
      </c>
      <c r="C52" s="30">
        <v>2</v>
      </c>
      <c r="D52" s="22">
        <f>+IF(B52="","",INDEX(F_PRESTACIONAL,MATCH(B52,L_PERSONAL,)))</f>
        <v>1.6352</v>
      </c>
      <c r="E52" s="23">
        <f>+IF(B52="","",INDEX(V_H_MANODEOBRA,MATCH(B52,L_PERSONAL,0)))</f>
        <v>24658.815999999999</v>
      </c>
      <c r="F52" s="3">
        <f>+$G$20</f>
        <v>0.125</v>
      </c>
      <c r="G52" s="26">
        <f>+IF(C52="","",(E52*C52)/F52)</f>
        <v>394541.05599999998</v>
      </c>
    </row>
    <row r="53" spans="2:7" x14ac:dyDescent="0.3">
      <c r="B53" s="27"/>
      <c r="C53" s="30"/>
      <c r="D53" s="22" t="str">
        <f>+IF(B53="","",INDEX(F_PRESTACIONAL,MATCH(B53,L_PERSONAL,)))</f>
        <v/>
      </c>
      <c r="E53" s="23" t="str">
        <f>+IF(B53="","",INDEX(V_H_MANODEOBRA,MATCH(B53,L_PERSONAL,0)))</f>
        <v/>
      </c>
      <c r="F53" s="3">
        <f>+$G$20</f>
        <v>0.125</v>
      </c>
      <c r="G53" s="26" t="str">
        <f>+IF(C53="","",(E53*C53)/F53)</f>
        <v/>
      </c>
    </row>
    <row r="54" spans="2:7" x14ac:dyDescent="0.3">
      <c r="B54" s="27"/>
      <c r="C54" s="30"/>
      <c r="D54" s="22" t="str">
        <f>+IF(B54="","",INDEX(F_PRESTACIONAL,MATCH(B54,L_PERSONAL,)))</f>
        <v/>
      </c>
      <c r="E54" s="23" t="str">
        <f>+IF(B54="","",INDEX(V_H_MANODEOBRA,MATCH(B54,L_PERSONAL,0)))</f>
        <v/>
      </c>
      <c r="F54" s="3">
        <f>+$G$20</f>
        <v>0.125</v>
      </c>
      <c r="G54" s="26" t="str">
        <f>+IF(C54="","",(E54*C54)/F54)</f>
        <v/>
      </c>
    </row>
    <row r="55" spans="2:7" x14ac:dyDescent="0.3">
      <c r="B55" s="9"/>
      <c r="G55" s="26">
        <f>SUM(G50:G54)</f>
        <v>912905.40218181815</v>
      </c>
    </row>
    <row r="56" spans="2:7" ht="17.25" thickBot="1" x14ac:dyDescent="0.35">
      <c r="B56" s="9"/>
      <c r="G56" s="11"/>
    </row>
    <row r="57" spans="2:7" ht="17.25" thickBot="1" x14ac:dyDescent="0.35">
      <c r="B57" s="610" t="s">
        <v>98</v>
      </c>
      <c r="C57" s="611"/>
      <c r="D57" s="611"/>
      <c r="E57" s="611"/>
      <c r="F57" s="612"/>
      <c r="G57" s="66">
        <f>+G55+G47+G39+G28</f>
        <v>912905.40218181815</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109548.64826181818</v>
      </c>
    </row>
    <row r="61" spans="2:7" x14ac:dyDescent="0.3">
      <c r="B61" s="613" t="s">
        <v>86</v>
      </c>
      <c r="C61" s="614"/>
      <c r="D61" s="614"/>
      <c r="E61" s="614"/>
      <c r="F61" s="22">
        <f>+IMPREVISTOS</f>
        <v>0.03</v>
      </c>
      <c r="G61" s="26">
        <f>+$G$57*F61</f>
        <v>27387.162065454544</v>
      </c>
    </row>
    <row r="62" spans="2:7" x14ac:dyDescent="0.3">
      <c r="B62" s="613" t="s">
        <v>87</v>
      </c>
      <c r="C62" s="614"/>
      <c r="D62" s="614"/>
      <c r="E62" s="614"/>
      <c r="F62" s="22">
        <f>+UTILIDAD</f>
        <v>0.05</v>
      </c>
      <c r="G62" s="26">
        <f>+$G$57*F62</f>
        <v>45645.27010909091</v>
      </c>
    </row>
    <row r="63" spans="2:7" x14ac:dyDescent="0.3">
      <c r="B63" s="596" t="s">
        <v>100</v>
      </c>
      <c r="C63" s="597"/>
      <c r="D63" s="597"/>
      <c r="E63" s="597"/>
      <c r="F63" s="597"/>
      <c r="G63" s="53">
        <f>SUM(G60:G62)</f>
        <v>182581.08043636364</v>
      </c>
    </row>
    <row r="64" spans="2:7" ht="17.25" thickBot="1" x14ac:dyDescent="0.35">
      <c r="B64" s="9"/>
      <c r="G64" s="44"/>
    </row>
    <row r="65" spans="2:7" ht="17.25" thickBot="1" x14ac:dyDescent="0.35">
      <c r="B65" s="598" t="s">
        <v>101</v>
      </c>
      <c r="C65" s="599"/>
      <c r="D65" s="599"/>
      <c r="E65" s="599"/>
      <c r="F65" s="600"/>
      <c r="G65" s="65">
        <f>+G63+G57</f>
        <v>1095486.4826181817</v>
      </c>
    </row>
    <row r="66" spans="2:7" x14ac:dyDescent="0.3">
      <c r="B66" s="6"/>
      <c r="C66" s="7"/>
      <c r="D66" s="7"/>
      <c r="E66" s="7"/>
      <c r="F66" s="7"/>
      <c r="G66" s="8"/>
    </row>
    <row r="67" spans="2:7" x14ac:dyDescent="0.3">
      <c r="B67" s="9"/>
      <c r="G67" s="11"/>
    </row>
    <row r="68" spans="2:7" x14ac:dyDescent="0.3">
      <c r="B68" s="69" t="s">
        <v>123</v>
      </c>
      <c r="C68" s="67"/>
      <c r="D68" s="67"/>
      <c r="E68" s="67"/>
      <c r="F68" s="67"/>
      <c r="G68" s="70"/>
    </row>
    <row r="69" spans="2:7" x14ac:dyDescent="0.3">
      <c r="B69" s="71"/>
      <c r="C69" s="67"/>
      <c r="D69" s="67"/>
      <c r="E69" s="67"/>
      <c r="F69" s="67"/>
      <c r="G69" s="70"/>
    </row>
    <row r="70" spans="2:7" x14ac:dyDescent="0.3">
      <c r="B70" s="72"/>
      <c r="C70" s="68"/>
      <c r="D70" s="68"/>
      <c r="E70" s="68"/>
      <c r="F70" s="68"/>
      <c r="G70" s="73"/>
    </row>
    <row r="71" spans="2:7" x14ac:dyDescent="0.3">
      <c r="B71" s="71"/>
      <c r="C71" s="67"/>
      <c r="D71" s="67"/>
      <c r="E71" s="67"/>
      <c r="F71" s="67"/>
      <c r="G71" s="70"/>
    </row>
    <row r="72" spans="2:7" ht="17.25" thickBot="1" x14ac:dyDescent="0.35">
      <c r="B72" s="15"/>
      <c r="C72" s="13"/>
      <c r="D72" s="13"/>
      <c r="E72" s="13"/>
      <c r="F72" s="13"/>
      <c r="G72" s="14"/>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count="5">
    <dataValidation type="list" allowBlank="1" showInputMessage="1" showErrorMessage="1" sqref="E102" xr:uid="{891EF14B-C707-4EF9-8660-7CD42AEBF9D9}">
      <formula1>$A$103:$A$105</formula1>
    </dataValidation>
    <dataValidation type="list" allowBlank="1" showInputMessage="1" showErrorMessage="1" sqref="B13" xr:uid="{B1DC4BE0-5586-44B9-A4E0-EFDD16E45033}">
      <formula1>ITEM</formula1>
    </dataValidation>
    <dataValidation type="list" allowBlank="1" showInputMessage="1" showErrorMessage="1" sqref="B50:B54" xr:uid="{A2DA0782-4590-49F1-82E7-185417807219}">
      <formula1>L_PERSONAL</formula1>
    </dataValidation>
    <dataValidation type="list" allowBlank="1" showInputMessage="1" showErrorMessage="1" sqref="B31:B38" xr:uid="{43C97BBB-C29D-47AE-8DA6-2ADF589F8710}">
      <formula1>L_MATERIALES</formula1>
    </dataValidation>
    <dataValidation type="list" allowBlank="1" showInputMessage="1" showErrorMessage="1" sqref="B23:B27 B42:B46" xr:uid="{F8A4540A-0B79-4A92-A436-70BA3D941DDB}">
      <formula1>LISTA_MAQUINARIA</formula1>
    </dataValidation>
  </dataValidations>
  <pageMargins left="0.70866141732283472" right="0.70866141732283472" top="0.74803149606299213" bottom="0.74803149606299213" header="0.31496062992125984" footer="0.31496062992125984"/>
  <pageSetup scale="50" orientation="portrait" r:id="rId1"/>
  <rowBreaks count="1" manualBreakCount="1">
    <brk id="72" max="16383" man="1"/>
  </rowBreaks>
  <colBreaks count="1" manualBreakCount="1">
    <brk id="7" max="1048575" man="1"/>
  </colBreaks>
  <drawing r:id="rId2"/>
  <tableParts count="1">
    <tablePart r:id="rId3"/>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C81251-E011-4D8C-B616-451A182099EE}">
  <sheetPr codeName="Hoja20"/>
  <dimension ref="A1:P105"/>
  <sheetViews>
    <sheetView showGridLines="0" view="pageBreakPreview" topLeftCell="B1" zoomScale="99" zoomScaleNormal="60" zoomScaleSheetLayoutView="55" workbookViewId="0">
      <selection activeCell="G21" sqref="G21"/>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9</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18" t="str">
        <f>+IF($B$13="","",INDEX(DESCRIP_ITEM,MATCH($B$13,ITEM,0)))</f>
        <v>Instalacion TCU. El contratista debe asegurar la sujeción del equipo a la estrcutra del tracker siguiendo estrictamente las instrucciones del manual de instalación del fabricante.</v>
      </c>
      <c r="C16" s="619"/>
      <c r="D16" s="619"/>
      <c r="E16" s="619"/>
      <c r="F16" s="619"/>
      <c r="G16" s="620"/>
    </row>
    <row r="17" spans="2:16" ht="44.25" customHeight="1" thickBot="1" x14ac:dyDescent="0.35">
      <c r="B17" s="621"/>
      <c r="C17" s="622"/>
      <c r="D17" s="622"/>
      <c r="E17" s="622"/>
      <c r="F17" s="622"/>
      <c r="G17" s="623"/>
    </row>
    <row r="18" spans="2:16" ht="17.25" thickBot="1" x14ac:dyDescent="0.35">
      <c r="B18" s="591"/>
      <c r="C18" s="579"/>
      <c r="D18" s="579"/>
      <c r="E18" s="579"/>
      <c r="G18" s="11"/>
    </row>
    <row r="19" spans="2:16" ht="17.25" thickBot="1" x14ac:dyDescent="0.35">
      <c r="B19" s="592"/>
      <c r="C19" s="593"/>
      <c r="D19" s="593"/>
      <c r="E19" s="593"/>
      <c r="F19" s="54" t="s">
        <v>89</v>
      </c>
      <c r="G19" s="25" t="str">
        <f>+IF(B13="","",INDEX(U_ITEM,MATCH(B13,ITEM,0)))</f>
        <v>Und</v>
      </c>
    </row>
    <row r="20" spans="2:16" ht="17.25" thickBot="1" x14ac:dyDescent="0.35">
      <c r="B20" s="592"/>
      <c r="C20" s="593"/>
      <c r="D20" s="593"/>
      <c r="E20" s="593"/>
      <c r="F20" s="55" t="s">
        <v>90</v>
      </c>
      <c r="G20" s="56">
        <v>3</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c r="C23" s="3" t="str">
        <f>+IF(B23="","",INDEX(U_MAQUINARIA,MATCH(B23,LISTA_MAQUINARIA,0)))</f>
        <v/>
      </c>
      <c r="D23" s="30"/>
      <c r="E23" s="23" t="str">
        <f>+IF(B23="","",INDEX(V_MAQUINARIA,MATCH(B23,LISTA_MAQUINARIA,0)))</f>
        <v/>
      </c>
      <c r="F23" s="3">
        <f>$G$20</f>
        <v>3</v>
      </c>
      <c r="G23" s="26" t="str">
        <f>+IF(B23="","",(D23*E23)/F23)</f>
        <v/>
      </c>
      <c r="K23" s="9"/>
      <c r="L23" s="23" t="str">
        <f>IF(B23="","",INDEX(V_COMBUSTIBLE_H,MATCH(B23,LISTA_MAQUINARIA,0)))</f>
        <v/>
      </c>
      <c r="M23" s="23" t="str">
        <f>+IF(L23="","",(L23*D23)/F23)</f>
        <v/>
      </c>
      <c r="N23" s="23" t="str">
        <f>IF(G23="","",G23-M23)</f>
        <v/>
      </c>
      <c r="P23" s="11"/>
    </row>
    <row r="24" spans="2:16" x14ac:dyDescent="0.3">
      <c r="B24" s="27"/>
      <c r="C24" s="3" t="str">
        <f>+IF(B24="","",INDEX(U_MAQUINARIA,MATCH(B24,LISTA_MAQUINARIA,0)))</f>
        <v/>
      </c>
      <c r="D24" s="30"/>
      <c r="E24" s="23" t="str">
        <f>+IF(B24="","",INDEX(V_MAQUINARIA,MATCH(B24,LISTA_MAQUINARIA,0)))</f>
        <v/>
      </c>
      <c r="F24" s="3">
        <f>$G$20</f>
        <v>3</v>
      </c>
      <c r="G24" s="26" t="str">
        <f>+IF(B24="","",(D24*E24)/F24)</f>
        <v/>
      </c>
      <c r="K24" s="9"/>
      <c r="L24" s="3" t="str">
        <f>IF(B24="","",INDEX(V_COMBUSTIBLE_H,MATCH(B24,LISTA_MAQUINARIA,0)))</f>
        <v/>
      </c>
      <c r="M24" s="3" t="str">
        <f>+IF(L24="","",(L24*D24)/F24)</f>
        <v/>
      </c>
      <c r="N24" s="3" t="str">
        <f>IF(G24="","",G24-M24)</f>
        <v/>
      </c>
      <c r="P24" s="11"/>
    </row>
    <row r="25" spans="2:16" x14ac:dyDescent="0.3">
      <c r="B25" s="27"/>
      <c r="C25" s="3" t="str">
        <f>+IF(B25="","",INDEX(U_MAQUINARIA,MATCH(B25,LISTA_MAQUINARIA,0)))</f>
        <v/>
      </c>
      <c r="D25" s="30"/>
      <c r="E25" s="23" t="str">
        <f>+IF(B25="","",INDEX(V_MAQUINARIA,MATCH(B25,LISTA_MAQUINARIA,0)))</f>
        <v/>
      </c>
      <c r="F25" s="3">
        <f>$G$20</f>
        <v>3</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3</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3</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0</v>
      </c>
      <c r="K28" s="9"/>
      <c r="M28" s="24">
        <f>SUM(M23:M27)</f>
        <v>0</v>
      </c>
      <c r="N28" s="24">
        <f>SUM(N23:N27)</f>
        <v>0</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c r="C31" s="3" t="str">
        <f t="shared" ref="C31:C38" si="0">+IF(B31="","",INDEX(U_MATERIAL,MATCH(B31,L_MATERIALES,0)))</f>
        <v/>
      </c>
      <c r="D31" s="30"/>
      <c r="E31" s="23" t="str">
        <f t="shared" ref="E31:E38" si="1">+IF(B31="","",INDEX(V_UNITARIOMATERIAL,MATCH(B31,L_MATERIALES,0)))</f>
        <v/>
      </c>
      <c r="F31" s="30"/>
      <c r="G31" s="26" t="str">
        <f>IF(D31="","",(E31*D31)/F31)</f>
        <v/>
      </c>
      <c r="K31" s="9"/>
      <c r="L31" t="str">
        <f>+IF(B31="","",B31)</f>
        <v/>
      </c>
      <c r="M31" t="str">
        <f t="shared" ref="M31:M38" si="2">IF(D31="","",(D31/F31)*INDEX(CANT_PROYECTO,MATCH($B$13,ITEM,0)))</f>
        <v/>
      </c>
      <c r="N31" s="1"/>
      <c r="P31" s="11"/>
    </row>
    <row r="32" spans="2:16" x14ac:dyDescent="0.3">
      <c r="B32" s="27"/>
      <c r="C32" s="3" t="str">
        <f t="shared" si="0"/>
        <v/>
      </c>
      <c r="D32" s="30"/>
      <c r="E32" s="23" t="str">
        <f t="shared" si="1"/>
        <v/>
      </c>
      <c r="F32" s="30"/>
      <c r="G32" s="26" t="str">
        <f t="shared" ref="G32:G38" si="3">IF(D32="","",(E32*D32)/F32)</f>
        <v/>
      </c>
      <c r="K32" s="9"/>
      <c r="L32" t="str">
        <f t="shared" ref="L32:L38" si="4">+IF(B32="","",B32)</f>
        <v/>
      </c>
      <c r="M32" t="str">
        <f t="shared" si="2"/>
        <v/>
      </c>
      <c r="N32" s="1"/>
      <c r="P32" s="11"/>
    </row>
    <row r="33" spans="2:16" x14ac:dyDescent="0.3">
      <c r="B33" s="27"/>
      <c r="C33" s="3" t="str">
        <f t="shared" si="0"/>
        <v/>
      </c>
      <c r="D33" s="30"/>
      <c r="E33" s="23" t="str">
        <f t="shared" si="1"/>
        <v/>
      </c>
      <c r="F33" s="30"/>
      <c r="G33" s="26" t="str">
        <f t="shared" si="3"/>
        <v/>
      </c>
      <c r="K33" s="9"/>
      <c r="L33" t="str">
        <f t="shared" si="4"/>
        <v/>
      </c>
      <c r="M33" t="str">
        <f t="shared" si="2"/>
        <v/>
      </c>
      <c r="N33" s="1"/>
      <c r="P33" s="11"/>
    </row>
    <row r="34" spans="2:16" x14ac:dyDescent="0.3">
      <c r="B34" s="27"/>
      <c r="C34" s="3" t="str">
        <f t="shared" si="0"/>
        <v/>
      </c>
      <c r="D34" s="30"/>
      <c r="E34" s="23" t="str">
        <f t="shared" si="1"/>
        <v/>
      </c>
      <c r="F34" s="30"/>
      <c r="G34" s="26" t="str">
        <f t="shared" si="3"/>
        <v/>
      </c>
      <c r="K34" s="9"/>
      <c r="L34" t="str">
        <f t="shared" si="4"/>
        <v/>
      </c>
      <c r="M34" t="str">
        <f t="shared" si="2"/>
        <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0</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c r="C42" s="3" t="str">
        <f>+IF(B42="","",INDEX(U_MAQUINARIA,MATCH(B42,LISTA_MAQUINARIA,0)))</f>
        <v/>
      </c>
      <c r="D42" s="30"/>
      <c r="E42" s="23" t="str">
        <f>+IF(B42="","",INDEX(V_MAQUINARIA,MATCH(B42,LISTA_MAQUINARIA,0)))</f>
        <v/>
      </c>
      <c r="F42" s="3">
        <f>$G$20</f>
        <v>3</v>
      </c>
      <c r="G42" s="26" t="str">
        <f>IF(D42="","",(E42*D42)/F42)</f>
        <v/>
      </c>
      <c r="K42" s="9"/>
      <c r="L42" s="23" t="str">
        <f>IF(B42="","",INDEX(V_COMBUSTIBLE_H,MATCH(B42,LISTA_MAQUINARIA,0)))</f>
        <v/>
      </c>
      <c r="M42" s="23" t="str">
        <f>+IF(L42="","",(L42*D42)/F42)</f>
        <v/>
      </c>
      <c r="N42" s="23" t="str">
        <f>IF(G42="","",G42-M42)</f>
        <v/>
      </c>
      <c r="P42" s="11"/>
    </row>
    <row r="43" spans="2:16" x14ac:dyDescent="0.3">
      <c r="B43" s="27"/>
      <c r="C43" s="3" t="str">
        <f>+IF(B43="","",INDEX(U_MAQUINARIA,MATCH(B43,LISTA_MAQUINARIA,0)))</f>
        <v/>
      </c>
      <c r="D43" s="30"/>
      <c r="E43" s="23" t="str">
        <f>+IF(B43="","",INDEX(V_MAQUINARIA,MATCH(B43,LISTA_MAQUINARIA,0)))</f>
        <v/>
      </c>
      <c r="F43" s="3">
        <f>+$G$20</f>
        <v>3</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3</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3</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3</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0</v>
      </c>
      <c r="K47" s="9"/>
      <c r="M47" s="24">
        <f>SUM(M42:M46)</f>
        <v>0</v>
      </c>
      <c r="N47" s="24">
        <f>SUM(N42:N46)</f>
        <v>0</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t="s">
        <v>357</v>
      </c>
      <c r="C50" s="30">
        <v>1</v>
      </c>
      <c r="D50" s="22">
        <f>+IF(B50="","",INDEX(F_PRESTACIONAL,MATCH(B50,L_PERSONAL,)))</f>
        <v>1.6352</v>
      </c>
      <c r="E50" s="23">
        <f>+IF(B50="","",INDEX(V_H_MANODEOBRA,MATCH(B50,L_PERSONAL,0)))</f>
        <v>24658.815999999999</v>
      </c>
      <c r="F50" s="3">
        <f>+$G$20</f>
        <v>3</v>
      </c>
      <c r="G50" s="26">
        <f>+IF(C50="","",(E50*C50)/F50)</f>
        <v>8219.605333333333</v>
      </c>
    </row>
    <row r="51" spans="2:7" x14ac:dyDescent="0.3">
      <c r="B51" s="27" t="s">
        <v>304</v>
      </c>
      <c r="C51" s="30">
        <v>4</v>
      </c>
      <c r="D51" s="22">
        <f>+IF(B51="","",INDEX(F_PRESTACIONAL,MATCH(B51,L_PERSONAL,)))</f>
        <v>1.6352</v>
      </c>
      <c r="E51" s="23">
        <f>+IF(B51="","",INDEX(V_H_MANODEOBRA,MATCH(B51,L_PERSONAL,0)))</f>
        <v>24658.815999999999</v>
      </c>
      <c r="F51" s="3">
        <f>+$G$20</f>
        <v>3</v>
      </c>
      <c r="G51" s="26">
        <f>+IF(C51="","",(E51*C51)/F51)</f>
        <v>32878.421333333332</v>
      </c>
    </row>
    <row r="52" spans="2:7" x14ac:dyDescent="0.3">
      <c r="B52" s="27" t="s">
        <v>298</v>
      </c>
      <c r="C52" s="30">
        <v>1</v>
      </c>
      <c r="D52" s="22">
        <f>+IF(B52="","",INDEX(F_PRESTACIONAL,MATCH(B52,L_PERSONAL,)))</f>
        <v>1.6352</v>
      </c>
      <c r="E52" s="23">
        <f>+IF(B52="","",INDEX(V_H_MANODEOBRA,MATCH(B52,L_PERSONAL,0)))</f>
        <v>40136.727272727272</v>
      </c>
      <c r="F52" s="3">
        <f>+$G$20</f>
        <v>3</v>
      </c>
      <c r="G52" s="26">
        <f>+IF(C52="","",(E52*C52)/F52)</f>
        <v>13378.90909090909</v>
      </c>
    </row>
    <row r="53" spans="2:7" x14ac:dyDescent="0.3">
      <c r="B53" s="27"/>
      <c r="C53" s="30"/>
      <c r="D53" s="22" t="str">
        <f>+IF(B53="","",INDEX(F_PRESTACIONAL,MATCH(B53,L_PERSONAL,)))</f>
        <v/>
      </c>
      <c r="E53" s="23" t="str">
        <f>+IF(B53="","",INDEX(V_H_MANODEOBRA,MATCH(B53,L_PERSONAL,0)))</f>
        <v/>
      </c>
      <c r="F53" s="3">
        <f>+$G$20</f>
        <v>3</v>
      </c>
      <c r="G53" s="26" t="str">
        <f>+IF(C53="","",(E53*C53)/F53)</f>
        <v/>
      </c>
    </row>
    <row r="54" spans="2:7" x14ac:dyDescent="0.3">
      <c r="B54" s="27"/>
      <c r="C54" s="30"/>
      <c r="D54" s="22" t="str">
        <f>+IF(B54="","",INDEX(F_PRESTACIONAL,MATCH(B54,L_PERSONAL,)))</f>
        <v/>
      </c>
      <c r="E54" s="23" t="str">
        <f>+IF(B54="","",INDEX(V_H_MANODEOBRA,MATCH(B54,L_PERSONAL,0)))</f>
        <v/>
      </c>
      <c r="F54" s="3">
        <f>+$G$20</f>
        <v>3</v>
      </c>
      <c r="G54" s="26" t="str">
        <f>+IF(C54="","",(E54*C54)/F54)</f>
        <v/>
      </c>
    </row>
    <row r="55" spans="2:7" x14ac:dyDescent="0.3">
      <c r="B55" s="9"/>
      <c r="G55" s="26">
        <f>SUM(G50:G54)</f>
        <v>54476.935757575753</v>
      </c>
    </row>
    <row r="56" spans="2:7" ht="17.25" thickBot="1" x14ac:dyDescent="0.35">
      <c r="B56" s="9"/>
      <c r="G56" s="11"/>
    </row>
    <row r="57" spans="2:7" ht="17.25" thickBot="1" x14ac:dyDescent="0.35">
      <c r="B57" s="610" t="s">
        <v>98</v>
      </c>
      <c r="C57" s="611"/>
      <c r="D57" s="611"/>
      <c r="E57" s="611"/>
      <c r="F57" s="612"/>
      <c r="G57" s="66">
        <f>+G55+G47+G39+G28</f>
        <v>54476.935757575753</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6537.2322909090899</v>
      </c>
    </row>
    <row r="61" spans="2:7" x14ac:dyDescent="0.3">
      <c r="B61" s="613" t="s">
        <v>86</v>
      </c>
      <c r="C61" s="614"/>
      <c r="D61" s="614"/>
      <c r="E61" s="614"/>
      <c r="F61" s="22">
        <f>+IMPREVISTOS</f>
        <v>0.03</v>
      </c>
      <c r="G61" s="26">
        <f>+$G$57*F61</f>
        <v>1634.3080727272725</v>
      </c>
    </row>
    <row r="62" spans="2:7" x14ac:dyDescent="0.3">
      <c r="B62" s="613" t="s">
        <v>87</v>
      </c>
      <c r="C62" s="614"/>
      <c r="D62" s="614"/>
      <c r="E62" s="614"/>
      <c r="F62" s="22">
        <f>+UTILIDAD</f>
        <v>0.05</v>
      </c>
      <c r="G62" s="26">
        <f>+$G$57*F62</f>
        <v>2723.8467878787878</v>
      </c>
    </row>
    <row r="63" spans="2:7" x14ac:dyDescent="0.3">
      <c r="B63" s="596" t="s">
        <v>100</v>
      </c>
      <c r="C63" s="597"/>
      <c r="D63" s="597"/>
      <c r="E63" s="597"/>
      <c r="F63" s="597"/>
      <c r="G63" s="53">
        <f>SUM(G60:G62)</f>
        <v>10895.387151515151</v>
      </c>
    </row>
    <row r="64" spans="2:7" ht="17.25" thickBot="1" x14ac:dyDescent="0.35">
      <c r="B64" s="9"/>
      <c r="G64" s="44"/>
    </row>
    <row r="65" spans="2:7" ht="17.25" thickBot="1" x14ac:dyDescent="0.35">
      <c r="B65" s="598" t="s">
        <v>101</v>
      </c>
      <c r="C65" s="599"/>
      <c r="D65" s="599"/>
      <c r="E65" s="599"/>
      <c r="F65" s="600"/>
      <c r="G65" s="65">
        <f>+G63+G57</f>
        <v>65372.322909090901</v>
      </c>
    </row>
    <row r="66" spans="2:7" x14ac:dyDescent="0.3">
      <c r="B66" s="6"/>
      <c r="C66" s="7"/>
      <c r="D66" s="7"/>
      <c r="E66" s="7"/>
      <c r="F66" s="7"/>
      <c r="G66" s="8"/>
    </row>
    <row r="67" spans="2:7" x14ac:dyDescent="0.3">
      <c r="B67" s="9"/>
      <c r="G67" s="11"/>
    </row>
    <row r="68" spans="2:7" x14ac:dyDescent="0.3">
      <c r="B68" s="69" t="s">
        <v>123</v>
      </c>
      <c r="C68" s="67"/>
      <c r="D68" s="67"/>
      <c r="E68" s="67"/>
      <c r="F68" s="67"/>
      <c r="G68" s="70"/>
    </row>
    <row r="69" spans="2:7" x14ac:dyDescent="0.3">
      <c r="B69" s="71"/>
      <c r="C69" s="67"/>
      <c r="D69" s="67"/>
      <c r="E69" s="67"/>
      <c r="F69" s="67"/>
      <c r="G69" s="70"/>
    </row>
    <row r="70" spans="2:7" x14ac:dyDescent="0.3">
      <c r="B70" s="72"/>
      <c r="C70" s="68"/>
      <c r="D70" s="68"/>
      <c r="E70" s="68"/>
      <c r="F70" s="68"/>
      <c r="G70" s="73"/>
    </row>
    <row r="71" spans="2:7" x14ac:dyDescent="0.3">
      <c r="B71" s="71"/>
      <c r="C71" s="67"/>
      <c r="D71" s="67"/>
      <c r="E71" s="67"/>
      <c r="F71" s="67"/>
      <c r="G71" s="70"/>
    </row>
    <row r="72" spans="2:7" ht="17.25" thickBot="1" x14ac:dyDescent="0.35">
      <c r="B72" s="15"/>
      <c r="C72" s="13"/>
      <c r="D72" s="13"/>
      <c r="E72" s="13"/>
      <c r="F72" s="13"/>
      <c r="G72" s="14"/>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count="5">
    <dataValidation type="list" allowBlank="1" showInputMessage="1" showErrorMessage="1" sqref="E102" xr:uid="{44E96FC8-8BB1-4F3A-8127-CD8AF7BC6004}">
      <formula1>$A$103:$A$105</formula1>
    </dataValidation>
    <dataValidation type="list" allowBlank="1" showInputMessage="1" showErrorMessage="1" sqref="B13" xr:uid="{DAB2CE8B-1F43-444B-962A-339FF865BFB2}">
      <formula1>ITEM</formula1>
    </dataValidation>
    <dataValidation type="list" allowBlank="1" showInputMessage="1" showErrorMessage="1" sqref="B50:B54" xr:uid="{23E2DAF7-4C66-4934-B9CC-90570ABD2C4A}">
      <formula1>L_PERSONAL</formula1>
    </dataValidation>
    <dataValidation type="list" allowBlank="1" showInputMessage="1" showErrorMessage="1" sqref="B31:B38" xr:uid="{7C8C2466-ACC2-4B92-A35D-8ACB0582F99B}">
      <formula1>L_MATERIALES</formula1>
    </dataValidation>
    <dataValidation type="list" allowBlank="1" showInputMessage="1" showErrorMessage="1" sqref="B23:B27 B42:B46" xr:uid="{CEF61112-250A-4DC7-AC42-9C9E8727FCA8}">
      <formula1>LISTA_MAQUINARIA</formula1>
    </dataValidation>
  </dataValidations>
  <pageMargins left="0.70866141732283472" right="0.70866141732283472" top="0.74803149606299213" bottom="0.74803149606299213" header="0.31496062992125984" footer="0.31496062992125984"/>
  <pageSetup scale="50" orientation="portrait" r:id="rId1"/>
  <rowBreaks count="1" manualBreakCount="1">
    <brk id="72" max="16383" man="1"/>
  </rowBreaks>
  <colBreaks count="1" manualBreakCount="1">
    <brk id="7" max="1048575" man="1"/>
  </colBreaks>
  <drawing r:id="rId2"/>
  <tableParts count="1">
    <tablePart r:id="rId3"/>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85C7ED-781F-40B2-BC5D-E1590080D5FF}">
  <sheetPr codeName="Hoja21"/>
  <dimension ref="A1:P105"/>
  <sheetViews>
    <sheetView showGridLines="0" view="pageBreakPreview" zoomScale="45" zoomScaleNormal="60" workbookViewId="0">
      <selection activeCell="B18" sqref="B18:G55"/>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10</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04" t="str">
        <f>+IF($B$13="","",INDEX(DESCRIP_ITEM,MATCH($B$13,ITEM,0)))</f>
        <v>Recomposición, desmovilización y limpieza final</v>
      </c>
      <c r="C16" s="605"/>
      <c r="D16" s="605"/>
      <c r="E16" s="605"/>
      <c r="F16" s="605"/>
      <c r="G16" s="606"/>
    </row>
    <row r="17" spans="2:16" ht="44.25" customHeight="1" thickBot="1" x14ac:dyDescent="0.35">
      <c r="B17" s="607"/>
      <c r="C17" s="608"/>
      <c r="D17" s="608"/>
      <c r="E17" s="608"/>
      <c r="F17" s="608"/>
      <c r="G17" s="609"/>
    </row>
    <row r="18" spans="2:16" ht="17.25" thickBot="1" x14ac:dyDescent="0.35">
      <c r="B18" s="591"/>
      <c r="C18" s="579"/>
      <c r="D18" s="579"/>
      <c r="E18" s="579"/>
      <c r="G18" s="11"/>
    </row>
    <row r="19" spans="2:16" ht="17.25" thickBot="1" x14ac:dyDescent="0.35">
      <c r="B19" s="592"/>
      <c r="C19" s="593"/>
      <c r="D19" s="593"/>
      <c r="E19" s="593"/>
      <c r="F19" s="54" t="s">
        <v>89</v>
      </c>
      <c r="G19" s="25" t="str">
        <f>+IF(B13="","",INDEX(U_ITEM,MATCH(B13,ITEM,0)))</f>
        <v>Global</v>
      </c>
    </row>
    <row r="20" spans="2:16" ht="17.25" thickBot="1" x14ac:dyDescent="0.35">
      <c r="B20" s="592"/>
      <c r="C20" s="593"/>
      <c r="D20" s="593"/>
      <c r="E20" s="593"/>
      <c r="F20" s="55" t="s">
        <v>90</v>
      </c>
      <c r="G20" s="56">
        <f>1/(26*8)</f>
        <v>4.807692307692308E-3</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t="s">
        <v>353</v>
      </c>
      <c r="C23" s="3" t="str">
        <f>+IF(B23="","",INDEX(U_MAQUINARIA,MATCH(B23,LISTA_MAQUINARIA,0)))</f>
        <v>VALOR / HORA</v>
      </c>
      <c r="D23" s="30">
        <v>1</v>
      </c>
      <c r="E23" s="23">
        <f>+IF(B23="","",INDEX(V_MAQUINARIA,MATCH(B23,LISTA_MAQUINARIA,0)))</f>
        <v>176300</v>
      </c>
      <c r="F23" s="3">
        <f>$G$20</f>
        <v>4.807692307692308E-3</v>
      </c>
      <c r="G23" s="26">
        <f>+IF(B23="","",(D23*E23)/F23)</f>
        <v>36670400</v>
      </c>
      <c r="K23" s="9"/>
      <c r="L23" s="23">
        <f>IF(B23="","",INDEX(V_COMBUSTIBLE_H,MATCH(B23,LISTA_MAQUINARIA,0)))</f>
        <v>21600</v>
      </c>
      <c r="M23" s="23">
        <f>+IF(L23="","",(L23*D23)/F23)</f>
        <v>4492800</v>
      </c>
      <c r="N23" s="23">
        <f>IF(G23="","",G23-M23)</f>
        <v>32177600</v>
      </c>
      <c r="P23" s="11"/>
    </row>
    <row r="24" spans="2:16" x14ac:dyDescent="0.3">
      <c r="B24" s="27" t="s">
        <v>354</v>
      </c>
      <c r="C24" s="3" t="str">
        <f>+IF(B24="","",INDEX(U_MAQUINARIA,MATCH(B24,LISTA_MAQUINARIA,0)))</f>
        <v>VALOR / HORA</v>
      </c>
      <c r="D24" s="30">
        <v>1</v>
      </c>
      <c r="E24" s="23">
        <f>+IF(B24="","",INDEX(V_MAQUINARIA,MATCH(B24,LISTA_MAQUINARIA,0)))</f>
        <v>89781.818181818177</v>
      </c>
      <c r="F24" s="3">
        <f>$G$20</f>
        <v>4.807692307692308E-3</v>
      </c>
      <c r="G24" s="26">
        <f>+IF(B24="","",(D24*E24)/F24)</f>
        <v>18674618.18181818</v>
      </c>
      <c r="K24" s="9"/>
      <c r="L24" s="3">
        <f>IF(B24="","",INDEX(V_COMBUSTIBLE_H,MATCH(B24,LISTA_MAQUINARIA,0)))</f>
        <v>21600</v>
      </c>
      <c r="M24" s="3">
        <f>+IF(L24="","",(L24*D24)/F24)</f>
        <v>4492800</v>
      </c>
      <c r="N24" s="3">
        <f>IF(G24="","",G24-M24)</f>
        <v>14181818.18181818</v>
      </c>
      <c r="P24" s="11"/>
    </row>
    <row r="25" spans="2:16" x14ac:dyDescent="0.3">
      <c r="B25" s="27"/>
      <c r="C25" s="3" t="str">
        <f>+IF(B25="","",INDEX(U_MAQUINARIA,MATCH(B25,LISTA_MAQUINARIA,0)))</f>
        <v/>
      </c>
      <c r="D25" s="30"/>
      <c r="E25" s="23" t="str">
        <f>+IF(B25="","",INDEX(V_MAQUINARIA,MATCH(B25,LISTA_MAQUINARIA,0)))</f>
        <v/>
      </c>
      <c r="F25" s="3">
        <f>$G$20</f>
        <v>4.807692307692308E-3</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4.807692307692308E-3</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4.807692307692308E-3</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55345018.18181818</v>
      </c>
      <c r="K28" s="9"/>
      <c r="M28" s="24">
        <f>SUM(M23:M27)</f>
        <v>8985600</v>
      </c>
      <c r="N28" s="24">
        <f>SUM(N23:N27)</f>
        <v>46359418.18181818</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t="s">
        <v>361</v>
      </c>
      <c r="C31" s="3" t="str">
        <f t="shared" ref="C31:C38" si="0">+IF(B31="","",INDEX(U_MATERIAL,MATCH(B31,L_MATERIALES,0)))</f>
        <v>UND</v>
      </c>
      <c r="D31" s="30">
        <v>10</v>
      </c>
      <c r="E31" s="23">
        <f t="shared" ref="E31:E38" si="1">+IF(B31="","",INDEX(V_UNITARIOMATERIAL,MATCH(B31,L_MATERIALES,0)))</f>
        <v>340000</v>
      </c>
      <c r="F31" s="30">
        <v>1</v>
      </c>
      <c r="G31" s="26">
        <f>IF(D31="","",(E31*D31)/F31)</f>
        <v>3400000</v>
      </c>
      <c r="K31" s="9"/>
      <c r="L31" t="str">
        <f>+IF(B31="","",B31)</f>
        <v>HERRAMIENTA MENOR---</v>
      </c>
      <c r="M31">
        <f t="shared" ref="M31:M38" si="2">IF(D31="","",(D31/F31)*INDEX(CANT_PROYECTO,MATCH($B$13,ITEM,0)))</f>
        <v>10</v>
      </c>
      <c r="N31" s="1"/>
      <c r="P31" s="11"/>
    </row>
    <row r="32" spans="2:16" x14ac:dyDescent="0.3">
      <c r="B32" s="27"/>
      <c r="C32" s="3" t="str">
        <f t="shared" si="0"/>
        <v/>
      </c>
      <c r="D32" s="30"/>
      <c r="E32" s="23" t="str">
        <f t="shared" si="1"/>
        <v/>
      </c>
      <c r="F32" s="30"/>
      <c r="G32" s="26" t="str">
        <f t="shared" ref="G32:G38" si="3">IF(D32="","",(E32*D32)/F32)</f>
        <v/>
      </c>
      <c r="K32" s="9"/>
      <c r="L32" t="str">
        <f t="shared" ref="L32:L38" si="4">+IF(B32="","",B32)</f>
        <v/>
      </c>
      <c r="M32" t="str">
        <f t="shared" si="2"/>
        <v/>
      </c>
      <c r="N32" s="1"/>
      <c r="P32" s="11"/>
    </row>
    <row r="33" spans="2:16" x14ac:dyDescent="0.3">
      <c r="B33" s="27"/>
      <c r="C33" s="3" t="str">
        <f t="shared" si="0"/>
        <v/>
      </c>
      <c r="D33" s="30"/>
      <c r="E33" s="23" t="str">
        <f t="shared" si="1"/>
        <v/>
      </c>
      <c r="F33" s="30"/>
      <c r="G33" s="26" t="str">
        <f t="shared" si="3"/>
        <v/>
      </c>
      <c r="K33" s="9"/>
      <c r="L33" t="str">
        <f t="shared" si="4"/>
        <v/>
      </c>
      <c r="M33" t="str">
        <f t="shared" si="2"/>
        <v/>
      </c>
      <c r="N33" s="1"/>
      <c r="P33" s="11"/>
    </row>
    <row r="34" spans="2:16" x14ac:dyDescent="0.3">
      <c r="B34" s="27"/>
      <c r="C34" s="3" t="str">
        <f t="shared" si="0"/>
        <v/>
      </c>
      <c r="D34" s="30"/>
      <c r="E34" s="23" t="str">
        <f t="shared" si="1"/>
        <v/>
      </c>
      <c r="F34" s="30"/>
      <c r="G34" s="26" t="str">
        <f t="shared" si="3"/>
        <v/>
      </c>
      <c r="K34" s="9"/>
      <c r="L34" t="str">
        <f t="shared" si="4"/>
        <v/>
      </c>
      <c r="M34" t="str">
        <f t="shared" si="2"/>
        <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3400000</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c r="C42" s="3" t="str">
        <f>+IF(B42="","",INDEX(U_MAQUINARIA,MATCH(B42,LISTA_MAQUINARIA,0)))</f>
        <v/>
      </c>
      <c r="D42" s="30"/>
      <c r="E42" s="23" t="str">
        <f>+IF(B42="","",INDEX(V_MAQUINARIA,MATCH(B42,LISTA_MAQUINARIA,0)))</f>
        <v/>
      </c>
      <c r="F42" s="3">
        <f>+$G$20</f>
        <v>4.807692307692308E-3</v>
      </c>
      <c r="G42" s="26" t="str">
        <f>IF(D42="","",(E42*D42)/F42)</f>
        <v/>
      </c>
      <c r="K42" s="9"/>
      <c r="L42" s="23" t="str">
        <f>IF(B42="","",INDEX(V_COMBUSTIBLE_H,MATCH(B42,LISTA_MAQUINARIA,0)))</f>
        <v/>
      </c>
      <c r="M42" s="23" t="str">
        <f>+IF(L42="","",(L42*D42)/F42)</f>
        <v/>
      </c>
      <c r="N42" s="23" t="str">
        <f>IF(G42="","",G42-M42)</f>
        <v/>
      </c>
      <c r="P42" s="11"/>
    </row>
    <row r="43" spans="2:16" x14ac:dyDescent="0.3">
      <c r="B43" s="27"/>
      <c r="C43" s="3" t="str">
        <f>+IF(B43="","",INDEX(U_MAQUINARIA,MATCH(B43,LISTA_MAQUINARIA,0)))</f>
        <v/>
      </c>
      <c r="D43" s="30"/>
      <c r="E43" s="23" t="str">
        <f>+IF(B43="","",INDEX(V_MAQUINARIA,MATCH(B43,LISTA_MAQUINARIA,0)))</f>
        <v/>
      </c>
      <c r="F43" s="3">
        <f>+$G$20</f>
        <v>4.807692307692308E-3</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4.807692307692308E-3</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4.807692307692308E-3</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4.807692307692308E-3</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0</v>
      </c>
      <c r="K47" s="9"/>
      <c r="M47" s="24">
        <f>SUM(M42:M46)</f>
        <v>0</v>
      </c>
      <c r="N47" s="24">
        <f>SUM(N42:N46)</f>
        <v>0</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t="s">
        <v>299</v>
      </c>
      <c r="C50" s="30">
        <v>1</v>
      </c>
      <c r="D50" s="22">
        <f>+IF(B50="","",INDEX(F_PRESTACIONAL,MATCH(B50,L_PERSONAL,)))</f>
        <v>1.6352</v>
      </c>
      <c r="E50" s="23">
        <f>+IF(B50="","",INDEX(V_H_MANODEOBRA,MATCH(B50,L_PERSONAL,0)))</f>
        <v>22298.18181818182</v>
      </c>
      <c r="F50" s="3">
        <f>+$G$20</f>
        <v>4.807692307692308E-3</v>
      </c>
      <c r="G50" s="26">
        <f>+IF(C50="","",(E50*C50)/F50)</f>
        <v>4638021.8181818184</v>
      </c>
    </row>
    <row r="51" spans="2:7" x14ac:dyDescent="0.3">
      <c r="B51" s="27" t="s">
        <v>305</v>
      </c>
      <c r="C51" s="30">
        <v>1</v>
      </c>
      <c r="D51" s="22">
        <f>+IF(B51="","",INDEX(F_PRESTACIONAL,MATCH(B51,L_PERSONAL,)))</f>
        <v>2.2351999999999999</v>
      </c>
      <c r="E51" s="23">
        <f>+IF(B51="","",INDEX(V_H_MANODEOBRA,MATCH(B51,L_PERSONAL,0)))</f>
        <v>50800</v>
      </c>
      <c r="F51" s="3">
        <f>+$G$20</f>
        <v>4.807692307692308E-3</v>
      </c>
      <c r="G51" s="26">
        <f>+IF(C51="","",(E51*C51)/F51)</f>
        <v>10566400</v>
      </c>
    </row>
    <row r="52" spans="2:7" x14ac:dyDescent="0.3">
      <c r="B52" s="27" t="s">
        <v>357</v>
      </c>
      <c r="C52" s="30">
        <v>1</v>
      </c>
      <c r="D52" s="22">
        <f>+IF(B52="","",INDEX(F_PRESTACIONAL,MATCH(B52,L_PERSONAL,)))</f>
        <v>1.6352</v>
      </c>
      <c r="E52" s="23">
        <f>+IF(B52="","",INDEX(V_H_MANODEOBRA,MATCH(B52,L_PERSONAL,0)))</f>
        <v>24658.815999999999</v>
      </c>
      <c r="F52" s="3">
        <f>+$G$20</f>
        <v>4.807692307692308E-3</v>
      </c>
      <c r="G52" s="26">
        <f>+IF(C52="","",(E52*C52)/F52)</f>
        <v>5129033.7279999992</v>
      </c>
    </row>
    <row r="53" spans="2:7" x14ac:dyDescent="0.3">
      <c r="B53" s="27" t="s">
        <v>304</v>
      </c>
      <c r="C53" s="30">
        <v>4</v>
      </c>
      <c r="D53" s="22">
        <f>+IF(B53="","",INDEX(F_PRESTACIONAL,MATCH(B53,L_PERSONAL,)))</f>
        <v>1.6352</v>
      </c>
      <c r="E53" s="23">
        <f>+IF(B53="","",INDEX(V_H_MANODEOBRA,MATCH(B53,L_PERSONAL,0)))</f>
        <v>24658.815999999999</v>
      </c>
      <c r="F53" s="3">
        <f>+$G$20</f>
        <v>4.807692307692308E-3</v>
      </c>
      <c r="G53" s="26">
        <f>+IF(C53="","",(E53*C53)/F53)</f>
        <v>20516134.911999997</v>
      </c>
    </row>
    <row r="54" spans="2:7" x14ac:dyDescent="0.3">
      <c r="B54" s="27"/>
      <c r="C54" s="30"/>
      <c r="D54" s="22" t="str">
        <f>+IF(B54="","",INDEX(F_PRESTACIONAL,MATCH(B54,L_PERSONAL,)))</f>
        <v/>
      </c>
      <c r="E54" s="23" t="str">
        <f>+IF(B54="","",INDEX(V_H_MANODEOBRA,MATCH(B54,L_PERSONAL,0)))</f>
        <v/>
      </c>
      <c r="F54" s="3">
        <f>+$G$20</f>
        <v>4.807692307692308E-3</v>
      </c>
      <c r="G54" s="26" t="str">
        <f>+IF(C54="","",(E54*C54)/F54)</f>
        <v/>
      </c>
    </row>
    <row r="55" spans="2:7" x14ac:dyDescent="0.3">
      <c r="B55" s="9"/>
      <c r="G55" s="26">
        <f>SUM(G50:G54)</f>
        <v>40849590.458181813</v>
      </c>
    </row>
    <row r="56" spans="2:7" ht="17.25" thickBot="1" x14ac:dyDescent="0.35">
      <c r="B56" s="9"/>
      <c r="G56" s="11"/>
    </row>
    <row r="57" spans="2:7" ht="17.25" thickBot="1" x14ac:dyDescent="0.35">
      <c r="B57" s="610" t="s">
        <v>98</v>
      </c>
      <c r="C57" s="611"/>
      <c r="D57" s="611"/>
      <c r="E57" s="611"/>
      <c r="F57" s="612"/>
      <c r="G57" s="66">
        <f>+G55+G47+G39+G28</f>
        <v>99594608.639999986</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11951353.036799997</v>
      </c>
    </row>
    <row r="61" spans="2:7" x14ac:dyDescent="0.3">
      <c r="B61" s="613" t="s">
        <v>86</v>
      </c>
      <c r="C61" s="614"/>
      <c r="D61" s="614"/>
      <c r="E61" s="614"/>
      <c r="F61" s="22">
        <f>+IMPREVISTOS</f>
        <v>0.03</v>
      </c>
      <c r="G61" s="26">
        <f>+$G$57*F61</f>
        <v>2987838.2591999993</v>
      </c>
    </row>
    <row r="62" spans="2:7" x14ac:dyDescent="0.3">
      <c r="B62" s="613" t="s">
        <v>87</v>
      </c>
      <c r="C62" s="614"/>
      <c r="D62" s="614"/>
      <c r="E62" s="614"/>
      <c r="F62" s="22">
        <f>+UTILIDAD</f>
        <v>0.05</v>
      </c>
      <c r="G62" s="26">
        <f>+$G$57*F62</f>
        <v>4979730.4319999991</v>
      </c>
    </row>
    <row r="63" spans="2:7" x14ac:dyDescent="0.3">
      <c r="B63" s="596" t="s">
        <v>100</v>
      </c>
      <c r="C63" s="597"/>
      <c r="D63" s="597"/>
      <c r="E63" s="597"/>
      <c r="F63" s="597"/>
      <c r="G63" s="53">
        <f>SUM(G60:G62)</f>
        <v>19918921.727999996</v>
      </c>
    </row>
    <row r="64" spans="2:7" ht="17.25" thickBot="1" x14ac:dyDescent="0.35">
      <c r="B64" s="9"/>
      <c r="G64" s="44"/>
    </row>
    <row r="65" spans="2:7" ht="17.25" thickBot="1" x14ac:dyDescent="0.35">
      <c r="B65" s="598" t="s">
        <v>101</v>
      </c>
      <c r="C65" s="599"/>
      <c r="D65" s="599"/>
      <c r="E65" s="599"/>
      <c r="F65" s="600"/>
      <c r="G65" s="65">
        <f>+G63+G57</f>
        <v>119513530.36799999</v>
      </c>
    </row>
    <row r="66" spans="2:7" x14ac:dyDescent="0.3">
      <c r="B66" s="6"/>
      <c r="C66" s="7"/>
      <c r="D66" s="7"/>
      <c r="E66" s="7"/>
      <c r="F66" s="7"/>
      <c r="G66" s="8"/>
    </row>
    <row r="67" spans="2:7" x14ac:dyDescent="0.3">
      <c r="B67" s="9"/>
      <c r="G67" s="11"/>
    </row>
    <row r="68" spans="2:7" x14ac:dyDescent="0.3">
      <c r="B68" s="69" t="s">
        <v>123</v>
      </c>
      <c r="C68" s="67"/>
      <c r="D68" s="67"/>
      <c r="E68" s="67"/>
      <c r="F68" s="67"/>
      <c r="G68" s="70"/>
    </row>
    <row r="69" spans="2:7" x14ac:dyDescent="0.3">
      <c r="B69" s="71"/>
      <c r="C69" s="67"/>
      <c r="D69" s="67"/>
      <c r="E69" s="67"/>
      <c r="F69" s="67"/>
      <c r="G69" s="70"/>
    </row>
    <row r="70" spans="2:7" x14ac:dyDescent="0.3">
      <c r="B70" s="72"/>
      <c r="C70" s="68"/>
      <c r="D70" s="68"/>
      <c r="E70" s="68"/>
      <c r="F70" s="68"/>
      <c r="G70" s="73"/>
    </row>
    <row r="71" spans="2:7" x14ac:dyDescent="0.3">
      <c r="B71" s="71"/>
      <c r="C71" s="67"/>
      <c r="D71" s="67"/>
      <c r="E71" s="67"/>
      <c r="F71" s="67"/>
      <c r="G71" s="70"/>
    </row>
    <row r="72" spans="2:7" ht="17.25" thickBot="1" x14ac:dyDescent="0.35">
      <c r="B72" s="15"/>
      <c r="C72" s="13"/>
      <c r="D72" s="13"/>
      <c r="E72" s="13"/>
      <c r="F72" s="13"/>
      <c r="G72" s="14"/>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count="5">
    <dataValidation type="list" allowBlank="1" showInputMessage="1" showErrorMessage="1" sqref="E102" xr:uid="{03866FDA-7D9F-4B92-A7EB-43221E484BC2}">
      <formula1>$A$103:$A$105</formula1>
    </dataValidation>
    <dataValidation type="list" allowBlank="1" showInputMessage="1" showErrorMessage="1" sqref="B13" xr:uid="{9488A8A2-E031-4E41-9C66-BD566CC75A3C}">
      <formula1>ITEM</formula1>
    </dataValidation>
    <dataValidation type="list" allowBlank="1" showInputMessage="1" showErrorMessage="1" sqref="B50:B54" xr:uid="{2536DE71-61E0-4B18-9B0D-B9EA324B0923}">
      <formula1>L_PERSONAL</formula1>
    </dataValidation>
    <dataValidation type="list" allowBlank="1" showInputMessage="1" showErrorMessage="1" sqref="B31:B38" xr:uid="{2C5A9CC9-C3ED-4E55-9A61-AB2E85650261}">
      <formula1>L_MATERIALES</formula1>
    </dataValidation>
    <dataValidation type="list" allowBlank="1" showInputMessage="1" showErrorMessage="1" sqref="B23:B27 B42:B46" xr:uid="{130DAB84-A4F8-451D-97B2-8359F5469675}">
      <formula1>LISTA_MAQUINARIA</formula1>
    </dataValidation>
  </dataValidations>
  <pageMargins left="0.70866141732283472" right="0.70866141732283472" top="0.74803149606299213" bottom="0.74803149606299213" header="0.31496062992125984" footer="0.31496062992125984"/>
  <pageSetup scale="50" orientation="portrait" r:id="rId1"/>
  <rowBreaks count="1" manualBreakCount="1">
    <brk id="72" max="16383" man="1"/>
  </rowBreaks>
  <colBreaks count="1" manualBreakCount="1">
    <brk id="7" max="1048575" man="1"/>
  </colBreaks>
  <drawing r:id="rId2"/>
  <tableParts count="1">
    <tablePart r:id="rId3"/>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1E518-75CF-4290-B793-0EEF9ACCCFFC}">
  <sheetPr codeName="Hoja22"/>
  <dimension ref="A1:P105"/>
  <sheetViews>
    <sheetView showGridLines="0" view="pageBreakPreview" zoomScale="68" zoomScaleNormal="60" workbookViewId="0">
      <selection activeCell="B1" sqref="B1:G78"/>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8" max="8" width="13.625" bestFit="1"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11</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18" t="str">
        <f>+IF($B$13="","",INDEX(DESCRIP_ITEM,MATCH($B$13,ITEM,0)))</f>
        <v>Conexión de módulos fotovoltaicos con conectores MC4 (Seriado de modulos), incluye suministro de bridas o amarres plásticos con protección UV y certificación de producto RETIE, figurado del cable, corte de puntas sobrantes de las bridas y comprobación de la conexión.</v>
      </c>
      <c r="C16" s="619"/>
      <c r="D16" s="619"/>
      <c r="E16" s="619"/>
      <c r="F16" s="619"/>
      <c r="G16" s="620"/>
    </row>
    <row r="17" spans="2:16" ht="44.25" customHeight="1" thickBot="1" x14ac:dyDescent="0.35">
      <c r="B17" s="621"/>
      <c r="C17" s="622"/>
      <c r="D17" s="622"/>
      <c r="E17" s="622"/>
      <c r="F17" s="622"/>
      <c r="G17" s="623"/>
    </row>
    <row r="18" spans="2:16" ht="17.25" thickBot="1" x14ac:dyDescent="0.35">
      <c r="B18" s="591"/>
      <c r="C18" s="579"/>
      <c r="D18" s="579"/>
      <c r="E18" s="579"/>
      <c r="G18" s="11"/>
    </row>
    <row r="19" spans="2:16" ht="17.25" thickBot="1" x14ac:dyDescent="0.35">
      <c r="B19" s="592"/>
      <c r="C19" s="593"/>
      <c r="D19" s="593"/>
      <c r="E19" s="593"/>
      <c r="F19" s="54" t="s">
        <v>89</v>
      </c>
      <c r="G19" s="25" t="str">
        <f>+IF(B13="","",INDEX(U_ITEM,MATCH(B13,ITEM,0)))</f>
        <v>UN</v>
      </c>
      <c r="H19">
        <v>198720</v>
      </c>
    </row>
    <row r="20" spans="2:16" ht="17.25" thickBot="1" x14ac:dyDescent="0.35">
      <c r="B20" s="592"/>
      <c r="C20" s="593"/>
      <c r="D20" s="593"/>
      <c r="E20" s="593"/>
      <c r="F20" s="55" t="s">
        <v>90</v>
      </c>
      <c r="G20" s="56">
        <f>3770/8</f>
        <v>471.25</v>
      </c>
      <c r="H20">
        <f>H19/H21</f>
        <v>3373.496021220159</v>
      </c>
      <c r="K20" s="92" t="s">
        <v>134</v>
      </c>
      <c r="L20" s="93"/>
      <c r="M20" s="93"/>
      <c r="N20" s="93"/>
      <c r="O20" s="93"/>
      <c r="P20" s="94"/>
    </row>
    <row r="21" spans="2:16" ht="15" customHeight="1" thickBot="1" x14ac:dyDescent="0.35">
      <c r="B21" s="58" t="s">
        <v>91</v>
      </c>
      <c r="G21" s="11"/>
      <c r="H21">
        <f>G20/8</f>
        <v>58.90625</v>
      </c>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c r="C23" s="3" t="str">
        <f>+IF(B23="","",INDEX(U_MAQUINARIA,MATCH(B23,LISTA_MAQUINARIA,0)))</f>
        <v/>
      </c>
      <c r="D23" s="30"/>
      <c r="E23" s="23" t="str">
        <f>+IF(B23="","",INDEX(V_MAQUINARIA,MATCH(B23,LISTA_MAQUINARIA,0)))</f>
        <v/>
      </c>
      <c r="F23" s="3">
        <f>$G$20</f>
        <v>471.25</v>
      </c>
      <c r="G23" s="26" t="str">
        <f>+IF(B23="","",(D23*E23)/F23)</f>
        <v/>
      </c>
      <c r="K23" s="9"/>
      <c r="L23" s="23" t="str">
        <f>IF(B23="","",INDEX(V_COMBUSTIBLE_H,MATCH(B23,LISTA_MAQUINARIA,0)))</f>
        <v/>
      </c>
      <c r="M23" s="23" t="str">
        <f>+IF(L23="","",(L23*D23)/F23)</f>
        <v/>
      </c>
      <c r="N23" s="23" t="str">
        <f>IF(G23="","",G23-M23)</f>
        <v/>
      </c>
      <c r="P23" s="11"/>
    </row>
    <row r="24" spans="2:16" x14ac:dyDescent="0.3">
      <c r="B24" s="27"/>
      <c r="C24" s="3" t="str">
        <f>+IF(B24="","",INDEX(U_MAQUINARIA,MATCH(B24,LISTA_MAQUINARIA,0)))</f>
        <v/>
      </c>
      <c r="D24" s="30"/>
      <c r="E24" s="23" t="str">
        <f>+IF(B24="","",INDEX(V_MAQUINARIA,MATCH(B24,LISTA_MAQUINARIA,0)))</f>
        <v/>
      </c>
      <c r="F24" s="3">
        <f>$G$20</f>
        <v>471.25</v>
      </c>
      <c r="G24" s="26" t="str">
        <f>+IF(B24="","",(D24*E24)/F24)</f>
        <v/>
      </c>
      <c r="K24" s="9"/>
      <c r="L24" s="3" t="str">
        <f>IF(B24="","",INDEX(V_COMBUSTIBLE_H,MATCH(B24,LISTA_MAQUINARIA,0)))</f>
        <v/>
      </c>
      <c r="M24" s="3" t="str">
        <f>+IF(L24="","",(L24*D24)/F24)</f>
        <v/>
      </c>
      <c r="N24" s="3" t="str">
        <f>IF(G24="","",G24-M24)</f>
        <v/>
      </c>
      <c r="P24" s="11"/>
    </row>
    <row r="25" spans="2:16" x14ac:dyDescent="0.3">
      <c r="B25" s="27"/>
      <c r="C25" s="3" t="str">
        <f>+IF(B25="","",INDEX(U_MAQUINARIA,MATCH(B25,LISTA_MAQUINARIA,0)))</f>
        <v/>
      </c>
      <c r="D25" s="30"/>
      <c r="E25" s="23" t="str">
        <f>+IF(B25="","",INDEX(V_MAQUINARIA,MATCH(B25,LISTA_MAQUINARIA,0)))</f>
        <v/>
      </c>
      <c r="F25" s="3">
        <f>$G$20</f>
        <v>471.25</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471.25</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471.25</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0</v>
      </c>
      <c r="K28" s="9"/>
      <c r="M28" s="24">
        <f>SUM(M23:M27)</f>
        <v>0</v>
      </c>
      <c r="N28" s="24">
        <f>SUM(N23:N27)</f>
        <v>0</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t="s">
        <v>361</v>
      </c>
      <c r="C31" s="3" t="str">
        <f t="shared" ref="C31:C38" si="0">+IF(B31="","",INDEX(U_MATERIAL,MATCH(B31,L_MATERIALES,0)))</f>
        <v>UND</v>
      </c>
      <c r="D31" s="30">
        <v>1</v>
      </c>
      <c r="E31" s="23">
        <f t="shared" ref="E31:E38" si="1">+IF(B31="","",INDEX(V_UNITARIOMATERIAL,MATCH(B31,L_MATERIALES,0)))</f>
        <v>340000</v>
      </c>
      <c r="F31" s="30">
        <v>1000</v>
      </c>
      <c r="G31" s="26">
        <f>IF(D31="","",(E31*D31)/F31)</f>
        <v>340</v>
      </c>
      <c r="K31" s="9"/>
      <c r="L31" t="str">
        <f>+IF(B31="","",B31)</f>
        <v>HERRAMIENTA MENOR---</v>
      </c>
      <c r="M31">
        <f t="shared" ref="M31:M38" si="2">IF(D31="","",(D31/F31)*INDEX(CANT_PROYECTO,MATCH($B$13,ITEM,0)))</f>
        <v>198.72</v>
      </c>
      <c r="N31" s="1"/>
      <c r="P31" s="11"/>
    </row>
    <row r="32" spans="2:16" x14ac:dyDescent="0.3">
      <c r="B32" s="27" t="s">
        <v>396</v>
      </c>
      <c r="C32" s="3" t="str">
        <f t="shared" si="0"/>
        <v>UND</v>
      </c>
      <c r="D32" s="30">
        <v>1</v>
      </c>
      <c r="E32" s="23">
        <f t="shared" si="1"/>
        <v>1925.0000000000002</v>
      </c>
      <c r="F32" s="30">
        <v>1</v>
      </c>
      <c r="G32" s="26">
        <f t="shared" ref="G32:G38" si="3">IF(D32="","",(E32*D32)/F32)</f>
        <v>1925.0000000000002</v>
      </c>
      <c r="K32" s="9"/>
      <c r="L32" t="str">
        <f t="shared" ref="L32:L38" si="4">+IF(B32="","",B32)</f>
        <v>BRIDA PLASTICA UV---</v>
      </c>
      <c r="M32">
        <f t="shared" si="2"/>
        <v>198720</v>
      </c>
      <c r="N32" s="1"/>
      <c r="P32" s="11"/>
    </row>
    <row r="33" spans="2:16" x14ac:dyDescent="0.3">
      <c r="B33" s="27"/>
      <c r="C33" s="3" t="str">
        <f t="shared" si="0"/>
        <v/>
      </c>
      <c r="D33" s="30"/>
      <c r="E33" s="23" t="str">
        <f t="shared" si="1"/>
        <v/>
      </c>
      <c r="F33" s="30"/>
      <c r="G33" s="26" t="str">
        <f t="shared" si="3"/>
        <v/>
      </c>
      <c r="K33" s="9"/>
      <c r="L33" t="str">
        <f t="shared" si="4"/>
        <v/>
      </c>
      <c r="M33" t="str">
        <f t="shared" si="2"/>
        <v/>
      </c>
      <c r="N33" s="1"/>
      <c r="P33" s="11"/>
    </row>
    <row r="34" spans="2:16" x14ac:dyDescent="0.3">
      <c r="B34" s="27"/>
      <c r="C34" s="3" t="str">
        <f t="shared" si="0"/>
        <v/>
      </c>
      <c r="D34" s="30"/>
      <c r="E34" s="23" t="str">
        <f t="shared" si="1"/>
        <v/>
      </c>
      <c r="F34" s="30"/>
      <c r="G34" s="26" t="str">
        <f t="shared" si="3"/>
        <v/>
      </c>
      <c r="K34" s="9"/>
      <c r="L34" t="str">
        <f t="shared" si="4"/>
        <v/>
      </c>
      <c r="M34" t="str">
        <f t="shared" si="2"/>
        <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2265</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t="s">
        <v>455</v>
      </c>
      <c r="C42" s="3">
        <f>+IF(B42="","",INDEX(U_MAQUINARIA,MATCH(B42,LISTA_MAQUINARIA,0)))</f>
        <v>0</v>
      </c>
      <c r="D42" s="30">
        <v>0.5</v>
      </c>
      <c r="E42" s="23">
        <f>+IF(B42="","",INDEX(V_MAQUINARIA,MATCH(B42,LISTA_MAQUINARIA,0)))</f>
        <v>101145.45454545454</v>
      </c>
      <c r="F42" s="3">
        <f>$G$20</f>
        <v>471.25</v>
      </c>
      <c r="G42" s="26">
        <f>IF(D42="","",(E42*D42)/F42)</f>
        <v>107.31613214371835</v>
      </c>
      <c r="K42" s="9"/>
      <c r="L42" s="23">
        <f>IF(B42="","",INDEX(V_COMBUSTIBLE_H,MATCH(B42,LISTA_MAQUINARIA,0)))</f>
        <v>21600</v>
      </c>
      <c r="M42" s="23">
        <f>+IF(L42="","",(L42*D42)/F42)</f>
        <v>22.917771883289124</v>
      </c>
      <c r="N42" s="23">
        <f>IF(G42="","",G42-M42)</f>
        <v>84.398360260429229</v>
      </c>
      <c r="P42" s="11"/>
    </row>
    <row r="43" spans="2:16" x14ac:dyDescent="0.3">
      <c r="B43" s="27"/>
      <c r="C43" s="3" t="str">
        <f>+IF(B43="","",INDEX(U_MAQUINARIA,MATCH(B43,LISTA_MAQUINARIA,0)))</f>
        <v/>
      </c>
      <c r="D43" s="30"/>
      <c r="E43" s="23" t="str">
        <f>+IF(B43="","",INDEX(V_MAQUINARIA,MATCH(B43,LISTA_MAQUINARIA,0)))</f>
        <v/>
      </c>
      <c r="F43" s="3">
        <f>+$G$20</f>
        <v>471.25</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471.25</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471.25</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471.25</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107.31613214371835</v>
      </c>
      <c r="K47" s="9"/>
      <c r="M47" s="24">
        <f>SUM(M42:M46)</f>
        <v>22.917771883289124</v>
      </c>
      <c r="N47" s="24">
        <f>SUM(N42:N46)</f>
        <v>84.398360260429229</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t="s">
        <v>304</v>
      </c>
      <c r="C50" s="30">
        <v>8</v>
      </c>
      <c r="D50" s="22">
        <f>+IF(B50="","",INDEX(F_PRESTACIONAL,MATCH(B50,L_PERSONAL,)))</f>
        <v>1.6352</v>
      </c>
      <c r="E50" s="23">
        <f>+IF(B50="","",INDEX(V_H_MANODEOBRA,MATCH(B50,L_PERSONAL,0)))</f>
        <v>24658.815999999999</v>
      </c>
      <c r="F50" s="3">
        <f>+$G$20</f>
        <v>471.25</v>
      </c>
      <c r="G50" s="26">
        <f>+IF(C50="","",(E50*C50)/F50)</f>
        <v>418.6112</v>
      </c>
    </row>
    <row r="51" spans="2:7" x14ac:dyDescent="0.3">
      <c r="B51" s="27" t="s">
        <v>298</v>
      </c>
      <c r="C51" s="30">
        <v>1</v>
      </c>
      <c r="D51" s="22">
        <f>+IF(B51="","",INDEX(F_PRESTACIONAL,MATCH(B51,L_PERSONAL,)))</f>
        <v>1.6352</v>
      </c>
      <c r="E51" s="23">
        <f>+IF(B51="","",INDEX(V_H_MANODEOBRA,MATCH(B51,L_PERSONAL,0)))</f>
        <v>40136.727272727272</v>
      </c>
      <c r="F51" s="3">
        <f>+$G$20</f>
        <v>471.25</v>
      </c>
      <c r="G51" s="26">
        <f>+IF(C51="","",(E51*C51)/F51)</f>
        <v>85.170774053532668</v>
      </c>
    </row>
    <row r="52" spans="2:7" x14ac:dyDescent="0.3">
      <c r="B52" s="27" t="s">
        <v>299</v>
      </c>
      <c r="C52" s="30">
        <v>0.5</v>
      </c>
      <c r="D52" s="22">
        <f>+IF(B52="","",INDEX(F_PRESTACIONAL,MATCH(B52,L_PERSONAL,)))</f>
        <v>1.6352</v>
      </c>
      <c r="E52" s="23">
        <f>+IF(B52="","",INDEX(V_H_MANODEOBRA,MATCH(B52,L_PERSONAL,0)))</f>
        <v>22298.18181818182</v>
      </c>
      <c r="F52" s="3">
        <f>+$G$20</f>
        <v>471.25</v>
      </c>
      <c r="G52" s="26">
        <f>+IF(C52="","",(E52*C52)/F52)</f>
        <v>23.658548348203521</v>
      </c>
    </row>
    <row r="53" spans="2:7" x14ac:dyDescent="0.3">
      <c r="B53" s="27"/>
      <c r="C53" s="30"/>
      <c r="D53" s="22" t="str">
        <f>+IF(B53="","",INDEX(F_PRESTACIONAL,MATCH(B53,L_PERSONAL,)))</f>
        <v/>
      </c>
      <c r="E53" s="23" t="str">
        <f>+IF(B53="","",INDEX(V_H_MANODEOBRA,MATCH(B53,L_PERSONAL,0)))</f>
        <v/>
      </c>
      <c r="F53" s="3">
        <f>+$G$20</f>
        <v>471.25</v>
      </c>
      <c r="G53" s="26" t="str">
        <f>+IF(C53="","",(E53*C53)/F53)</f>
        <v/>
      </c>
    </row>
    <row r="54" spans="2:7" x14ac:dyDescent="0.3">
      <c r="B54" s="27"/>
      <c r="C54" s="30"/>
      <c r="D54" s="22" t="str">
        <f>+IF(B54="","",INDEX(F_PRESTACIONAL,MATCH(B54,L_PERSONAL,)))</f>
        <v/>
      </c>
      <c r="E54" s="23" t="str">
        <f>+IF(B54="","",INDEX(V_H_MANODEOBRA,MATCH(B54,L_PERSONAL,0)))</f>
        <v/>
      </c>
      <c r="F54" s="3">
        <f>+$G$20</f>
        <v>471.25</v>
      </c>
      <c r="G54" s="26" t="str">
        <f>+IF(C54="","",(E54*C54)/F54)</f>
        <v/>
      </c>
    </row>
    <row r="55" spans="2:7" x14ac:dyDescent="0.3">
      <c r="B55" s="9"/>
      <c r="G55" s="26">
        <f>SUM(G50:G54)</f>
        <v>527.44052240173619</v>
      </c>
    </row>
    <row r="56" spans="2:7" ht="17.25" thickBot="1" x14ac:dyDescent="0.35">
      <c r="B56" s="9"/>
      <c r="G56" s="11"/>
    </row>
    <row r="57" spans="2:7" ht="17.25" thickBot="1" x14ac:dyDescent="0.35">
      <c r="B57" s="610" t="s">
        <v>98</v>
      </c>
      <c r="C57" s="611"/>
      <c r="D57" s="611"/>
      <c r="E57" s="611"/>
      <c r="F57" s="612"/>
      <c r="G57" s="66">
        <f>+G55+G47+G39+G28</f>
        <v>2899.7566545454547</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347.97079854545456</v>
      </c>
    </row>
    <row r="61" spans="2:7" x14ac:dyDescent="0.3">
      <c r="B61" s="613" t="s">
        <v>86</v>
      </c>
      <c r="C61" s="614"/>
      <c r="D61" s="614"/>
      <c r="E61" s="614"/>
      <c r="F61" s="22">
        <f>+IMPREVISTOS</f>
        <v>0.03</v>
      </c>
      <c r="G61" s="26">
        <f>+$G$57*F61</f>
        <v>86.992699636363639</v>
      </c>
    </row>
    <row r="62" spans="2:7" x14ac:dyDescent="0.3">
      <c r="B62" s="613" t="s">
        <v>87</v>
      </c>
      <c r="C62" s="614"/>
      <c r="D62" s="614"/>
      <c r="E62" s="614"/>
      <c r="F62" s="22">
        <f>+UTILIDAD</f>
        <v>0.05</v>
      </c>
      <c r="G62" s="26">
        <f>+$G$57*F62</f>
        <v>144.98783272727275</v>
      </c>
    </row>
    <row r="63" spans="2:7" x14ac:dyDescent="0.3">
      <c r="B63" s="596" t="s">
        <v>100</v>
      </c>
      <c r="C63" s="597"/>
      <c r="D63" s="597"/>
      <c r="E63" s="597"/>
      <c r="F63" s="597"/>
      <c r="G63" s="53">
        <f>SUM(G60:G62)</f>
        <v>579.95133090909098</v>
      </c>
    </row>
    <row r="64" spans="2:7" ht="17.25" thickBot="1" x14ac:dyDescent="0.35">
      <c r="B64" s="9"/>
      <c r="G64" s="44"/>
    </row>
    <row r="65" spans="2:7" ht="17.25" thickBot="1" x14ac:dyDescent="0.35">
      <c r="B65" s="598" t="s">
        <v>101</v>
      </c>
      <c r="C65" s="599"/>
      <c r="D65" s="599"/>
      <c r="E65" s="599"/>
      <c r="F65" s="600"/>
      <c r="G65" s="65">
        <f>+G63+G57</f>
        <v>3479.7079854545455</v>
      </c>
    </row>
    <row r="66" spans="2:7" x14ac:dyDescent="0.3">
      <c r="B66" s="6"/>
      <c r="C66" s="7"/>
      <c r="D66" s="7"/>
      <c r="E66" s="7"/>
      <c r="F66" s="7"/>
      <c r="G66" s="8"/>
    </row>
    <row r="67" spans="2:7" x14ac:dyDescent="0.3">
      <c r="B67" s="9"/>
      <c r="G67" s="11"/>
    </row>
    <row r="68" spans="2:7" x14ac:dyDescent="0.3">
      <c r="B68" s="69" t="s">
        <v>123</v>
      </c>
      <c r="C68" s="67"/>
      <c r="D68" s="67"/>
      <c r="E68" s="67"/>
      <c r="F68" s="67"/>
      <c r="G68" s="70"/>
    </row>
    <row r="69" spans="2:7" x14ac:dyDescent="0.3">
      <c r="B69" s="71"/>
      <c r="C69" s="67"/>
      <c r="D69" s="67"/>
      <c r="E69" s="67"/>
      <c r="F69" s="67"/>
      <c r="G69" s="70"/>
    </row>
    <row r="70" spans="2:7" x14ac:dyDescent="0.3">
      <c r="B70" s="72"/>
      <c r="C70" s="68"/>
      <c r="D70" s="68"/>
      <c r="E70" s="68"/>
      <c r="F70" s="68"/>
      <c r="G70" s="73"/>
    </row>
    <row r="71" spans="2:7" x14ac:dyDescent="0.3">
      <c r="B71" s="71"/>
      <c r="C71" s="67"/>
      <c r="D71" s="67"/>
      <c r="E71" s="67"/>
      <c r="F71" s="67"/>
      <c r="G71" s="70"/>
    </row>
    <row r="72" spans="2:7" ht="17.25" thickBot="1" x14ac:dyDescent="0.35">
      <c r="B72" s="15"/>
      <c r="C72" s="13"/>
      <c r="D72" s="13"/>
      <c r="E72" s="13"/>
      <c r="F72" s="13"/>
      <c r="G72" s="14"/>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count="5">
    <dataValidation type="list" allowBlank="1" showInputMessage="1" showErrorMessage="1" sqref="E102" xr:uid="{5AB59211-AFC9-4A28-9B00-0CE7F6BE9406}">
      <formula1>$A$103:$A$105</formula1>
    </dataValidation>
    <dataValidation type="list" allowBlank="1" showInputMessage="1" showErrorMessage="1" sqref="B13" xr:uid="{7FE2AAEB-2BC0-43E2-8F6A-A3DA28226C5A}">
      <formula1>ITEM</formula1>
    </dataValidation>
    <dataValidation type="list" allowBlank="1" showInputMessage="1" showErrorMessage="1" sqref="B50:B54" xr:uid="{C8EC89C8-F3D9-4389-8D02-7AF9FADDA242}">
      <formula1>L_PERSONAL</formula1>
    </dataValidation>
    <dataValidation type="list" allowBlank="1" showInputMessage="1" showErrorMessage="1" sqref="B31:B38" xr:uid="{6FE63B67-2090-4087-AD37-D2A5E433301C}">
      <formula1>L_MATERIALES</formula1>
    </dataValidation>
    <dataValidation type="list" allowBlank="1" showInputMessage="1" showErrorMessage="1" sqref="B23:B27 B42:B46" xr:uid="{C7B5E1C4-6E23-4E08-A7B3-AC76A49EAF97}">
      <formula1>LISTA_MAQUINARIA</formula1>
    </dataValidation>
  </dataValidations>
  <pageMargins left="1.6141732283464567" right="0.70866141732283472" top="0.74803149606299213" bottom="0.74803149606299213" header="0.31496062992125984" footer="0.31496062992125984"/>
  <pageSetup scale="50" orientation="portrait" r:id="rId1"/>
  <rowBreaks count="1" manualBreakCount="1">
    <brk id="78" max="16383" man="1"/>
  </rowBreaks>
  <colBreaks count="1" manualBreakCount="1">
    <brk id="7" max="1048575" man="1"/>
  </colBreaks>
  <drawing r:id="rId2"/>
  <tableParts count="1">
    <tablePart r:id="rId3"/>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FC6EF-6CCC-42B9-A8A1-8C840E70B9BD}">
  <sheetPr codeName="Hoja23"/>
  <dimension ref="A1:P105"/>
  <sheetViews>
    <sheetView showGridLines="0" view="pageBreakPreview" zoomScale="70" zoomScaleNormal="60" zoomScaleSheetLayoutView="85" workbookViewId="0">
      <selection activeCell="B1" sqref="B1:G78"/>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12</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18" t="str">
        <f>+IF($B$13="","",INDEX(DESCRIP_ITEM,MATCH($B$13,ITEM,0)))</f>
        <v>Instalación de puente de cable solar para la conexiónes adicionales entre modulos (salto de motor).  incluye suministro de amarres plásticos con protección UV y certificación de producto RETIE, figurado del cable, corte de puntas sobrantes de las bridas y comprobación de la conexión. Incluye medición de resistencia de aislamiento y polaridad a todos los circuitos instalados con sus conectores.</v>
      </c>
      <c r="C16" s="619"/>
      <c r="D16" s="619"/>
      <c r="E16" s="619"/>
      <c r="F16" s="619"/>
      <c r="G16" s="620"/>
    </row>
    <row r="17" spans="2:16" ht="44.25" customHeight="1" thickBot="1" x14ac:dyDescent="0.35">
      <c r="B17" s="621"/>
      <c r="C17" s="622"/>
      <c r="D17" s="622"/>
      <c r="E17" s="622"/>
      <c r="F17" s="622"/>
      <c r="G17" s="623"/>
    </row>
    <row r="18" spans="2:16" ht="17.25" thickBot="1" x14ac:dyDescent="0.35">
      <c r="B18" s="591"/>
      <c r="C18" s="579"/>
      <c r="D18" s="579"/>
      <c r="E18" s="579"/>
      <c r="G18" s="11"/>
    </row>
    <row r="19" spans="2:16" ht="17.25" thickBot="1" x14ac:dyDescent="0.35">
      <c r="B19" s="592"/>
      <c r="C19" s="593"/>
      <c r="D19" s="593"/>
      <c r="E19" s="593"/>
      <c r="F19" s="54" t="s">
        <v>89</v>
      </c>
      <c r="G19" s="25" t="str">
        <f>+IF(B13="","",INDEX(U_ITEM,MATCH(B13,ITEM,0)))</f>
        <v>UN</v>
      </c>
    </row>
    <row r="20" spans="2:16" ht="17.25" thickBot="1" x14ac:dyDescent="0.35">
      <c r="B20" s="592"/>
      <c r="C20" s="593"/>
      <c r="D20" s="593"/>
      <c r="E20" s="593"/>
      <c r="F20" s="55" t="s">
        <v>90</v>
      </c>
      <c r="G20" s="56">
        <f>((C50*58)*22)/30</f>
        <v>595.4666666666667</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c r="C23" s="3" t="str">
        <f>+IF(B23="","",INDEX(U_MAQUINARIA,MATCH(B23,LISTA_MAQUINARIA,0)))</f>
        <v/>
      </c>
      <c r="D23" s="30"/>
      <c r="E23" s="23" t="str">
        <f>+IF(B23="","",INDEX(V_MAQUINARIA,MATCH(B23,LISTA_MAQUINARIA,0)))</f>
        <v/>
      </c>
      <c r="F23" s="3">
        <f>$G$20</f>
        <v>595.4666666666667</v>
      </c>
      <c r="G23" s="26" t="str">
        <f>+IF(B23="","",(D23*E23)/F23)</f>
        <v/>
      </c>
      <c r="K23" s="9"/>
      <c r="L23" s="23" t="str">
        <f>IF(B23="","",INDEX(V_COMBUSTIBLE_H,MATCH(B23,LISTA_MAQUINARIA,0)))</f>
        <v/>
      </c>
      <c r="M23" s="23" t="str">
        <f>+IF(L23="","",(L23*D23)/F23)</f>
        <v/>
      </c>
      <c r="N23" s="23" t="str">
        <f>IF(G23="","",G23-M23)</f>
        <v/>
      </c>
      <c r="P23" s="11"/>
    </row>
    <row r="24" spans="2:16" x14ac:dyDescent="0.3">
      <c r="B24" s="27" t="s">
        <v>395</v>
      </c>
      <c r="C24" s="3" t="str">
        <f>+IF(B24="","",INDEX(U_MAQUINARIA,MATCH(B24,LISTA_MAQUINARIA,0)))</f>
        <v>VALOR / HORA</v>
      </c>
      <c r="D24" s="30">
        <v>1</v>
      </c>
      <c r="E24" s="23">
        <f>+IF(B24="","",INDEX(V_MAQUINARIA,MATCH(B24,LISTA_MAQUINARIA,0)))</f>
        <v>7102.272727272727</v>
      </c>
      <c r="F24" s="3">
        <f>$G$20</f>
        <v>595.4666666666667</v>
      </c>
      <c r="G24" s="26">
        <f>+IF(B24="","",(D24*E24)/F24)</f>
        <v>11.927238122379187</v>
      </c>
      <c r="K24" s="9"/>
      <c r="L24" s="3">
        <f>IF(B24="","",INDEX(V_COMBUSTIBLE_H,MATCH(B24,LISTA_MAQUINARIA,0)))</f>
        <v>0</v>
      </c>
      <c r="M24" s="3">
        <f>+IF(L24="","",(L24*D24)/F24)</f>
        <v>0</v>
      </c>
      <c r="N24" s="3">
        <f>IF(G24="","",G24-M24)</f>
        <v>11.927238122379187</v>
      </c>
      <c r="P24" s="11"/>
    </row>
    <row r="25" spans="2:16" x14ac:dyDescent="0.3">
      <c r="B25" s="27"/>
      <c r="C25" s="3" t="str">
        <f>+IF(B25="","",INDEX(U_MAQUINARIA,MATCH(B25,LISTA_MAQUINARIA,0)))</f>
        <v/>
      </c>
      <c r="D25" s="30"/>
      <c r="E25" s="23" t="str">
        <f>+IF(B25="","",INDEX(V_MAQUINARIA,MATCH(B25,LISTA_MAQUINARIA,0)))</f>
        <v/>
      </c>
      <c r="F25" s="3">
        <f>$G$20</f>
        <v>595.4666666666667</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595.4666666666667</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595.4666666666667</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11.927238122379187</v>
      </c>
      <c r="K28" s="9"/>
      <c r="M28" s="24">
        <f>SUM(M23:M27)</f>
        <v>0</v>
      </c>
      <c r="N28" s="24">
        <f>SUM(N23:N27)</f>
        <v>11.927238122379187</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t="s">
        <v>396</v>
      </c>
      <c r="C31" s="3" t="str">
        <f t="shared" ref="C31:C38" si="0">+IF(B31="","",INDEX(U_MATERIAL,MATCH(B31,L_MATERIALES,0)))</f>
        <v>UND</v>
      </c>
      <c r="D31" s="30">
        <v>1</v>
      </c>
      <c r="E31" s="23">
        <f t="shared" ref="E31:E38" si="1">+IF(B31="","",INDEX(V_UNITARIOMATERIAL,MATCH(B31,L_MATERIALES,0)))</f>
        <v>1925.0000000000002</v>
      </c>
      <c r="F31" s="30">
        <v>3</v>
      </c>
      <c r="G31" s="26">
        <f>IF(D31="","",(E31*D31)/F31)</f>
        <v>641.66666666666674</v>
      </c>
      <c r="K31" s="9"/>
      <c r="L31" t="str">
        <f>+IF(B31="","",B31)</f>
        <v>BRIDA PLASTICA UV---</v>
      </c>
      <c r="M31">
        <f t="shared" ref="M31:M38" si="2">IF(D31="","",(D31/F31)*INDEX(CANT_PROYECTO,MATCH($B$13,ITEM,0)))</f>
        <v>1362.6666666666665</v>
      </c>
      <c r="N31" s="1"/>
      <c r="P31" s="11"/>
    </row>
    <row r="32" spans="2:16" x14ac:dyDescent="0.3">
      <c r="B32" s="27" t="s">
        <v>361</v>
      </c>
      <c r="C32" s="3" t="str">
        <f t="shared" si="0"/>
        <v>UND</v>
      </c>
      <c r="D32" s="30">
        <v>1</v>
      </c>
      <c r="E32" s="23">
        <f t="shared" si="1"/>
        <v>340000</v>
      </c>
      <c r="F32" s="30">
        <v>50000</v>
      </c>
      <c r="G32" s="26">
        <f t="shared" ref="G32:G38" si="3">IF(D32="","",(E32*D32)/F32)</f>
        <v>6.8</v>
      </c>
      <c r="K32" s="9"/>
      <c r="L32" t="str">
        <f t="shared" ref="L32:L38" si="4">+IF(B32="","",B32)</f>
        <v>HERRAMIENTA MENOR---</v>
      </c>
      <c r="M32">
        <f t="shared" si="2"/>
        <v>8.1760000000000013E-2</v>
      </c>
      <c r="N32" s="1"/>
      <c r="P32" s="11"/>
    </row>
    <row r="33" spans="2:16" x14ac:dyDescent="0.3">
      <c r="B33" s="27" t="s">
        <v>398</v>
      </c>
      <c r="C33" s="3" t="str">
        <f t="shared" si="0"/>
        <v>UND</v>
      </c>
      <c r="D33" s="30">
        <v>1</v>
      </c>
      <c r="E33" s="23">
        <f t="shared" si="1"/>
        <v>13458</v>
      </c>
      <c r="F33" s="30">
        <v>1650</v>
      </c>
      <c r="G33" s="26">
        <f t="shared" si="3"/>
        <v>8.1563636363636363</v>
      </c>
      <c r="K33" s="9"/>
      <c r="L33" t="str">
        <f t="shared" si="4"/>
        <v>ETIQUETA PLASTICA---</v>
      </c>
      <c r="M33">
        <f t="shared" si="2"/>
        <v>2.4775757575757575</v>
      </c>
      <c r="N33" s="1"/>
      <c r="P33" s="11"/>
    </row>
    <row r="34" spans="2:16" x14ac:dyDescent="0.3">
      <c r="B34" s="27"/>
      <c r="C34" s="3" t="str">
        <f t="shared" si="0"/>
        <v/>
      </c>
      <c r="D34" s="30"/>
      <c r="E34" s="23" t="str">
        <f t="shared" si="1"/>
        <v/>
      </c>
      <c r="F34" s="30"/>
      <c r="G34" s="26" t="str">
        <f t="shared" si="3"/>
        <v/>
      </c>
      <c r="K34" s="9"/>
      <c r="L34" t="str">
        <f t="shared" si="4"/>
        <v/>
      </c>
      <c r="M34" t="str">
        <f t="shared" si="2"/>
        <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656.6230303030303</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t="s">
        <v>455</v>
      </c>
      <c r="C42" s="3">
        <f>+IF(B42="","",INDEX(U_MAQUINARIA,MATCH(B42,LISTA_MAQUINARIA,0)))</f>
        <v>0</v>
      </c>
      <c r="D42" s="30">
        <v>1</v>
      </c>
      <c r="E42" s="23">
        <f>+IF(B42="","",INDEX(V_MAQUINARIA,MATCH(B42,LISTA_MAQUINARIA,0)))</f>
        <v>101145.45454545454</v>
      </c>
      <c r="F42" s="3">
        <f>$G$20</f>
        <v>595.4666666666667</v>
      </c>
      <c r="G42" s="26">
        <f>IF(D42="","",(E42*D42)/F42)</f>
        <v>169.85913772747628</v>
      </c>
      <c r="K42" s="9"/>
      <c r="L42" s="23">
        <f>IF(B42="","",INDEX(V_COMBUSTIBLE_H,MATCH(B42,LISTA_MAQUINARIA,0)))</f>
        <v>21600</v>
      </c>
      <c r="M42" s="23">
        <f>+IF(L42="","",(L42*D42)/F42)</f>
        <v>36.274070756829374</v>
      </c>
      <c r="N42" s="23">
        <f>IF(G42="","",G42-M42)</f>
        <v>133.58506697064689</v>
      </c>
      <c r="P42" s="11"/>
    </row>
    <row r="43" spans="2:16" x14ac:dyDescent="0.3">
      <c r="B43" s="27"/>
      <c r="C43" s="3" t="str">
        <f>+IF(B43="","",INDEX(U_MAQUINARIA,MATCH(B43,LISTA_MAQUINARIA,0)))</f>
        <v/>
      </c>
      <c r="D43" s="30"/>
      <c r="E43" s="23" t="str">
        <f>+IF(B43="","",INDEX(V_MAQUINARIA,MATCH(B43,LISTA_MAQUINARIA,0)))</f>
        <v/>
      </c>
      <c r="F43" s="3">
        <f>+$G$20</f>
        <v>595.4666666666667</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595.4666666666667</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595.4666666666667</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595.4666666666667</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169.85913772747628</v>
      </c>
      <c r="K47" s="9"/>
      <c r="M47" s="24">
        <f>SUM(M42:M46)</f>
        <v>36.274070756829374</v>
      </c>
      <c r="N47" s="24">
        <f>SUM(N42:N46)</f>
        <v>133.58506697064689</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t="s">
        <v>304</v>
      </c>
      <c r="C50" s="30">
        <v>14</v>
      </c>
      <c r="D50" s="22">
        <f>+IF(B50="","",INDEX(F_PRESTACIONAL,MATCH(B50,L_PERSONAL,)))</f>
        <v>1.6352</v>
      </c>
      <c r="E50" s="23">
        <f>+IF(B50="","",INDEX(V_H_MANODEOBRA,MATCH(B50,L_PERSONAL,0)))</f>
        <v>24658.815999999999</v>
      </c>
      <c r="F50" s="3">
        <f>+$G$20</f>
        <v>595.4666666666667</v>
      </c>
      <c r="G50" s="26">
        <f>+IF(C50="","",(E50*C50)/F50)</f>
        <v>579.75272727272727</v>
      </c>
    </row>
    <row r="51" spans="2:7" x14ac:dyDescent="0.3">
      <c r="B51" s="27" t="s">
        <v>298</v>
      </c>
      <c r="C51" s="30">
        <v>1</v>
      </c>
      <c r="D51" s="22">
        <f>+IF(B51="","",INDEX(F_PRESTACIONAL,MATCH(B51,L_PERSONAL,)))</f>
        <v>1.6352</v>
      </c>
      <c r="E51" s="23">
        <f>+IF(B51="","",INDEX(V_H_MANODEOBRA,MATCH(B51,L_PERSONAL,0)))</f>
        <v>40136.727272727272</v>
      </c>
      <c r="F51" s="3">
        <f>+$G$20</f>
        <v>595.4666666666667</v>
      </c>
      <c r="G51" s="26">
        <f>+IF(C51="","",(E51*C51)/F51)</f>
        <v>67.403818751781131</v>
      </c>
    </row>
    <row r="52" spans="2:7" x14ac:dyDescent="0.3">
      <c r="B52" s="27" t="s">
        <v>299</v>
      </c>
      <c r="C52" s="30">
        <v>1</v>
      </c>
      <c r="D52" s="22">
        <f>+IF(B52="","",INDEX(F_PRESTACIONAL,MATCH(B52,L_PERSONAL,)))</f>
        <v>1.6352</v>
      </c>
      <c r="E52" s="23">
        <f>+IF(B52="","",INDEX(V_H_MANODEOBRA,MATCH(B52,L_PERSONAL,0)))</f>
        <v>22298.18181818182</v>
      </c>
      <c r="F52" s="3">
        <f>+$G$20</f>
        <v>595.4666666666667</v>
      </c>
      <c r="G52" s="26">
        <f>+IF(C52="","",(E52*C52)/F52)</f>
        <v>37.44656597321174</v>
      </c>
    </row>
    <row r="53" spans="2:7" x14ac:dyDescent="0.3">
      <c r="B53" s="27" t="s">
        <v>357</v>
      </c>
      <c r="C53" s="30">
        <v>2</v>
      </c>
      <c r="D53" s="22">
        <f>+IF(B53="","",INDEX(F_PRESTACIONAL,MATCH(B53,L_PERSONAL,)))</f>
        <v>1.6352</v>
      </c>
      <c r="E53" s="23">
        <f>+IF(B53="","",INDEX(V_H_MANODEOBRA,MATCH(B53,L_PERSONAL,0)))</f>
        <v>24658.815999999999</v>
      </c>
      <c r="F53" s="3">
        <f>+$G$20</f>
        <v>595.4666666666667</v>
      </c>
      <c r="G53" s="26">
        <f>+IF(C53="","",(E53*C53)/F53)</f>
        <v>82.821818181818173</v>
      </c>
    </row>
    <row r="54" spans="2:7" x14ac:dyDescent="0.3">
      <c r="B54" s="27"/>
      <c r="C54" s="30"/>
      <c r="D54" s="22" t="str">
        <f>+IF(B54="","",INDEX(F_PRESTACIONAL,MATCH(B54,L_PERSONAL,)))</f>
        <v/>
      </c>
      <c r="E54" s="23" t="str">
        <f>+IF(B54="","",INDEX(V_H_MANODEOBRA,MATCH(B54,L_PERSONAL,0)))</f>
        <v/>
      </c>
      <c r="F54" s="3">
        <f>+$G$20</f>
        <v>595.4666666666667</v>
      </c>
      <c r="G54" s="26" t="str">
        <f>+IF(C54="","",(E54*C54)/F54)</f>
        <v/>
      </c>
    </row>
    <row r="55" spans="2:7" x14ac:dyDescent="0.3">
      <c r="B55" s="9"/>
      <c r="G55" s="26">
        <f>SUM(G50:G54)</f>
        <v>767.42493017953825</v>
      </c>
    </row>
    <row r="56" spans="2:7" ht="17.25" thickBot="1" x14ac:dyDescent="0.35">
      <c r="B56" s="9"/>
      <c r="G56" s="11"/>
    </row>
    <row r="57" spans="2:7" ht="17.25" thickBot="1" x14ac:dyDescent="0.35">
      <c r="B57" s="610" t="s">
        <v>98</v>
      </c>
      <c r="C57" s="611"/>
      <c r="D57" s="611"/>
      <c r="E57" s="611"/>
      <c r="F57" s="612"/>
      <c r="G57" s="66">
        <f>+G55+G47+G39+G28</f>
        <v>1605.8343363324238</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192.70012035989086</v>
      </c>
    </row>
    <row r="61" spans="2:7" x14ac:dyDescent="0.3">
      <c r="B61" s="613" t="s">
        <v>86</v>
      </c>
      <c r="C61" s="614"/>
      <c r="D61" s="614"/>
      <c r="E61" s="614"/>
      <c r="F61" s="22">
        <f>+IMPREVISTOS</f>
        <v>0.03</v>
      </c>
      <c r="G61" s="26">
        <f>+$G$57*F61</f>
        <v>48.175030089972715</v>
      </c>
    </row>
    <row r="62" spans="2:7" x14ac:dyDescent="0.3">
      <c r="B62" s="613" t="s">
        <v>87</v>
      </c>
      <c r="C62" s="614"/>
      <c r="D62" s="614"/>
      <c r="E62" s="614"/>
      <c r="F62" s="22">
        <f>+UTILIDAD</f>
        <v>0.05</v>
      </c>
      <c r="G62" s="26">
        <f>+$G$57*F62</f>
        <v>80.291716816621204</v>
      </c>
    </row>
    <row r="63" spans="2:7" x14ac:dyDescent="0.3">
      <c r="B63" s="596" t="s">
        <v>100</v>
      </c>
      <c r="C63" s="597"/>
      <c r="D63" s="597"/>
      <c r="E63" s="597"/>
      <c r="F63" s="597"/>
      <c r="G63" s="53">
        <f>SUM(G60:G62)</f>
        <v>321.16686726648481</v>
      </c>
    </row>
    <row r="64" spans="2:7" ht="17.25" thickBot="1" x14ac:dyDescent="0.35">
      <c r="B64" s="9"/>
      <c r="G64" s="44"/>
    </row>
    <row r="65" spans="2:7" ht="17.25" thickBot="1" x14ac:dyDescent="0.35">
      <c r="B65" s="598" t="s">
        <v>101</v>
      </c>
      <c r="C65" s="599"/>
      <c r="D65" s="599"/>
      <c r="E65" s="599"/>
      <c r="F65" s="600"/>
      <c r="G65" s="65">
        <f>+G63+G57</f>
        <v>1927.0012035989087</v>
      </c>
    </row>
    <row r="66" spans="2:7" x14ac:dyDescent="0.3">
      <c r="B66" s="6"/>
      <c r="C66" s="7"/>
      <c r="D66" s="7"/>
      <c r="E66" s="7"/>
      <c r="F66" s="7"/>
      <c r="G66" s="8"/>
    </row>
    <row r="67" spans="2:7" x14ac:dyDescent="0.3">
      <c r="B67" s="9"/>
      <c r="G67" s="11"/>
    </row>
    <row r="68" spans="2:7" x14ac:dyDescent="0.3">
      <c r="B68" s="69" t="s">
        <v>123</v>
      </c>
      <c r="C68" s="67"/>
      <c r="D68" s="67"/>
      <c r="E68" s="67"/>
      <c r="F68" s="67"/>
      <c r="G68" s="70"/>
    </row>
    <row r="69" spans="2:7" x14ac:dyDescent="0.3">
      <c r="B69" s="71"/>
      <c r="C69" s="67"/>
      <c r="D69" s="67"/>
      <c r="E69" s="67"/>
      <c r="F69" s="67"/>
      <c r="G69" s="70"/>
    </row>
    <row r="70" spans="2:7" x14ac:dyDescent="0.3">
      <c r="B70" s="72"/>
      <c r="C70" s="68"/>
      <c r="D70" s="68"/>
      <c r="E70" s="68"/>
      <c r="F70" s="68"/>
      <c r="G70" s="73"/>
    </row>
    <row r="71" spans="2:7" x14ac:dyDescent="0.3">
      <c r="B71" s="71"/>
      <c r="C71" s="67"/>
      <c r="D71" s="67"/>
      <c r="E71" s="67"/>
      <c r="F71" s="67"/>
      <c r="G71" s="70"/>
    </row>
    <row r="72" spans="2:7" ht="17.25" thickBot="1" x14ac:dyDescent="0.35">
      <c r="B72" s="15"/>
      <c r="C72" s="13"/>
      <c r="D72" s="13"/>
      <c r="E72" s="13"/>
      <c r="F72" s="13"/>
      <c r="G72" s="14"/>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count="5">
    <dataValidation type="list" allowBlank="1" showInputMessage="1" showErrorMessage="1" sqref="E102" xr:uid="{A5729EE2-4365-4430-B6ED-E3056B871807}">
      <formula1>$A$103:$A$105</formula1>
    </dataValidation>
    <dataValidation type="list" allowBlank="1" showInputMessage="1" showErrorMessage="1" sqref="B13" xr:uid="{FBDAF914-E4F5-4BA9-8F50-9884C0895C15}">
      <formula1>ITEM</formula1>
    </dataValidation>
    <dataValidation type="list" allowBlank="1" showInputMessage="1" showErrorMessage="1" sqref="B50:B54" xr:uid="{D8C0FE19-7394-4353-84E3-F358439C0938}">
      <formula1>L_PERSONAL</formula1>
    </dataValidation>
    <dataValidation type="list" allowBlank="1" showInputMessage="1" showErrorMessage="1" sqref="B31:B38" xr:uid="{3F191DC9-B300-426C-B0BA-0F477D3DF901}">
      <formula1>L_MATERIALES</formula1>
    </dataValidation>
    <dataValidation type="list" allowBlank="1" showInputMessage="1" showErrorMessage="1" sqref="B23:B27 B42:B46" xr:uid="{1A9874B9-38CF-4F29-9ED0-C7B1647B45BF}">
      <formula1>LISTA_MAQUINARIA</formula1>
    </dataValidation>
  </dataValidations>
  <pageMargins left="1.6141732283464567" right="0.70866141732283472" top="0.74803149606299213" bottom="0.74803149606299213" header="0.31496062992125984" footer="0.31496062992125984"/>
  <pageSetup scale="50" orientation="portrait" r:id="rId1"/>
  <rowBreaks count="1" manualBreakCount="1">
    <brk id="78" max="16383" man="1"/>
  </rowBreaks>
  <colBreaks count="1" manualBreakCount="1">
    <brk id="7" max="1048575" man="1"/>
  </colBreaks>
  <drawing r:id="rId2"/>
  <tableParts count="1">
    <tablePart r:id="rId3"/>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5642FF-A717-4A5A-9526-4A3C17D208E3}">
  <sheetPr codeName="Hoja24"/>
  <dimension ref="A1:P105"/>
  <sheetViews>
    <sheetView showGridLines="0" view="pageBreakPreview" zoomScale="58" zoomScaleNormal="60" workbookViewId="0">
      <selection activeCell="B1" sqref="B1:G78"/>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13</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18" t="str">
        <f>+IF($B$13="","",INDEX(DESCRIP_ITEM,MATCH($B$13,ITEM,0)))</f>
        <v>Tendido de cable solar 1x6 mm2 ZZ-F 0,6/1kV (1,8 kV DC), incluye tendido aéreo adosado a los trackers y subterraneo por ducto de 2"; incluye suministro de amarres plásticos con protección UV y certificación de producto RETIE, figurado y peinado del cable, corte de puntas sobrantes de las bridas, , marquillado en ambas puntas de cada cable. Incluye medición de resistencia de aislamiento y polaridad a todos los circuitos instalados con sus conectores. (Las colas de los cables salientes de los módulos fotovoltaicos NO se cuentan como instalados y se consideran incluidos en el item 1.1)</v>
      </c>
      <c r="C16" s="619"/>
      <c r="D16" s="619"/>
      <c r="E16" s="619"/>
      <c r="F16" s="619"/>
      <c r="G16" s="620"/>
    </row>
    <row r="17" spans="2:16" ht="76.900000000000006" customHeight="1" thickBot="1" x14ac:dyDescent="0.35">
      <c r="B17" s="621"/>
      <c r="C17" s="622"/>
      <c r="D17" s="622"/>
      <c r="E17" s="622"/>
      <c r="F17" s="622"/>
      <c r="G17" s="623"/>
    </row>
    <row r="18" spans="2:16" ht="17.25" thickBot="1" x14ac:dyDescent="0.35">
      <c r="B18" s="591"/>
      <c r="C18" s="579"/>
      <c r="D18" s="579"/>
      <c r="E18" s="579"/>
      <c r="G18" s="11"/>
    </row>
    <row r="19" spans="2:16" ht="17.25" thickBot="1" x14ac:dyDescent="0.35">
      <c r="B19" s="592"/>
      <c r="C19" s="593"/>
      <c r="D19" s="593"/>
      <c r="E19" s="593"/>
      <c r="F19" s="54" t="s">
        <v>89</v>
      </c>
      <c r="G19" s="25" t="str">
        <f>+IF(B13="","",INDEX(U_ITEM,MATCH(B13,ITEM,0)))</f>
        <v>ML</v>
      </c>
    </row>
    <row r="20" spans="2:16" ht="17.25" thickBot="1" x14ac:dyDescent="0.35">
      <c r="B20" s="592"/>
      <c r="C20" s="593"/>
      <c r="D20" s="593"/>
      <c r="E20" s="593"/>
      <c r="F20" s="55" t="s">
        <v>90</v>
      </c>
      <c r="G20" s="56">
        <v>605</v>
      </c>
      <c r="H20">
        <f>G20*8</f>
        <v>4840</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t="s">
        <v>354</v>
      </c>
      <c r="C23" s="3" t="str">
        <f>+IF(B23="","",INDEX(U_MAQUINARIA,MATCH(B23,LISTA_MAQUINARIA,0)))</f>
        <v>VALOR / HORA</v>
      </c>
      <c r="D23" s="30">
        <v>0.25</v>
      </c>
      <c r="E23" s="23">
        <f>+IF(B23="","",INDEX(V_MAQUINARIA,MATCH(B23,LISTA_MAQUINARIA,0)))</f>
        <v>89781.818181818177</v>
      </c>
      <c r="F23" s="3">
        <f>$G$20</f>
        <v>605</v>
      </c>
      <c r="G23" s="26">
        <f>+IF(B23="","",(D23*E23)/F23)</f>
        <v>37.099924868519906</v>
      </c>
      <c r="K23" s="9"/>
      <c r="L23" s="23">
        <f>IF(B23="","",INDEX(V_COMBUSTIBLE_H,MATCH(B23,LISTA_MAQUINARIA,0)))</f>
        <v>21600</v>
      </c>
      <c r="M23" s="23">
        <f>+IF(L23="","",(L23*D23)/F23)</f>
        <v>8.9256198347107443</v>
      </c>
      <c r="N23" s="23">
        <f>IF(G23="","",G23-M23)</f>
        <v>28.174305033809162</v>
      </c>
      <c r="P23" s="11"/>
    </row>
    <row r="24" spans="2:16" x14ac:dyDescent="0.3">
      <c r="B24" s="27" t="s">
        <v>395</v>
      </c>
      <c r="C24" s="3" t="str">
        <f>+IF(B24="","",INDEX(U_MAQUINARIA,MATCH(B24,LISTA_MAQUINARIA,0)))</f>
        <v>VALOR / HORA</v>
      </c>
      <c r="D24" s="30">
        <v>6</v>
      </c>
      <c r="E24" s="23">
        <f>+IF(B24="","",INDEX(V_MAQUINARIA,MATCH(B24,LISTA_MAQUINARIA,0)))</f>
        <v>7102.272727272727</v>
      </c>
      <c r="F24" s="3">
        <f>$G$20</f>
        <v>605</v>
      </c>
      <c r="G24" s="26">
        <f>+IF(B24="","",(D24*E24)/F24)</f>
        <v>70.435762584522905</v>
      </c>
      <c r="K24" s="9"/>
      <c r="L24" s="3">
        <f>IF(B24="","",INDEX(V_COMBUSTIBLE_H,MATCH(B24,LISTA_MAQUINARIA,0)))</f>
        <v>0</v>
      </c>
      <c r="M24" s="3">
        <f>+IF(L24="","",(L24*D24)/F24)</f>
        <v>0</v>
      </c>
      <c r="N24" s="3">
        <f>IF(G24="","",G24-M24)</f>
        <v>70.435762584522905</v>
      </c>
      <c r="P24" s="11"/>
    </row>
    <row r="25" spans="2:16" x14ac:dyDescent="0.3">
      <c r="B25" s="27"/>
      <c r="C25" s="3" t="str">
        <f>+IF(B25="","",INDEX(U_MAQUINARIA,MATCH(B25,LISTA_MAQUINARIA,0)))</f>
        <v/>
      </c>
      <c r="D25" s="30"/>
      <c r="E25" s="23" t="str">
        <f>+IF(B25="","",INDEX(V_MAQUINARIA,MATCH(B25,LISTA_MAQUINARIA,0)))</f>
        <v/>
      </c>
      <c r="F25" s="3">
        <f>$G$20</f>
        <v>605</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605</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605</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107.53568745304281</v>
      </c>
      <c r="K28" s="9"/>
      <c r="M28" s="24">
        <f>SUM(M23:M27)</f>
        <v>8.9256198347107443</v>
      </c>
      <c r="N28" s="24">
        <f>SUM(N23:N27)</f>
        <v>98.610067618332067</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t="s">
        <v>396</v>
      </c>
      <c r="C31" s="3" t="str">
        <f t="shared" ref="C31:C38" si="0">+IF(B31="","",INDEX(U_MATERIAL,MATCH(B31,L_MATERIALES,0)))</f>
        <v>UND</v>
      </c>
      <c r="D31" s="30">
        <v>1</v>
      </c>
      <c r="E31" s="23">
        <f t="shared" ref="E31:E38" si="1">+IF(B31="","",INDEX(V_UNITARIOMATERIAL,MATCH(B31,L_MATERIALES,0)))</f>
        <v>1925.0000000000002</v>
      </c>
      <c r="F31" s="30">
        <v>3</v>
      </c>
      <c r="G31" s="26">
        <f>IF(D31="","",(E31*D31)/F31)</f>
        <v>641.66666666666674</v>
      </c>
      <c r="K31" s="9"/>
      <c r="L31" t="str">
        <f>+IF(B31="","",B31)</f>
        <v>BRIDA PLASTICA UV---</v>
      </c>
      <c r="M31">
        <f t="shared" ref="M31:M38" si="2">IF(D31="","",(D31/F31)*INDEX(CANT_PROYECTO,MATCH($B$13,ITEM,0)))</f>
        <v>385320</v>
      </c>
      <c r="N31" s="1"/>
      <c r="P31" s="11"/>
    </row>
    <row r="32" spans="2:16" x14ac:dyDescent="0.3">
      <c r="B32" s="27" t="s">
        <v>361</v>
      </c>
      <c r="C32" s="3" t="str">
        <f t="shared" si="0"/>
        <v>UND</v>
      </c>
      <c r="D32" s="30">
        <v>1</v>
      </c>
      <c r="E32" s="23">
        <f t="shared" si="1"/>
        <v>340000</v>
      </c>
      <c r="F32" s="30">
        <v>50000</v>
      </c>
      <c r="G32" s="26">
        <f t="shared" ref="G32:G38" si="3">IF(D32="","",(E32*D32)/F32)</f>
        <v>6.8</v>
      </c>
      <c r="K32" s="9"/>
      <c r="L32" t="str">
        <f t="shared" ref="L32:L38" si="4">+IF(B32="","",B32)</f>
        <v>HERRAMIENTA MENOR---</v>
      </c>
      <c r="M32">
        <f t="shared" si="2"/>
        <v>23.119200000000003</v>
      </c>
      <c r="N32" s="1"/>
      <c r="P32" s="11"/>
    </row>
    <row r="33" spans="2:16" x14ac:dyDescent="0.3">
      <c r="B33" s="27" t="s">
        <v>398</v>
      </c>
      <c r="C33" s="3" t="str">
        <f t="shared" si="0"/>
        <v>UND</v>
      </c>
      <c r="D33" s="30">
        <v>1</v>
      </c>
      <c r="E33" s="23">
        <f t="shared" si="1"/>
        <v>13458</v>
      </c>
      <c r="F33" s="30">
        <v>1650</v>
      </c>
      <c r="G33" s="26">
        <f t="shared" si="3"/>
        <v>8.1563636363636363</v>
      </c>
      <c r="K33" s="9"/>
      <c r="L33" t="str">
        <f t="shared" si="4"/>
        <v>ETIQUETA PLASTICA---</v>
      </c>
      <c r="M33">
        <f t="shared" si="2"/>
        <v>700.58181818181822</v>
      </c>
      <c r="N33" s="1"/>
      <c r="P33" s="11"/>
    </row>
    <row r="34" spans="2:16" x14ac:dyDescent="0.3">
      <c r="B34" s="27" t="s">
        <v>446</v>
      </c>
      <c r="C34" s="3" t="str">
        <f t="shared" si="0"/>
        <v>und</v>
      </c>
      <c r="D34" s="30">
        <v>1</v>
      </c>
      <c r="E34" s="23">
        <f t="shared" si="1"/>
        <v>19500000</v>
      </c>
      <c r="F34" s="30">
        <v>1100000</v>
      </c>
      <c r="G34" s="26">
        <f t="shared" si="3"/>
        <v>17.727272727272727</v>
      </c>
      <c r="K34" s="9"/>
      <c r="L34" t="str">
        <f t="shared" si="4"/>
        <v>Megger ---</v>
      </c>
      <c r="M34">
        <f t="shared" si="2"/>
        <v>1.0508727272727272</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674.35030303030305</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t="s">
        <v>455</v>
      </c>
      <c r="C42" s="3">
        <f>+IF(B42="","",INDEX(U_MAQUINARIA,MATCH(B42,LISTA_MAQUINARIA,0)))</f>
        <v>0</v>
      </c>
      <c r="D42" s="30">
        <v>1</v>
      </c>
      <c r="E42" s="23">
        <f>+IF(B42="","",INDEX(V_MAQUINARIA,MATCH(B42,LISTA_MAQUINARIA,0)))</f>
        <v>101145.45454545454</v>
      </c>
      <c r="F42" s="3">
        <f>$G$20</f>
        <v>605</v>
      </c>
      <c r="G42" s="26">
        <f>IF(D42="","",(E42*D42)/F42)</f>
        <v>167.1825694966191</v>
      </c>
      <c r="K42" s="9"/>
      <c r="L42" s="23">
        <f>IF(B42="","",INDEX(V_COMBUSTIBLE_H,MATCH(B42,LISTA_MAQUINARIA,0)))</f>
        <v>21600</v>
      </c>
      <c r="M42" s="23">
        <f>+IF(L42="","",(L42*D42)/F42)</f>
        <v>35.702479338842977</v>
      </c>
      <c r="N42" s="23">
        <f>IF(G42="","",G42-M42)</f>
        <v>131.48009015777612</v>
      </c>
      <c r="P42" s="11"/>
    </row>
    <row r="43" spans="2:16" x14ac:dyDescent="0.3">
      <c r="B43" s="27"/>
      <c r="C43" s="3" t="str">
        <f>+IF(B43="","",INDEX(U_MAQUINARIA,MATCH(B43,LISTA_MAQUINARIA,0)))</f>
        <v/>
      </c>
      <c r="D43" s="30"/>
      <c r="E43" s="23" t="str">
        <f>+IF(B43="","",INDEX(V_MAQUINARIA,MATCH(B43,LISTA_MAQUINARIA,0)))</f>
        <v/>
      </c>
      <c r="F43" s="3">
        <f>+$G$20</f>
        <v>605</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605</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605</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605</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167.1825694966191</v>
      </c>
      <c r="K47" s="9"/>
      <c r="M47" s="24">
        <f>SUM(M42:M46)</f>
        <v>35.702479338842977</v>
      </c>
      <c r="N47" s="24">
        <f>SUM(N42:N46)</f>
        <v>131.48009015777612</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t="s">
        <v>304</v>
      </c>
      <c r="C50" s="30">
        <v>12</v>
      </c>
      <c r="D50" s="22">
        <f>+IF(B50="","",INDEX(F_PRESTACIONAL,MATCH(B50,L_PERSONAL,)))</f>
        <v>1.6352</v>
      </c>
      <c r="E50" s="23">
        <f>+IF(B50="","",INDEX(V_H_MANODEOBRA,MATCH(B50,L_PERSONAL,0)))</f>
        <v>24658.815999999999</v>
      </c>
      <c r="F50" s="3">
        <f>+$G$20</f>
        <v>605</v>
      </c>
      <c r="G50" s="26">
        <f>+IF(C50="","",(E50*C50)/F50)</f>
        <v>489.10048264462813</v>
      </c>
    </row>
    <row r="51" spans="2:7" x14ac:dyDescent="0.3">
      <c r="B51" s="27" t="s">
        <v>298</v>
      </c>
      <c r="C51" s="30">
        <v>1</v>
      </c>
      <c r="D51" s="22">
        <f>+IF(B51="","",INDEX(F_PRESTACIONAL,MATCH(B51,L_PERSONAL,)))</f>
        <v>1.6352</v>
      </c>
      <c r="E51" s="23">
        <f>+IF(B51="","",INDEX(V_H_MANODEOBRA,MATCH(B51,L_PERSONAL,0)))</f>
        <v>40136.727272727272</v>
      </c>
      <c r="F51" s="3">
        <f>+$G$20</f>
        <v>605</v>
      </c>
      <c r="G51" s="26">
        <f>+IF(C51="","",(E51*C51)/F51)</f>
        <v>66.341697971450031</v>
      </c>
    </row>
    <row r="52" spans="2:7" x14ac:dyDescent="0.3">
      <c r="B52" s="27" t="s">
        <v>305</v>
      </c>
      <c r="C52" s="30">
        <v>1</v>
      </c>
      <c r="D52" s="22">
        <f>+IF(B52="","",INDEX(F_PRESTACIONAL,MATCH(B52,L_PERSONAL,)))</f>
        <v>2.2351999999999999</v>
      </c>
      <c r="E52" s="23">
        <f>+IF(B52="","",INDEX(V_H_MANODEOBRA,MATCH(B52,L_PERSONAL,0)))</f>
        <v>50800</v>
      </c>
      <c r="F52" s="3">
        <f>+$G$20</f>
        <v>605</v>
      </c>
      <c r="G52" s="26">
        <f>+IF(C52="","",(E52*C52)/F52)</f>
        <v>83.966942148760324</v>
      </c>
    </row>
    <row r="53" spans="2:7" x14ac:dyDescent="0.3">
      <c r="B53" s="27" t="s">
        <v>357</v>
      </c>
      <c r="C53" s="30">
        <v>2</v>
      </c>
      <c r="D53" s="22">
        <f>+IF(B53="","",INDEX(F_PRESTACIONAL,MATCH(B53,L_PERSONAL,)))</f>
        <v>1.6352</v>
      </c>
      <c r="E53" s="23">
        <f>+IF(B53="","",INDEX(V_H_MANODEOBRA,MATCH(B53,L_PERSONAL,0)))</f>
        <v>24658.815999999999</v>
      </c>
      <c r="F53" s="3">
        <f>+$G$20</f>
        <v>605</v>
      </c>
      <c r="G53" s="26">
        <f>+IF(C53="","",(E53*C53)/F53)</f>
        <v>81.516747107438007</v>
      </c>
    </row>
    <row r="54" spans="2:7" x14ac:dyDescent="0.3">
      <c r="B54" s="27" t="s">
        <v>299</v>
      </c>
      <c r="C54" s="30">
        <v>1</v>
      </c>
      <c r="D54" s="22">
        <f>+IF(B54="","",INDEX(F_PRESTACIONAL,MATCH(B54,L_PERSONAL,)))</f>
        <v>1.6352</v>
      </c>
      <c r="E54" s="23">
        <f>+IF(B54="","",INDEX(V_H_MANODEOBRA,MATCH(B54,L_PERSONAL,0)))</f>
        <v>22298.18181818182</v>
      </c>
      <c r="F54" s="3">
        <f>+$G$20</f>
        <v>605</v>
      </c>
      <c r="G54" s="26">
        <f>+IF(C54="","",(E54*C54)/F54)</f>
        <v>36.856498873027803</v>
      </c>
    </row>
    <row r="55" spans="2:7" x14ac:dyDescent="0.3">
      <c r="B55" s="9"/>
      <c r="G55" s="26">
        <f>SUM(G50:G54)</f>
        <v>757.78236874530432</v>
      </c>
    </row>
    <row r="56" spans="2:7" ht="17.25" thickBot="1" x14ac:dyDescent="0.35">
      <c r="B56" s="9"/>
      <c r="G56" s="11"/>
    </row>
    <row r="57" spans="2:7" ht="17.25" thickBot="1" x14ac:dyDescent="0.35">
      <c r="B57" s="610" t="s">
        <v>98</v>
      </c>
      <c r="C57" s="611"/>
      <c r="D57" s="611"/>
      <c r="E57" s="611"/>
      <c r="F57" s="612"/>
      <c r="G57" s="66">
        <f>+G55+G47+G39+G28</f>
        <v>1706.8509287252693</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204.82211144703231</v>
      </c>
    </row>
    <row r="61" spans="2:7" x14ac:dyDescent="0.3">
      <c r="B61" s="613" t="s">
        <v>86</v>
      </c>
      <c r="C61" s="614"/>
      <c r="D61" s="614"/>
      <c r="E61" s="614"/>
      <c r="F61" s="22">
        <f>+IMPREVISTOS</f>
        <v>0.03</v>
      </c>
      <c r="G61" s="26">
        <f>+$G$57*F61</f>
        <v>51.205527861758078</v>
      </c>
    </row>
    <row r="62" spans="2:7" x14ac:dyDescent="0.3">
      <c r="B62" s="613" t="s">
        <v>87</v>
      </c>
      <c r="C62" s="614"/>
      <c r="D62" s="614"/>
      <c r="E62" s="614"/>
      <c r="F62" s="22">
        <f>+UTILIDAD</f>
        <v>0.05</v>
      </c>
      <c r="G62" s="26">
        <f>+$G$57*F62</f>
        <v>85.342546436263476</v>
      </c>
    </row>
    <row r="63" spans="2:7" x14ac:dyDescent="0.3">
      <c r="B63" s="596" t="s">
        <v>100</v>
      </c>
      <c r="C63" s="597"/>
      <c r="D63" s="597"/>
      <c r="E63" s="597"/>
      <c r="F63" s="597"/>
      <c r="G63" s="53">
        <f>SUM(G60:G62)</f>
        <v>341.3701857450539</v>
      </c>
    </row>
    <row r="64" spans="2:7" ht="17.25" thickBot="1" x14ac:dyDescent="0.35">
      <c r="B64" s="9"/>
      <c r="G64" s="44"/>
    </row>
    <row r="65" spans="2:7" ht="17.25" thickBot="1" x14ac:dyDescent="0.35">
      <c r="B65" s="598" t="s">
        <v>101</v>
      </c>
      <c r="C65" s="599"/>
      <c r="D65" s="599"/>
      <c r="E65" s="599"/>
      <c r="F65" s="600"/>
      <c r="G65" s="65">
        <f>+G63+G57</f>
        <v>2048.2211144703233</v>
      </c>
    </row>
    <row r="66" spans="2:7" x14ac:dyDescent="0.3">
      <c r="B66" s="6"/>
      <c r="C66" s="7"/>
      <c r="D66" s="7"/>
      <c r="E66" s="7"/>
      <c r="F66" s="7"/>
      <c r="G66" s="8"/>
    </row>
    <row r="67" spans="2:7" x14ac:dyDescent="0.3">
      <c r="B67" s="9"/>
      <c r="G67" s="11"/>
    </row>
    <row r="68" spans="2:7" x14ac:dyDescent="0.3">
      <c r="B68" s="69" t="s">
        <v>123</v>
      </c>
      <c r="C68" s="67"/>
      <c r="D68" s="67"/>
      <c r="E68" s="67"/>
      <c r="F68" s="67"/>
      <c r="G68" s="70"/>
    </row>
    <row r="69" spans="2:7" x14ac:dyDescent="0.3">
      <c r="B69" s="71"/>
      <c r="C69" s="67"/>
      <c r="D69" s="67"/>
      <c r="E69" s="67"/>
      <c r="F69" s="67"/>
      <c r="G69" s="70"/>
    </row>
    <row r="70" spans="2:7" x14ac:dyDescent="0.3">
      <c r="B70" s="72"/>
      <c r="C70" s="68"/>
      <c r="D70" s="68"/>
      <c r="E70" s="68"/>
      <c r="F70" s="68"/>
      <c r="G70" s="73"/>
    </row>
    <row r="71" spans="2:7" x14ac:dyDescent="0.3">
      <c r="B71" s="71"/>
      <c r="C71" s="67"/>
      <c r="D71" s="67"/>
      <c r="E71" s="67"/>
      <c r="F71" s="67"/>
      <c r="G71" s="70"/>
    </row>
    <row r="72" spans="2:7" ht="17.25" thickBot="1" x14ac:dyDescent="0.35">
      <c r="B72" s="15"/>
      <c r="C72" s="13"/>
      <c r="D72" s="13"/>
      <c r="E72" s="13"/>
      <c r="F72" s="13"/>
      <c r="G72" s="14"/>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count="5">
    <dataValidation type="list" allowBlank="1" showInputMessage="1" showErrorMessage="1" sqref="E102" xr:uid="{2AC15F8F-D627-4CFB-B951-917E6CA55BFA}">
      <formula1>$A$103:$A$105</formula1>
    </dataValidation>
    <dataValidation type="list" allowBlank="1" showInputMessage="1" showErrorMessage="1" sqref="B13" xr:uid="{44AF29EE-BF4C-4A80-AD0A-2F00134FF71E}">
      <formula1>ITEM</formula1>
    </dataValidation>
    <dataValidation type="list" allowBlank="1" showInputMessage="1" showErrorMessage="1" sqref="B50:B54" xr:uid="{A6C4E698-AA25-4499-8B3C-13D6DEA55151}">
      <formula1>L_PERSONAL</formula1>
    </dataValidation>
    <dataValidation type="list" allowBlank="1" showInputMessage="1" showErrorMessage="1" sqref="B31:B38" xr:uid="{A8292983-D87B-4C6D-89C9-74CF6BE442D0}">
      <formula1>L_MATERIALES</formula1>
    </dataValidation>
    <dataValidation type="list" allowBlank="1" showInputMessage="1" showErrorMessage="1" sqref="B23:B27 B42:B46" xr:uid="{035AFB62-2EF4-42C1-AAC6-B053D6D53D9C}">
      <formula1>LISTA_MAQUINARIA</formula1>
    </dataValidation>
  </dataValidations>
  <pageMargins left="1.6141732283464567" right="0.70866141732283472" top="0.74803149606299213" bottom="0.74803149606299213" header="0.31496062992125984" footer="0.31496062992125984"/>
  <pageSetup scale="50" orientation="portrait" r:id="rId1"/>
  <rowBreaks count="1" manualBreakCount="1">
    <brk id="78" max="16383" man="1"/>
  </rowBreaks>
  <colBreaks count="1" manualBreakCount="1">
    <brk id="7" max="1048575" man="1"/>
  </colBreaks>
  <drawing r:id="rId2"/>
  <tableParts count="1">
    <tablePart r:id="rId3"/>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4D7422-FAA3-46D1-8386-347ECB5978C6}">
  <sheetPr codeName="Hoja25"/>
  <dimension ref="A1:P105"/>
  <sheetViews>
    <sheetView showGridLines="0" view="pageBreakPreview" zoomScale="66" zoomScaleNormal="60" workbookViewId="0">
      <selection activeCell="B1" sqref="B1:G78"/>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14</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18" t="str">
        <f>+IF($B$13="","",INDEX(DESCRIP_ITEM,MATCH($B$13,ITEM,0)))</f>
        <v>Instalación de conector enchufable tipo MC4 para cable 1x6 mm2 ZZ-F 0,6/1kV (1,8 kV DC) Cu (par macho-hembra). Instalación debe incluir el corte, crimpado y conectorización del cable y conexionado a la entrada del inversor o al conector del cable solar a la salida de los strings, según lo indicado en planos.</v>
      </c>
      <c r="C16" s="619"/>
      <c r="D16" s="619"/>
      <c r="E16" s="619"/>
      <c r="F16" s="619"/>
      <c r="G16" s="620"/>
    </row>
    <row r="17" spans="2:16" ht="44.25" customHeight="1" thickBot="1" x14ac:dyDescent="0.35">
      <c r="B17" s="621"/>
      <c r="C17" s="622"/>
      <c r="D17" s="622"/>
      <c r="E17" s="622"/>
      <c r="F17" s="622"/>
      <c r="G17" s="623"/>
    </row>
    <row r="18" spans="2:16" ht="17.25" thickBot="1" x14ac:dyDescent="0.35">
      <c r="B18" s="591"/>
      <c r="C18" s="579"/>
      <c r="D18" s="579"/>
      <c r="E18" s="579"/>
      <c r="G18" s="11"/>
    </row>
    <row r="19" spans="2:16" ht="17.25" thickBot="1" x14ac:dyDescent="0.35">
      <c r="B19" s="592"/>
      <c r="C19" s="593"/>
      <c r="D19" s="593"/>
      <c r="E19" s="593"/>
      <c r="F19" s="54" t="s">
        <v>89</v>
      </c>
      <c r="G19" s="25" t="str">
        <f>+IF(B13="","",INDEX(U_ITEM,MATCH(B13,ITEM,0)))</f>
        <v>UN</v>
      </c>
    </row>
    <row r="20" spans="2:16" ht="17.25" thickBot="1" x14ac:dyDescent="0.35">
      <c r="B20" s="592"/>
      <c r="C20" s="593"/>
      <c r="D20" s="593"/>
      <c r="E20" s="593"/>
      <c r="F20" s="55" t="s">
        <v>90</v>
      </c>
      <c r="G20" s="56">
        <f>(((C50*292)*22)/30)/8</f>
        <v>160.6</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c r="C23" s="3" t="str">
        <f>+IF(B23="","",INDEX(U_MAQUINARIA,MATCH(B23,LISTA_MAQUINARIA,0)))</f>
        <v/>
      </c>
      <c r="D23" s="30"/>
      <c r="E23" s="23" t="str">
        <f>+IF(B23="","",INDEX(V_MAQUINARIA,MATCH(B23,LISTA_MAQUINARIA,0)))</f>
        <v/>
      </c>
      <c r="F23" s="3">
        <f>$G$20</f>
        <v>160.6</v>
      </c>
      <c r="G23" s="26" t="str">
        <f>+IF(B23="","",(D23*E23)/F23)</f>
        <v/>
      </c>
      <c r="K23" s="9"/>
      <c r="L23" s="23" t="str">
        <f>IF(B23="","",INDEX(V_COMBUSTIBLE_H,MATCH(B23,LISTA_MAQUINARIA,0)))</f>
        <v/>
      </c>
      <c r="M23" s="23" t="str">
        <f>+IF(L23="","",(L23*D23)/F23)</f>
        <v/>
      </c>
      <c r="N23" s="23" t="str">
        <f>IF(G23="","",G23-M23)</f>
        <v/>
      </c>
      <c r="P23" s="11"/>
    </row>
    <row r="24" spans="2:16" x14ac:dyDescent="0.3">
      <c r="B24" s="27"/>
      <c r="C24" s="3" t="str">
        <f>+IF(B24="","",INDEX(U_MAQUINARIA,MATCH(B24,LISTA_MAQUINARIA,0)))</f>
        <v/>
      </c>
      <c r="D24" s="30"/>
      <c r="E24" s="23" t="str">
        <f>+IF(B24="","",INDEX(V_MAQUINARIA,MATCH(B24,LISTA_MAQUINARIA,0)))</f>
        <v/>
      </c>
      <c r="F24" s="3">
        <f>$G$20</f>
        <v>160.6</v>
      </c>
      <c r="G24" s="26" t="str">
        <f>+IF(B24="","",(D24*E24)/F24)</f>
        <v/>
      </c>
      <c r="K24" s="9"/>
      <c r="L24" s="3" t="str">
        <f>IF(B24="","",INDEX(V_COMBUSTIBLE_H,MATCH(B24,LISTA_MAQUINARIA,0)))</f>
        <v/>
      </c>
      <c r="M24" s="3" t="str">
        <f>+IF(L24="","",(L24*D24)/F24)</f>
        <v/>
      </c>
      <c r="N24" s="3" t="str">
        <f>IF(G24="","",G24-M24)</f>
        <v/>
      </c>
      <c r="P24" s="11"/>
    </row>
    <row r="25" spans="2:16" x14ac:dyDescent="0.3">
      <c r="B25" s="27"/>
      <c r="C25" s="3" t="str">
        <f>+IF(B25="","",INDEX(U_MAQUINARIA,MATCH(B25,LISTA_MAQUINARIA,0)))</f>
        <v/>
      </c>
      <c r="D25" s="30"/>
      <c r="E25" s="23" t="str">
        <f>+IF(B25="","",INDEX(V_MAQUINARIA,MATCH(B25,LISTA_MAQUINARIA,0)))</f>
        <v/>
      </c>
      <c r="F25" s="3">
        <f>$G$20</f>
        <v>160.6</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160.6</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160.6</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0</v>
      </c>
      <c r="K28" s="9"/>
      <c r="M28" s="24">
        <f>SUM(M23:M27)</f>
        <v>0</v>
      </c>
      <c r="N28" s="24">
        <f>SUM(N23:N27)</f>
        <v>0</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t="s">
        <v>361</v>
      </c>
      <c r="C31" s="3" t="str">
        <f t="shared" ref="C31:C38" si="0">+IF(B31="","",INDEX(U_MATERIAL,MATCH(B31,L_MATERIALES,0)))</f>
        <v>UND</v>
      </c>
      <c r="D31" s="30">
        <v>1</v>
      </c>
      <c r="E31" s="23">
        <f t="shared" ref="E31:E38" si="1">+IF(B31="","",INDEX(V_UNITARIOMATERIAL,MATCH(B31,L_MATERIALES,0)))</f>
        <v>340000</v>
      </c>
      <c r="F31" s="30">
        <v>1000</v>
      </c>
      <c r="G31" s="26">
        <f>IF(D31="","",(E31*D31)/F31)</f>
        <v>340</v>
      </c>
      <c r="K31" s="9"/>
      <c r="L31" t="str">
        <f>+IF(B31="","",B31)</f>
        <v>HERRAMIENTA MENOR---</v>
      </c>
      <c r="M31">
        <f t="shared" ref="M31:M38" si="2">IF(D31="","",(D31/F31)*INDEX(CANT_PROYECTO,MATCH($B$13,ITEM,0)))</f>
        <v>6.6240000000000006</v>
      </c>
      <c r="N31" s="1"/>
      <c r="P31" s="11"/>
    </row>
    <row r="32" spans="2:16" x14ac:dyDescent="0.3">
      <c r="B32" s="27"/>
      <c r="C32" s="3" t="str">
        <f t="shared" si="0"/>
        <v/>
      </c>
      <c r="D32" s="30"/>
      <c r="E32" s="23" t="str">
        <f t="shared" si="1"/>
        <v/>
      </c>
      <c r="F32" s="30"/>
      <c r="G32" s="26" t="str">
        <f t="shared" ref="G32:G38" si="3">IF(D32="","",(E32*D32)/F32)</f>
        <v/>
      </c>
      <c r="K32" s="9"/>
      <c r="L32" t="str">
        <f t="shared" ref="L32:L38" si="4">+IF(B32="","",B32)</f>
        <v/>
      </c>
      <c r="M32" t="str">
        <f t="shared" si="2"/>
        <v/>
      </c>
      <c r="N32" s="1"/>
      <c r="P32" s="11"/>
    </row>
    <row r="33" spans="2:16" x14ac:dyDescent="0.3">
      <c r="B33" s="27"/>
      <c r="C33" s="3" t="str">
        <f t="shared" si="0"/>
        <v/>
      </c>
      <c r="D33" s="30"/>
      <c r="E33" s="23" t="str">
        <f t="shared" si="1"/>
        <v/>
      </c>
      <c r="F33" s="30"/>
      <c r="G33" s="26" t="str">
        <f t="shared" si="3"/>
        <v/>
      </c>
      <c r="K33" s="9"/>
      <c r="L33" t="str">
        <f t="shared" si="4"/>
        <v/>
      </c>
      <c r="M33" t="str">
        <f t="shared" si="2"/>
        <v/>
      </c>
      <c r="N33" s="1"/>
      <c r="P33" s="11"/>
    </row>
    <row r="34" spans="2:16" x14ac:dyDescent="0.3">
      <c r="B34" s="27"/>
      <c r="C34" s="3" t="str">
        <f t="shared" si="0"/>
        <v/>
      </c>
      <c r="D34" s="30"/>
      <c r="E34" s="23" t="str">
        <f t="shared" si="1"/>
        <v/>
      </c>
      <c r="F34" s="30"/>
      <c r="G34" s="26" t="str">
        <f t="shared" si="3"/>
        <v/>
      </c>
      <c r="K34" s="9"/>
      <c r="L34" t="str">
        <f t="shared" si="4"/>
        <v/>
      </c>
      <c r="M34" t="str">
        <f t="shared" si="2"/>
        <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340</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t="s">
        <v>455</v>
      </c>
      <c r="C42" s="3">
        <f>+IF(B42="","",INDEX(U_MAQUINARIA,MATCH(B42,LISTA_MAQUINARIA,0)))</f>
        <v>0</v>
      </c>
      <c r="D42" s="30">
        <v>0.5</v>
      </c>
      <c r="E42" s="23">
        <f>+IF(B42="","",INDEX(V_MAQUINARIA,MATCH(B42,LISTA_MAQUINARIA,0)))</f>
        <v>101145.45454545454</v>
      </c>
      <c r="F42" s="3">
        <f>$G$20</f>
        <v>160.6</v>
      </c>
      <c r="G42" s="26">
        <f>IF(D42="","",(E42*D42)/F42)</f>
        <v>314.89867542171402</v>
      </c>
      <c r="K42" s="9"/>
      <c r="L42" s="23">
        <f>IF(B42="","",INDEX(V_COMBUSTIBLE_H,MATCH(B42,LISTA_MAQUINARIA,0)))</f>
        <v>21600</v>
      </c>
      <c r="M42" s="23">
        <f>+IF(L42="","",(L42*D42)/F42)</f>
        <v>67.247820672478213</v>
      </c>
      <c r="N42" s="23">
        <f>IF(G42="","",G42-M42)</f>
        <v>247.6508547492358</v>
      </c>
      <c r="P42" s="11"/>
    </row>
    <row r="43" spans="2:16" x14ac:dyDescent="0.3">
      <c r="B43" s="27"/>
      <c r="C43" s="3" t="str">
        <f>+IF(B43="","",INDEX(U_MAQUINARIA,MATCH(B43,LISTA_MAQUINARIA,0)))</f>
        <v/>
      </c>
      <c r="D43" s="30"/>
      <c r="E43" s="23" t="str">
        <f>+IF(B43="","",INDEX(V_MAQUINARIA,MATCH(B43,LISTA_MAQUINARIA,0)))</f>
        <v/>
      </c>
      <c r="F43" s="3">
        <f>+$G$20</f>
        <v>160.6</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160.6</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160.6</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160.6</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314.89867542171402</v>
      </c>
      <c r="K47" s="9"/>
      <c r="M47" s="24">
        <f>SUM(M42:M46)</f>
        <v>67.247820672478213</v>
      </c>
      <c r="N47" s="24">
        <f>SUM(N42:N46)</f>
        <v>247.6508547492358</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t="s">
        <v>304</v>
      </c>
      <c r="C50" s="30">
        <v>6</v>
      </c>
      <c r="D50" s="22">
        <f>+IF(B50="","",INDEX(F_PRESTACIONAL,MATCH(B50,L_PERSONAL,)))</f>
        <v>1.6352</v>
      </c>
      <c r="E50" s="23">
        <f>+IF(B50="","",INDEX(V_H_MANODEOBRA,MATCH(B50,L_PERSONAL,0)))</f>
        <v>24658.815999999999</v>
      </c>
      <c r="F50" s="3">
        <f>+$G$20</f>
        <v>160.6</v>
      </c>
      <c r="G50" s="26">
        <f>+IF(C50="","",(E50*C50)/F50)</f>
        <v>921.2509090909092</v>
      </c>
    </row>
    <row r="51" spans="2:7" x14ac:dyDescent="0.3">
      <c r="B51" s="27" t="s">
        <v>298</v>
      </c>
      <c r="C51" s="30">
        <v>1</v>
      </c>
      <c r="D51" s="22">
        <f>+IF(B51="","",INDEX(F_PRESTACIONAL,MATCH(B51,L_PERSONAL,)))</f>
        <v>1.6352</v>
      </c>
      <c r="E51" s="23">
        <f>+IF(B51="","",INDEX(V_H_MANODEOBRA,MATCH(B51,L_PERSONAL,0)))</f>
        <v>40136.727272727272</v>
      </c>
      <c r="F51" s="3">
        <f>+$G$20</f>
        <v>160.6</v>
      </c>
      <c r="G51" s="26">
        <f>+IF(C51="","",(E51*C51)/F51)</f>
        <v>249.91735537190084</v>
      </c>
    </row>
    <row r="52" spans="2:7" x14ac:dyDescent="0.3">
      <c r="B52" s="27" t="s">
        <v>299</v>
      </c>
      <c r="C52" s="30">
        <v>0.5</v>
      </c>
      <c r="D52" s="22">
        <f>+IF(B52="","",INDEX(F_PRESTACIONAL,MATCH(B52,L_PERSONAL,)))</f>
        <v>1.6352</v>
      </c>
      <c r="E52" s="23">
        <f>+IF(B52="","",INDEX(V_H_MANODEOBRA,MATCH(B52,L_PERSONAL,0)))</f>
        <v>22298.18181818182</v>
      </c>
      <c r="F52" s="3">
        <f>+$G$20</f>
        <v>160.6</v>
      </c>
      <c r="G52" s="26">
        <f>+IF(C52="","",(E52*C52)/F52)</f>
        <v>69.421487603305792</v>
      </c>
    </row>
    <row r="53" spans="2:7" x14ac:dyDescent="0.3">
      <c r="B53" s="27"/>
      <c r="C53" s="30"/>
      <c r="D53" s="22" t="str">
        <f>+IF(B53="","",INDEX(F_PRESTACIONAL,MATCH(B53,L_PERSONAL,)))</f>
        <v/>
      </c>
      <c r="E53" s="23" t="str">
        <f>+IF(B53="","",INDEX(V_H_MANODEOBRA,MATCH(B53,L_PERSONAL,0)))</f>
        <v/>
      </c>
      <c r="F53" s="3">
        <f>+$G$20</f>
        <v>160.6</v>
      </c>
      <c r="G53" s="26" t="str">
        <f>+IF(C53="","",(E53*C53)/F53)</f>
        <v/>
      </c>
    </row>
    <row r="54" spans="2:7" x14ac:dyDescent="0.3">
      <c r="B54" s="27"/>
      <c r="C54" s="30"/>
      <c r="D54" s="22" t="str">
        <f>+IF(B54="","",INDEX(F_PRESTACIONAL,MATCH(B54,L_PERSONAL,)))</f>
        <v/>
      </c>
      <c r="E54" s="23" t="str">
        <f>+IF(B54="","",INDEX(V_H_MANODEOBRA,MATCH(B54,L_PERSONAL,0)))</f>
        <v/>
      </c>
      <c r="F54" s="3">
        <f>+$G$20</f>
        <v>160.6</v>
      </c>
      <c r="G54" s="26" t="str">
        <f>+IF(C54="","",(E54*C54)/F54)</f>
        <v/>
      </c>
    </row>
    <row r="55" spans="2:7" x14ac:dyDescent="0.3">
      <c r="B55" s="9"/>
      <c r="G55" s="26">
        <f>SUM(G50:G54)</f>
        <v>1240.5897520661158</v>
      </c>
    </row>
    <row r="56" spans="2:7" ht="17.25" thickBot="1" x14ac:dyDescent="0.35">
      <c r="B56" s="9"/>
      <c r="G56" s="11"/>
    </row>
    <row r="57" spans="2:7" ht="17.25" thickBot="1" x14ac:dyDescent="0.35">
      <c r="B57" s="610" t="s">
        <v>98</v>
      </c>
      <c r="C57" s="611"/>
      <c r="D57" s="611"/>
      <c r="E57" s="611"/>
      <c r="F57" s="612"/>
      <c r="G57" s="66">
        <f>+G55+G47+G39+G28</f>
        <v>1895.4884274878298</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227.45861129853955</v>
      </c>
    </row>
    <row r="61" spans="2:7" x14ac:dyDescent="0.3">
      <c r="B61" s="613" t="s">
        <v>86</v>
      </c>
      <c r="C61" s="614"/>
      <c r="D61" s="614"/>
      <c r="E61" s="614"/>
      <c r="F61" s="22">
        <f>+IMPREVISTOS</f>
        <v>0.03</v>
      </c>
      <c r="G61" s="26">
        <f>+$G$57*F61</f>
        <v>56.864652824634888</v>
      </c>
    </row>
    <row r="62" spans="2:7" x14ac:dyDescent="0.3">
      <c r="B62" s="613" t="s">
        <v>87</v>
      </c>
      <c r="C62" s="614"/>
      <c r="D62" s="614"/>
      <c r="E62" s="614"/>
      <c r="F62" s="22">
        <f>+UTILIDAD</f>
        <v>0.05</v>
      </c>
      <c r="G62" s="26">
        <f>+$G$57*F62</f>
        <v>94.774421374391494</v>
      </c>
    </row>
    <row r="63" spans="2:7" x14ac:dyDescent="0.3">
      <c r="B63" s="596" t="s">
        <v>100</v>
      </c>
      <c r="C63" s="597"/>
      <c r="D63" s="597"/>
      <c r="E63" s="597"/>
      <c r="F63" s="597"/>
      <c r="G63" s="53">
        <f>SUM(G60:G62)</f>
        <v>379.09768549756598</v>
      </c>
    </row>
    <row r="64" spans="2:7" ht="17.25" thickBot="1" x14ac:dyDescent="0.35">
      <c r="B64" s="9"/>
      <c r="G64" s="44"/>
    </row>
    <row r="65" spans="2:7" ht="17.25" thickBot="1" x14ac:dyDescent="0.35">
      <c r="B65" s="598" t="s">
        <v>101</v>
      </c>
      <c r="C65" s="599"/>
      <c r="D65" s="599"/>
      <c r="E65" s="599"/>
      <c r="F65" s="600"/>
      <c r="G65" s="65">
        <f>+G63+G57</f>
        <v>2274.5861129853956</v>
      </c>
    </row>
    <row r="66" spans="2:7" x14ac:dyDescent="0.3">
      <c r="B66" s="6"/>
      <c r="C66" s="7"/>
      <c r="D66" s="7"/>
      <c r="E66" s="7"/>
      <c r="F66" s="7"/>
      <c r="G66" s="8"/>
    </row>
    <row r="67" spans="2:7" x14ac:dyDescent="0.3">
      <c r="B67" s="9"/>
      <c r="G67" s="11"/>
    </row>
    <row r="68" spans="2:7" x14ac:dyDescent="0.3">
      <c r="B68" s="69" t="s">
        <v>123</v>
      </c>
      <c r="C68" s="67"/>
      <c r="D68" s="67"/>
      <c r="E68" s="67"/>
      <c r="F68" s="67"/>
      <c r="G68" s="70"/>
    </row>
    <row r="69" spans="2:7" x14ac:dyDescent="0.3">
      <c r="B69" s="71"/>
      <c r="C69" s="67"/>
      <c r="D69" s="67"/>
      <c r="E69" s="67"/>
      <c r="F69" s="67"/>
      <c r="G69" s="70"/>
    </row>
    <row r="70" spans="2:7" x14ac:dyDescent="0.3">
      <c r="B70" s="72"/>
      <c r="C70" s="68"/>
      <c r="D70" s="68"/>
      <c r="E70" s="68"/>
      <c r="F70" s="68"/>
      <c r="G70" s="73"/>
    </row>
    <row r="71" spans="2:7" x14ac:dyDescent="0.3">
      <c r="B71" s="71"/>
      <c r="C71" s="67"/>
      <c r="D71" s="67"/>
      <c r="E71" s="67"/>
      <c r="F71" s="67"/>
      <c r="G71" s="70"/>
    </row>
    <row r="72" spans="2:7" ht="17.25" thickBot="1" x14ac:dyDescent="0.35">
      <c r="B72" s="15"/>
      <c r="C72" s="13"/>
      <c r="D72" s="13"/>
      <c r="E72" s="13"/>
      <c r="F72" s="13"/>
      <c r="G72" s="14"/>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count="5">
    <dataValidation type="list" allowBlank="1" showInputMessage="1" showErrorMessage="1" sqref="E102" xr:uid="{4C0E52AA-30DC-4A1C-B1CD-516DCE7DF7DD}">
      <formula1>$A$103:$A$105</formula1>
    </dataValidation>
    <dataValidation type="list" allowBlank="1" showInputMessage="1" showErrorMessage="1" sqref="B13" xr:uid="{5124227E-F601-412C-8673-66D345F5746C}">
      <formula1>ITEM</formula1>
    </dataValidation>
    <dataValidation type="list" allowBlank="1" showInputMessage="1" showErrorMessage="1" sqref="B50:B54" xr:uid="{48E7A5C2-3DF1-4173-9D94-926C5B7D2521}">
      <formula1>L_PERSONAL</formula1>
    </dataValidation>
    <dataValidation type="list" allowBlank="1" showInputMessage="1" showErrorMessage="1" sqref="B31:B38" xr:uid="{15AA0378-BB14-4820-99F3-62A8A798324D}">
      <formula1>L_MATERIALES</formula1>
    </dataValidation>
    <dataValidation type="list" allowBlank="1" showInputMessage="1" showErrorMessage="1" sqref="B23:B27 B42:B46" xr:uid="{13EEEC07-6FB6-498E-8C13-85ECBE175BBA}">
      <formula1>LISTA_MAQUINARIA</formula1>
    </dataValidation>
  </dataValidations>
  <pageMargins left="1.6141732283464567" right="0.70866141732283472" top="0.74803149606299213" bottom="0.74803149606299213" header="0.31496062992125984" footer="0.31496062992125984"/>
  <pageSetup scale="50" orientation="portrait" r:id="rId1"/>
  <rowBreaks count="1" manualBreakCount="1">
    <brk id="78" max="16383" man="1"/>
  </rowBreaks>
  <colBreaks count="1" manualBreakCount="1">
    <brk id="7" max="1048575" man="1"/>
  </colBreaks>
  <drawing r:id="rId2"/>
  <tableParts count="1">
    <tablePart r:id="rId3"/>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84FB5-1208-45F3-A0CB-F923781E9773}">
  <sheetPr codeName="Hoja26"/>
  <dimension ref="A1:P105"/>
  <sheetViews>
    <sheetView showGridLines="0" view="pageBreakPreview" zoomScale="67" zoomScaleNormal="60" workbookViewId="0">
      <selection activeCell="B1" sqref="B1:G78"/>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15</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18" t="str">
        <f>+IF($B$13="","",INDEX(DESCRIP_ITEM,MATCH($B$13,ITEM,0)))</f>
        <v xml:space="preserve">Instalación de conector MC4 tipo Y para cable 1x6 mm2 ZZ-F 0,6/1kV (1,8 kV DC) Cu (par macho-hembra). Instalación debe incluir el corte, crimpado y conectorización del cable </v>
      </c>
      <c r="C16" s="619"/>
      <c r="D16" s="619"/>
      <c r="E16" s="619"/>
      <c r="F16" s="619"/>
      <c r="G16" s="620"/>
    </row>
    <row r="17" spans="2:16" ht="44.25" customHeight="1" thickBot="1" x14ac:dyDescent="0.35">
      <c r="B17" s="621"/>
      <c r="C17" s="622"/>
      <c r="D17" s="622"/>
      <c r="E17" s="622"/>
      <c r="F17" s="622"/>
      <c r="G17" s="623"/>
    </row>
    <row r="18" spans="2:16" ht="17.25" thickBot="1" x14ac:dyDescent="0.35">
      <c r="B18" s="591"/>
      <c r="C18" s="579"/>
      <c r="D18" s="579"/>
      <c r="E18" s="579"/>
      <c r="G18" s="11"/>
    </row>
    <row r="19" spans="2:16" ht="17.25" thickBot="1" x14ac:dyDescent="0.35">
      <c r="B19" s="592"/>
      <c r="C19" s="593"/>
      <c r="D19" s="593"/>
      <c r="E19" s="593"/>
      <c r="F19" s="54" t="s">
        <v>89</v>
      </c>
      <c r="G19" s="25" t="str">
        <f>+IF(B13="","",INDEX(U_ITEM,MATCH(B13,ITEM,0)))</f>
        <v>UN</v>
      </c>
    </row>
    <row r="20" spans="2:16" ht="17.25" thickBot="1" x14ac:dyDescent="0.35">
      <c r="B20" s="592"/>
      <c r="C20" s="593"/>
      <c r="D20" s="593"/>
      <c r="E20" s="593"/>
      <c r="F20" s="55" t="s">
        <v>90</v>
      </c>
      <c r="G20" s="56">
        <f>(((C50*292)*22)/30)/8</f>
        <v>160.6</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c r="C23" s="3" t="str">
        <f>+IF(B23="","",INDEX(U_MAQUINARIA,MATCH(B23,LISTA_MAQUINARIA,0)))</f>
        <v/>
      </c>
      <c r="D23" s="30"/>
      <c r="E23" s="23" t="str">
        <f>+IF(B23="","",INDEX(V_MAQUINARIA,MATCH(B23,LISTA_MAQUINARIA,0)))</f>
        <v/>
      </c>
      <c r="F23" s="3">
        <f>$G$20</f>
        <v>160.6</v>
      </c>
      <c r="G23" s="26" t="str">
        <f>+IF(B23="","",(D23*E23)/F23)</f>
        <v/>
      </c>
      <c r="K23" s="9"/>
      <c r="L23" s="23" t="str">
        <f>IF(B23="","",INDEX(V_COMBUSTIBLE_H,MATCH(B23,LISTA_MAQUINARIA,0)))</f>
        <v/>
      </c>
      <c r="M23" s="23" t="str">
        <f>+IF(L23="","",(L23*D23)/F23)</f>
        <v/>
      </c>
      <c r="N23" s="23" t="str">
        <f>IF(G23="","",G23-M23)</f>
        <v/>
      </c>
      <c r="P23" s="11"/>
    </row>
    <row r="24" spans="2:16" x14ac:dyDescent="0.3">
      <c r="B24" s="27"/>
      <c r="C24" s="3" t="str">
        <f>+IF(B24="","",INDEX(U_MAQUINARIA,MATCH(B24,LISTA_MAQUINARIA,0)))</f>
        <v/>
      </c>
      <c r="D24" s="30"/>
      <c r="E24" s="23" t="str">
        <f>+IF(B24="","",INDEX(V_MAQUINARIA,MATCH(B24,LISTA_MAQUINARIA,0)))</f>
        <v/>
      </c>
      <c r="F24" s="3">
        <f>$G$20</f>
        <v>160.6</v>
      </c>
      <c r="G24" s="26" t="str">
        <f>+IF(B24="","",(D24*E24)/F24)</f>
        <v/>
      </c>
      <c r="K24" s="9"/>
      <c r="L24" s="3" t="str">
        <f>IF(B24="","",INDEX(V_COMBUSTIBLE_H,MATCH(B24,LISTA_MAQUINARIA,0)))</f>
        <v/>
      </c>
      <c r="M24" s="3" t="str">
        <f>+IF(L24="","",(L24*D24)/F24)</f>
        <v/>
      </c>
      <c r="N24" s="3" t="str">
        <f>IF(G24="","",G24-M24)</f>
        <v/>
      </c>
      <c r="P24" s="11"/>
    </row>
    <row r="25" spans="2:16" x14ac:dyDescent="0.3">
      <c r="B25" s="27"/>
      <c r="C25" s="3" t="str">
        <f>+IF(B25="","",INDEX(U_MAQUINARIA,MATCH(B25,LISTA_MAQUINARIA,0)))</f>
        <v/>
      </c>
      <c r="D25" s="30"/>
      <c r="E25" s="23" t="str">
        <f>+IF(B25="","",INDEX(V_MAQUINARIA,MATCH(B25,LISTA_MAQUINARIA,0)))</f>
        <v/>
      </c>
      <c r="F25" s="3">
        <f>$G$20</f>
        <v>160.6</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160.6</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160.6</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0</v>
      </c>
      <c r="K28" s="9"/>
      <c r="M28" s="24">
        <f>SUM(M23:M27)</f>
        <v>0</v>
      </c>
      <c r="N28" s="24">
        <f>SUM(N23:N27)</f>
        <v>0</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t="s">
        <v>361</v>
      </c>
      <c r="C31" s="3" t="str">
        <f t="shared" ref="C31:C38" si="0">+IF(B31="","",INDEX(U_MATERIAL,MATCH(B31,L_MATERIALES,0)))</f>
        <v>UND</v>
      </c>
      <c r="D31" s="30">
        <v>1</v>
      </c>
      <c r="E31" s="23">
        <f t="shared" ref="E31:E38" si="1">+IF(B31="","",INDEX(V_UNITARIOMATERIAL,MATCH(B31,L_MATERIALES,0)))</f>
        <v>340000</v>
      </c>
      <c r="F31" s="30">
        <v>1000</v>
      </c>
      <c r="G31" s="26">
        <f>IF(D31="","",(E31*D31)/F31)</f>
        <v>340</v>
      </c>
      <c r="K31" s="9"/>
      <c r="L31" t="str">
        <f>+IF(B31="","",B31)</f>
        <v>HERRAMIENTA MENOR---</v>
      </c>
      <c r="M31">
        <f t="shared" ref="M31:M38" si="2">IF(D31="","",(D31/F31)*INDEX(CANT_PROYECTO,MATCH($B$13,ITEM,0)))</f>
        <v>2.29</v>
      </c>
      <c r="N31" s="1"/>
      <c r="P31" s="11"/>
    </row>
    <row r="32" spans="2:16" x14ac:dyDescent="0.3">
      <c r="B32" s="27"/>
      <c r="C32" s="3" t="str">
        <f t="shared" si="0"/>
        <v/>
      </c>
      <c r="D32" s="30"/>
      <c r="E32" s="23" t="str">
        <f t="shared" si="1"/>
        <v/>
      </c>
      <c r="F32" s="30"/>
      <c r="G32" s="26" t="str">
        <f t="shared" ref="G32:G38" si="3">IF(D32="","",(E32*D32)/F32)</f>
        <v/>
      </c>
      <c r="K32" s="9"/>
      <c r="L32" t="str">
        <f t="shared" ref="L32:L38" si="4">+IF(B32="","",B32)</f>
        <v/>
      </c>
      <c r="M32" t="str">
        <f t="shared" si="2"/>
        <v/>
      </c>
      <c r="N32" s="1"/>
      <c r="P32" s="11"/>
    </row>
    <row r="33" spans="2:16" x14ac:dyDescent="0.3">
      <c r="B33" s="27"/>
      <c r="C33" s="3" t="str">
        <f t="shared" si="0"/>
        <v/>
      </c>
      <c r="D33" s="30"/>
      <c r="E33" s="23" t="str">
        <f t="shared" si="1"/>
        <v/>
      </c>
      <c r="F33" s="30"/>
      <c r="G33" s="26" t="str">
        <f t="shared" si="3"/>
        <v/>
      </c>
      <c r="K33" s="9"/>
      <c r="L33" t="str">
        <f t="shared" si="4"/>
        <v/>
      </c>
      <c r="M33" t="str">
        <f t="shared" si="2"/>
        <v/>
      </c>
      <c r="N33" s="1"/>
      <c r="P33" s="11"/>
    </row>
    <row r="34" spans="2:16" x14ac:dyDescent="0.3">
      <c r="B34" s="27"/>
      <c r="C34" s="3" t="str">
        <f t="shared" si="0"/>
        <v/>
      </c>
      <c r="D34" s="30"/>
      <c r="E34" s="23" t="str">
        <f t="shared" si="1"/>
        <v/>
      </c>
      <c r="F34" s="30"/>
      <c r="G34" s="26" t="str">
        <f t="shared" si="3"/>
        <v/>
      </c>
      <c r="K34" s="9"/>
      <c r="L34" t="str">
        <f t="shared" si="4"/>
        <v/>
      </c>
      <c r="M34" t="str">
        <f t="shared" si="2"/>
        <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340</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t="s">
        <v>455</v>
      </c>
      <c r="C42" s="3">
        <f>+IF(B42="","",INDEX(U_MAQUINARIA,MATCH(B42,LISTA_MAQUINARIA,0)))</f>
        <v>0</v>
      </c>
      <c r="D42" s="30">
        <v>0.5</v>
      </c>
      <c r="E42" s="23">
        <f>+IF(B42="","",INDEX(V_MAQUINARIA,MATCH(B42,LISTA_MAQUINARIA,0)))</f>
        <v>101145.45454545454</v>
      </c>
      <c r="F42" s="3">
        <f>$G$20</f>
        <v>160.6</v>
      </c>
      <c r="G42" s="26">
        <f>IF(D42="","",(E42*D42)/F42)</f>
        <v>314.89867542171402</v>
      </c>
      <c r="K42" s="9"/>
      <c r="L42" s="23">
        <f>IF(B42="","",INDEX(V_COMBUSTIBLE_H,MATCH(B42,LISTA_MAQUINARIA,0)))</f>
        <v>21600</v>
      </c>
      <c r="M42" s="23">
        <f>+IF(L42="","",(L42*D42)/F42)</f>
        <v>67.247820672478213</v>
      </c>
      <c r="N42" s="23">
        <f>IF(G42="","",G42-M42)</f>
        <v>247.6508547492358</v>
      </c>
      <c r="P42" s="11"/>
    </row>
    <row r="43" spans="2:16" x14ac:dyDescent="0.3">
      <c r="B43" s="27"/>
      <c r="C43" s="3" t="str">
        <f>+IF(B43="","",INDEX(U_MAQUINARIA,MATCH(B43,LISTA_MAQUINARIA,0)))</f>
        <v/>
      </c>
      <c r="D43" s="30"/>
      <c r="E43" s="23" t="str">
        <f>+IF(B43="","",INDEX(V_MAQUINARIA,MATCH(B43,LISTA_MAQUINARIA,0)))</f>
        <v/>
      </c>
      <c r="F43" s="3">
        <f>+$G$20</f>
        <v>160.6</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160.6</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160.6</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160.6</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314.89867542171402</v>
      </c>
      <c r="K47" s="9"/>
      <c r="M47" s="24">
        <f>SUM(M42:M46)</f>
        <v>67.247820672478213</v>
      </c>
      <c r="N47" s="24">
        <f>SUM(N42:N46)</f>
        <v>247.6508547492358</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t="s">
        <v>304</v>
      </c>
      <c r="C50" s="30">
        <v>6</v>
      </c>
      <c r="D50" s="22">
        <f>+IF(B50="","",INDEX(F_PRESTACIONAL,MATCH(B50,L_PERSONAL,)))</f>
        <v>1.6352</v>
      </c>
      <c r="E50" s="23">
        <f>+IF(B50="","",INDEX(V_H_MANODEOBRA,MATCH(B50,L_PERSONAL,0)))</f>
        <v>24658.815999999999</v>
      </c>
      <c r="F50" s="3">
        <f>+$G$20</f>
        <v>160.6</v>
      </c>
      <c r="G50" s="26">
        <f>+IF(C50="","",(E50*C50)/F50)</f>
        <v>921.2509090909092</v>
      </c>
    </row>
    <row r="51" spans="2:7" x14ac:dyDescent="0.3">
      <c r="B51" s="27" t="s">
        <v>298</v>
      </c>
      <c r="C51" s="30">
        <v>1</v>
      </c>
      <c r="D51" s="22">
        <f>+IF(B51="","",INDEX(F_PRESTACIONAL,MATCH(B51,L_PERSONAL,)))</f>
        <v>1.6352</v>
      </c>
      <c r="E51" s="23">
        <f>+IF(B51="","",INDEX(V_H_MANODEOBRA,MATCH(B51,L_PERSONAL,0)))</f>
        <v>40136.727272727272</v>
      </c>
      <c r="F51" s="3">
        <f>+$G$20</f>
        <v>160.6</v>
      </c>
      <c r="G51" s="26">
        <f>+IF(C51="","",(E51*C51)/F51)</f>
        <v>249.91735537190084</v>
      </c>
    </row>
    <row r="52" spans="2:7" x14ac:dyDescent="0.3">
      <c r="B52" s="27" t="s">
        <v>299</v>
      </c>
      <c r="C52" s="30">
        <v>0.5</v>
      </c>
      <c r="D52" s="22">
        <f>+IF(B52="","",INDEX(F_PRESTACIONAL,MATCH(B52,L_PERSONAL,)))</f>
        <v>1.6352</v>
      </c>
      <c r="E52" s="23">
        <f>+IF(B52="","",INDEX(V_H_MANODEOBRA,MATCH(B52,L_PERSONAL,0)))</f>
        <v>22298.18181818182</v>
      </c>
      <c r="F52" s="3">
        <f>+$G$20</f>
        <v>160.6</v>
      </c>
      <c r="G52" s="26">
        <f>+IF(C52="","",(E52*C52)/F52)</f>
        <v>69.421487603305792</v>
      </c>
    </row>
    <row r="53" spans="2:7" x14ac:dyDescent="0.3">
      <c r="B53" s="27"/>
      <c r="C53" s="30"/>
      <c r="D53" s="22" t="str">
        <f>+IF(B53="","",INDEX(F_PRESTACIONAL,MATCH(B53,L_PERSONAL,)))</f>
        <v/>
      </c>
      <c r="E53" s="23" t="str">
        <f>+IF(B53="","",INDEX(V_H_MANODEOBRA,MATCH(B53,L_PERSONAL,0)))</f>
        <v/>
      </c>
      <c r="F53" s="3">
        <f>+$G$20</f>
        <v>160.6</v>
      </c>
      <c r="G53" s="26" t="str">
        <f>+IF(C53="","",(E53*C53)/F53)</f>
        <v/>
      </c>
    </row>
    <row r="54" spans="2:7" x14ac:dyDescent="0.3">
      <c r="B54" s="27"/>
      <c r="C54" s="30"/>
      <c r="D54" s="22" t="str">
        <f>+IF(B54="","",INDEX(F_PRESTACIONAL,MATCH(B54,L_PERSONAL,)))</f>
        <v/>
      </c>
      <c r="E54" s="23" t="str">
        <f>+IF(B54="","",INDEX(V_H_MANODEOBRA,MATCH(B54,L_PERSONAL,0)))</f>
        <v/>
      </c>
      <c r="F54" s="3">
        <f>+$G$20</f>
        <v>160.6</v>
      </c>
      <c r="G54" s="26" t="str">
        <f>+IF(C54="","",(E54*C54)/F54)</f>
        <v/>
      </c>
    </row>
    <row r="55" spans="2:7" x14ac:dyDescent="0.3">
      <c r="B55" s="9"/>
      <c r="G55" s="26">
        <f>SUM(G50:G54)</f>
        <v>1240.5897520661158</v>
      </c>
    </row>
    <row r="56" spans="2:7" ht="17.25" thickBot="1" x14ac:dyDescent="0.35">
      <c r="B56" s="9"/>
      <c r="G56" s="11"/>
    </row>
    <row r="57" spans="2:7" ht="17.25" thickBot="1" x14ac:dyDescent="0.35">
      <c r="B57" s="610" t="s">
        <v>98</v>
      </c>
      <c r="C57" s="611"/>
      <c r="D57" s="611"/>
      <c r="E57" s="611"/>
      <c r="F57" s="612"/>
      <c r="G57" s="66">
        <f>+G55+G47+G39+G28</f>
        <v>1895.4884274878298</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227.45861129853955</v>
      </c>
    </row>
    <row r="61" spans="2:7" x14ac:dyDescent="0.3">
      <c r="B61" s="613" t="s">
        <v>86</v>
      </c>
      <c r="C61" s="614"/>
      <c r="D61" s="614"/>
      <c r="E61" s="614"/>
      <c r="F61" s="22">
        <f>+IMPREVISTOS</f>
        <v>0.03</v>
      </c>
      <c r="G61" s="26">
        <f>+$G$57*F61</f>
        <v>56.864652824634888</v>
      </c>
    </row>
    <row r="62" spans="2:7" x14ac:dyDescent="0.3">
      <c r="B62" s="613" t="s">
        <v>87</v>
      </c>
      <c r="C62" s="614"/>
      <c r="D62" s="614"/>
      <c r="E62" s="614"/>
      <c r="F62" s="22">
        <f>+UTILIDAD</f>
        <v>0.05</v>
      </c>
      <c r="G62" s="26">
        <f>+$G$57*F62</f>
        <v>94.774421374391494</v>
      </c>
    </row>
    <row r="63" spans="2:7" x14ac:dyDescent="0.3">
      <c r="B63" s="596" t="s">
        <v>100</v>
      </c>
      <c r="C63" s="597"/>
      <c r="D63" s="597"/>
      <c r="E63" s="597"/>
      <c r="F63" s="597"/>
      <c r="G63" s="53">
        <f>SUM(G60:G62)</f>
        <v>379.09768549756598</v>
      </c>
    </row>
    <row r="64" spans="2:7" ht="17.25" thickBot="1" x14ac:dyDescent="0.35">
      <c r="B64" s="9"/>
      <c r="G64" s="44"/>
    </row>
    <row r="65" spans="2:7" ht="17.25" thickBot="1" x14ac:dyDescent="0.35">
      <c r="B65" s="598" t="s">
        <v>101</v>
      </c>
      <c r="C65" s="599"/>
      <c r="D65" s="599"/>
      <c r="E65" s="599"/>
      <c r="F65" s="600"/>
      <c r="G65" s="65">
        <f>+G63+G57</f>
        <v>2274.5861129853956</v>
      </c>
    </row>
    <row r="66" spans="2:7" x14ac:dyDescent="0.3">
      <c r="B66" s="6"/>
      <c r="C66" s="7"/>
      <c r="D66" s="7"/>
      <c r="E66" s="7"/>
      <c r="F66" s="7"/>
      <c r="G66" s="8"/>
    </row>
    <row r="67" spans="2:7" x14ac:dyDescent="0.3">
      <c r="B67" s="9"/>
      <c r="G67" s="11"/>
    </row>
    <row r="68" spans="2:7" x14ac:dyDescent="0.3">
      <c r="B68" s="69" t="s">
        <v>123</v>
      </c>
      <c r="C68" s="67"/>
      <c r="D68" s="67"/>
      <c r="E68" s="67"/>
      <c r="F68" s="67"/>
      <c r="G68" s="70"/>
    </row>
    <row r="69" spans="2:7" x14ac:dyDescent="0.3">
      <c r="B69" s="71"/>
      <c r="C69" s="67"/>
      <c r="D69" s="67"/>
      <c r="E69" s="67"/>
      <c r="F69" s="67"/>
      <c r="G69" s="70"/>
    </row>
    <row r="70" spans="2:7" x14ac:dyDescent="0.3">
      <c r="B70" s="72"/>
      <c r="C70" s="68"/>
      <c r="D70" s="68"/>
      <c r="E70" s="68"/>
      <c r="F70" s="68"/>
      <c r="G70" s="73"/>
    </row>
    <row r="71" spans="2:7" x14ac:dyDescent="0.3">
      <c r="B71" s="71"/>
      <c r="C71" s="67"/>
      <c r="D71" s="67"/>
      <c r="E71" s="67"/>
      <c r="F71" s="67"/>
      <c r="G71" s="70"/>
    </row>
    <row r="72" spans="2:7" ht="17.25" thickBot="1" x14ac:dyDescent="0.35">
      <c r="B72" s="15"/>
      <c r="C72" s="13"/>
      <c r="D72" s="13"/>
      <c r="E72" s="13"/>
      <c r="F72" s="13"/>
      <c r="G72" s="14"/>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count="5">
    <dataValidation type="list" allowBlank="1" showInputMessage="1" showErrorMessage="1" sqref="E102" xr:uid="{7691968B-3BC0-4EE3-98BD-74F5D3342EBE}">
      <formula1>$A$103:$A$105</formula1>
    </dataValidation>
    <dataValidation type="list" allowBlank="1" showInputMessage="1" showErrorMessage="1" sqref="B13" xr:uid="{41795ED2-EF67-44CD-9306-183C0CE29629}">
      <formula1>ITEM</formula1>
    </dataValidation>
    <dataValidation type="list" allowBlank="1" showInputMessage="1" showErrorMessage="1" sqref="B50:B54" xr:uid="{8808FD4E-5B8A-4142-BA7E-A95402AE8F8A}">
      <formula1>L_PERSONAL</formula1>
    </dataValidation>
    <dataValidation type="list" allowBlank="1" showInputMessage="1" showErrorMessage="1" sqref="B31:B38" xr:uid="{A5216EDC-3D78-413D-ADEC-32583BF72A3A}">
      <formula1>L_MATERIALES</formula1>
    </dataValidation>
    <dataValidation type="list" allowBlank="1" showInputMessage="1" showErrorMessage="1" sqref="B23:B27 B42:B46" xr:uid="{411B444C-9BCC-4841-B73A-19FB9C40B1DB}">
      <formula1>LISTA_MAQUINARIA</formula1>
    </dataValidation>
  </dataValidations>
  <pageMargins left="1.6141732283464567" right="0.70866141732283472" top="0.74803149606299213" bottom="0.74803149606299213" header="0.31496062992125984" footer="0.31496062992125984"/>
  <pageSetup scale="50" orientation="portrait" r:id="rId1"/>
  <rowBreaks count="1" manualBreakCount="1">
    <brk id="78" max="16383" man="1"/>
  </rowBreaks>
  <colBreaks count="1" manualBreakCount="1">
    <brk id="7" max="1048575" man="1"/>
  </colBreaks>
  <drawing r:id="rId2"/>
  <tableParts count="1">
    <tablePart r:id="rId3"/>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5C59FB-0272-4917-AB09-ABFC1ED03140}">
  <sheetPr codeName="Hoja27"/>
  <dimension ref="A1:P105"/>
  <sheetViews>
    <sheetView showGridLines="0" view="pageBreakPreview" zoomScale="64" zoomScaleNormal="60" workbookViewId="0">
      <selection activeCell="B1" sqref="B1:G78"/>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16</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18" t="str">
        <f>+IF($B$13="","",INDEX(DESCRIP_ITEM,MATCH($B$13,ITEM,0)))</f>
        <v>Tendido de cable AL/XLPE/CTS/PVC/STA/PVC, 38kV 1 x 630 mm2, incluye transporte en vehículo apropiado desde el centro de acopio del parque hasta el sitio de tendido, tendido dentro de la zanja, suministro e instalación de accesorios de sujeción (Amarrres plásticos) para formar la terna del circuito, los equipos y accesorios requeridos para el tendido técnico del cable asegurando la protección del personal y la integridad física del cable y todo lo necesario para su correcta ejecución. Incluye prueba de medida de resistencia de aislamiento.  (Nota: STA: Cable con armadura)</v>
      </c>
      <c r="C16" s="619"/>
      <c r="D16" s="619"/>
      <c r="E16" s="619"/>
      <c r="F16" s="619"/>
      <c r="G16" s="620"/>
    </row>
    <row r="17" spans="2:16" ht="81.400000000000006" customHeight="1" thickBot="1" x14ac:dyDescent="0.35">
      <c r="B17" s="621"/>
      <c r="C17" s="622"/>
      <c r="D17" s="622"/>
      <c r="E17" s="622"/>
      <c r="F17" s="622"/>
      <c r="G17" s="623"/>
    </row>
    <row r="18" spans="2:16" ht="17.25" thickBot="1" x14ac:dyDescent="0.35">
      <c r="B18" s="591"/>
      <c r="C18" s="579"/>
      <c r="D18" s="579"/>
      <c r="E18" s="579"/>
      <c r="G18" s="11"/>
    </row>
    <row r="19" spans="2:16" ht="17.25" thickBot="1" x14ac:dyDescent="0.35">
      <c r="B19" s="592"/>
      <c r="C19" s="593"/>
      <c r="D19" s="593"/>
      <c r="E19" s="593"/>
      <c r="F19" s="54" t="s">
        <v>89</v>
      </c>
      <c r="G19" s="25" t="str">
        <f>+IF(B13="","",INDEX(U_ITEM,MATCH(B13,ITEM,0)))</f>
        <v>ML</v>
      </c>
    </row>
    <row r="20" spans="2:16" ht="17.25" thickBot="1" x14ac:dyDescent="0.35">
      <c r="B20" s="592"/>
      <c r="C20" s="593"/>
      <c r="D20" s="593"/>
      <c r="E20" s="593"/>
      <c r="F20" s="55" t="s">
        <v>90</v>
      </c>
      <c r="G20" s="56">
        <v>97</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t="s">
        <v>395</v>
      </c>
      <c r="C23" s="3" t="str">
        <f>+IF(B23="","",INDEX(U_MAQUINARIA,MATCH(B23,LISTA_MAQUINARIA,0)))</f>
        <v>VALOR / HORA</v>
      </c>
      <c r="D23" s="30">
        <v>5</v>
      </c>
      <c r="E23" s="23">
        <f>+IF(B23="","",INDEX(V_MAQUINARIA,MATCH(B23,LISTA_MAQUINARIA,0)))</f>
        <v>7102.272727272727</v>
      </c>
      <c r="F23" s="3">
        <f>$G$20</f>
        <v>97</v>
      </c>
      <c r="G23" s="26">
        <f>+IF(B23="","",(D23*E23)/F23)</f>
        <v>366.09653233364571</v>
      </c>
      <c r="K23" s="9"/>
      <c r="L23" s="23">
        <f>IF(B23="","",INDEX(V_COMBUSTIBLE_H,MATCH(B23,LISTA_MAQUINARIA,0)))</f>
        <v>0</v>
      </c>
      <c r="M23" s="23">
        <f>+IF(L23="","",(L23*D23)/F23)</f>
        <v>0</v>
      </c>
      <c r="N23" s="23">
        <f>IF(G23="","",G23-M23)</f>
        <v>366.09653233364571</v>
      </c>
      <c r="P23" s="11"/>
    </row>
    <row r="24" spans="2:16" x14ac:dyDescent="0.3">
      <c r="B24" s="27" t="s">
        <v>400</v>
      </c>
      <c r="C24" s="3" t="str">
        <f>+IF(B24="","",INDEX(U_MAQUINARIA,MATCH(B24,LISTA_MAQUINARIA,0)))</f>
        <v>VALOR / HORA</v>
      </c>
      <c r="D24" s="30">
        <v>1</v>
      </c>
      <c r="E24" s="23">
        <f>+IF(B24="","",INDEX(V_MAQUINARIA,MATCH(B24,LISTA_MAQUINARIA,0)))</f>
        <v>123872.72727272728</v>
      </c>
      <c r="F24" s="3">
        <f>$G$20</f>
        <v>97</v>
      </c>
      <c r="G24" s="26">
        <f>+IF(B24="","",(D24*E24)/F24)</f>
        <v>1277.0384254920339</v>
      </c>
      <c r="K24" s="9"/>
      <c r="L24" s="3">
        <f>IF(B24="","",INDEX(V_COMBUSTIBLE_H,MATCH(B24,LISTA_MAQUINARIA,0)))</f>
        <v>21600</v>
      </c>
      <c r="M24" s="3">
        <f>+IF(L24="","",(L24*D24)/F24)</f>
        <v>222.68041237113403</v>
      </c>
      <c r="N24" s="3">
        <f>IF(G24="","",G24-M24)</f>
        <v>1054.3580131208998</v>
      </c>
      <c r="P24" s="11"/>
    </row>
    <row r="25" spans="2:16" x14ac:dyDescent="0.3">
      <c r="B25" s="27"/>
      <c r="C25" s="3" t="str">
        <f>+IF(B25="","",INDEX(U_MAQUINARIA,MATCH(B25,LISTA_MAQUINARIA,0)))</f>
        <v/>
      </c>
      <c r="D25" s="30"/>
      <c r="E25" s="23" t="str">
        <f>+IF(B25="","",INDEX(V_MAQUINARIA,MATCH(B25,LISTA_MAQUINARIA,0)))</f>
        <v/>
      </c>
      <c r="F25" s="3">
        <f>$G$20</f>
        <v>97</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97</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97</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1643.1349578256795</v>
      </c>
      <c r="K28" s="9"/>
      <c r="M28" s="24">
        <f>SUM(M23:M27)</f>
        <v>222.68041237113403</v>
      </c>
      <c r="N28" s="24">
        <f>SUM(N23:N27)</f>
        <v>1420.4545454545455</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t="s">
        <v>361</v>
      </c>
      <c r="C31" s="3" t="str">
        <f t="shared" ref="C31:C38" si="0">+IF(B31="","",INDEX(U_MATERIAL,MATCH(B31,L_MATERIALES,0)))</f>
        <v>UND</v>
      </c>
      <c r="D31" s="30">
        <v>1</v>
      </c>
      <c r="E31" s="23">
        <f t="shared" ref="E31:E38" si="1">+IF(B31="","",INDEX(V_UNITARIOMATERIAL,MATCH(B31,L_MATERIALES,0)))</f>
        <v>340000</v>
      </c>
      <c r="F31" s="30">
        <v>500</v>
      </c>
      <c r="G31" s="26">
        <f>IF(D31="","",(E31*D31)/F31)</f>
        <v>680</v>
      </c>
      <c r="K31" s="9"/>
      <c r="L31" t="str">
        <f>+IF(B31="","",B31)</f>
        <v>HERRAMIENTA MENOR---</v>
      </c>
      <c r="M31">
        <f t="shared" ref="M31:M38" si="2">IF(D31="","",(D31/F31)*INDEX(CANT_PROYECTO,MATCH($B$13,ITEM,0)))</f>
        <v>31.8</v>
      </c>
      <c r="N31" s="1"/>
      <c r="P31" s="11"/>
    </row>
    <row r="32" spans="2:16" x14ac:dyDescent="0.3">
      <c r="B32" s="27" t="s">
        <v>398</v>
      </c>
      <c r="C32" s="3" t="str">
        <f t="shared" si="0"/>
        <v>UND</v>
      </c>
      <c r="D32" s="30">
        <v>1</v>
      </c>
      <c r="E32" s="23">
        <f t="shared" si="1"/>
        <v>13458</v>
      </c>
      <c r="F32" s="30">
        <v>500</v>
      </c>
      <c r="G32" s="26">
        <f t="shared" ref="G32:G38" si="3">IF(D32="","",(E32*D32)/F32)</f>
        <v>26.916</v>
      </c>
      <c r="K32" s="9"/>
      <c r="L32" t="str">
        <f t="shared" ref="L32:L38" si="4">+IF(B32="","",B32)</f>
        <v>ETIQUETA PLASTICA---</v>
      </c>
      <c r="M32">
        <f t="shared" si="2"/>
        <v>31.8</v>
      </c>
      <c r="N32" s="1"/>
      <c r="P32" s="11"/>
    </row>
    <row r="33" spans="2:16" x14ac:dyDescent="0.3">
      <c r="B33" s="27" t="s">
        <v>396</v>
      </c>
      <c r="C33" s="3" t="str">
        <f t="shared" si="0"/>
        <v>UND</v>
      </c>
      <c r="D33" s="30">
        <v>1</v>
      </c>
      <c r="E33" s="23">
        <f t="shared" si="1"/>
        <v>1925.0000000000002</v>
      </c>
      <c r="F33" s="30">
        <v>3</v>
      </c>
      <c r="G33" s="26">
        <f t="shared" si="3"/>
        <v>641.66666666666674</v>
      </c>
      <c r="K33" s="9"/>
      <c r="L33" t="str">
        <f t="shared" si="4"/>
        <v>BRIDA PLASTICA UV---</v>
      </c>
      <c r="M33">
        <f>IF(D33="","",(D33/F33)*INDEX(CANT_PROYECTO,MATCH($B$13,ITEM,0)))</f>
        <v>5300</v>
      </c>
      <c r="N33" s="1"/>
      <c r="P33" s="11"/>
    </row>
    <row r="34" spans="2:16" x14ac:dyDescent="0.3">
      <c r="B34" s="27"/>
      <c r="C34" s="3" t="str">
        <f t="shared" si="0"/>
        <v/>
      </c>
      <c r="D34" s="30"/>
      <c r="E34" s="23" t="str">
        <f t="shared" si="1"/>
        <v/>
      </c>
      <c r="F34" s="30"/>
      <c r="G34" s="26" t="str">
        <f t="shared" si="3"/>
        <v/>
      </c>
      <c r="K34" s="9"/>
      <c r="L34" t="str">
        <f t="shared" si="4"/>
        <v/>
      </c>
      <c r="M34" t="str">
        <f t="shared" si="2"/>
        <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1348.5826666666667</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t="s">
        <v>455</v>
      </c>
      <c r="C42" s="3">
        <f>+IF(B42="","",INDEX(U_MAQUINARIA,MATCH(B42,LISTA_MAQUINARIA,0)))</f>
        <v>0</v>
      </c>
      <c r="D42" s="30">
        <v>1</v>
      </c>
      <c r="E42" s="23">
        <f>+IF(B42="","",INDEX(V_MAQUINARIA,MATCH(B42,LISTA_MAQUINARIA,0)))</f>
        <v>101145.45454545454</v>
      </c>
      <c r="F42" s="3">
        <f>$G$20</f>
        <v>97</v>
      </c>
      <c r="G42" s="26">
        <f>IF(D42="","",(E42*D42)/F42)</f>
        <v>1042.7366447985005</v>
      </c>
      <c r="K42" s="9"/>
      <c r="L42" s="23">
        <f>IF(B42="","",INDEX(V_COMBUSTIBLE_H,MATCH(B42,LISTA_MAQUINARIA,0)))</f>
        <v>21600</v>
      </c>
      <c r="M42" s="23">
        <f>+IF(L42="","",(L42*D42)/F42)</f>
        <v>222.68041237113403</v>
      </c>
      <c r="N42" s="23">
        <f>IF(G42="","",G42-M42)</f>
        <v>820.05623242736647</v>
      </c>
      <c r="P42" s="11"/>
    </row>
    <row r="43" spans="2:16" x14ac:dyDescent="0.3">
      <c r="B43" s="27"/>
      <c r="C43" s="3" t="str">
        <f>+IF(B43="","",INDEX(U_MAQUINARIA,MATCH(B43,LISTA_MAQUINARIA,0)))</f>
        <v/>
      </c>
      <c r="D43" s="30"/>
      <c r="E43" s="23" t="str">
        <f>+IF(B43="","",INDEX(V_MAQUINARIA,MATCH(B43,LISTA_MAQUINARIA,0)))</f>
        <v/>
      </c>
      <c r="F43" s="3">
        <f>+$G$20</f>
        <v>97</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97</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97</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97</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1042.7366447985005</v>
      </c>
      <c r="K47" s="9"/>
      <c r="M47" s="24">
        <f>SUM(M42:M46)</f>
        <v>222.68041237113403</v>
      </c>
      <c r="N47" s="24">
        <f>SUM(N42:N46)</f>
        <v>820.05623242736647</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t="s">
        <v>298</v>
      </c>
      <c r="C50" s="30">
        <v>1</v>
      </c>
      <c r="D50" s="22">
        <f>+IF(B50="","",INDEX(F_PRESTACIONAL,MATCH(B50,L_PERSONAL,)))</f>
        <v>1.6352</v>
      </c>
      <c r="E50" s="23">
        <f>+IF(B50="","",INDEX(V_H_MANODEOBRA,MATCH(B50,L_PERSONAL,0)))</f>
        <v>40136.727272727272</v>
      </c>
      <c r="F50" s="3">
        <f>+$G$20</f>
        <v>97</v>
      </c>
      <c r="G50" s="26">
        <f>+IF(C50="","",(E50*C50)/F50)</f>
        <v>413.78069353327083</v>
      </c>
    </row>
    <row r="51" spans="2:7" x14ac:dyDescent="0.3">
      <c r="B51" s="27" t="s">
        <v>304</v>
      </c>
      <c r="C51" s="30">
        <v>12</v>
      </c>
      <c r="D51" s="22">
        <f>+IF(B51="","",INDEX(F_PRESTACIONAL,MATCH(B51,L_PERSONAL,)))</f>
        <v>1.6352</v>
      </c>
      <c r="E51" s="23">
        <f>+IF(B51="","",INDEX(V_H_MANODEOBRA,MATCH(B51,L_PERSONAL,0)))</f>
        <v>24658.815999999999</v>
      </c>
      <c r="F51" s="3">
        <f>+$G$20</f>
        <v>97</v>
      </c>
      <c r="G51" s="26">
        <f>+IF(C51="","",(E51*C51)/F51)</f>
        <v>3050.5751752577321</v>
      </c>
    </row>
    <row r="52" spans="2:7" x14ac:dyDescent="0.3">
      <c r="B52" s="27" t="s">
        <v>299</v>
      </c>
      <c r="C52" s="30">
        <v>1</v>
      </c>
      <c r="D52" s="22">
        <f>+IF(B52="","",INDEX(F_PRESTACIONAL,MATCH(B52,L_PERSONAL,)))</f>
        <v>1.6352</v>
      </c>
      <c r="E52" s="23">
        <f>+IF(B52="","",INDEX(V_H_MANODEOBRA,MATCH(B52,L_PERSONAL,0)))</f>
        <v>22298.18181818182</v>
      </c>
      <c r="F52" s="3">
        <f>+$G$20</f>
        <v>97</v>
      </c>
      <c r="G52" s="26">
        <f>+IF(C52="","",(E52*C52)/F52)</f>
        <v>229.87816307403938</v>
      </c>
    </row>
    <row r="53" spans="2:7" x14ac:dyDescent="0.3">
      <c r="B53" s="27" t="s">
        <v>305</v>
      </c>
      <c r="C53" s="30">
        <v>1</v>
      </c>
      <c r="D53" s="22">
        <f>+IF(B53="","",INDEX(F_PRESTACIONAL,MATCH(B53,L_PERSONAL,)))</f>
        <v>2.2351999999999999</v>
      </c>
      <c r="E53" s="23">
        <f>+IF(B53="","",INDEX(V_H_MANODEOBRA,MATCH(B53,L_PERSONAL,0)))</f>
        <v>50800</v>
      </c>
      <c r="F53" s="3">
        <f>+$G$20</f>
        <v>97</v>
      </c>
      <c r="G53" s="26">
        <f>+IF(C53="","",(E53*C53)/F53)</f>
        <v>523.71134020618558</v>
      </c>
    </row>
    <row r="54" spans="2:7" x14ac:dyDescent="0.3">
      <c r="B54" s="27"/>
      <c r="C54" s="30"/>
      <c r="D54" s="22" t="str">
        <f>+IF(B54="","",INDEX(F_PRESTACIONAL,MATCH(B54,L_PERSONAL,)))</f>
        <v/>
      </c>
      <c r="E54" s="23" t="str">
        <f>+IF(B54="","",INDEX(V_H_MANODEOBRA,MATCH(B54,L_PERSONAL,0)))</f>
        <v/>
      </c>
      <c r="F54" s="3">
        <f>+$G$20</f>
        <v>97</v>
      </c>
      <c r="G54" s="26" t="str">
        <f>+IF(C54="","",(E54*C54)/F54)</f>
        <v/>
      </c>
    </row>
    <row r="55" spans="2:7" x14ac:dyDescent="0.3">
      <c r="B55" s="9"/>
      <c r="G55" s="26">
        <f>SUM(G50:G54)</f>
        <v>4217.9453720712281</v>
      </c>
    </row>
    <row r="56" spans="2:7" ht="17.25" thickBot="1" x14ac:dyDescent="0.35">
      <c r="B56" s="9"/>
      <c r="G56" s="11"/>
    </row>
    <row r="57" spans="2:7" ht="17.25" thickBot="1" x14ac:dyDescent="0.35">
      <c r="B57" s="610" t="s">
        <v>98</v>
      </c>
      <c r="C57" s="611"/>
      <c r="D57" s="611"/>
      <c r="E57" s="611"/>
      <c r="F57" s="612"/>
      <c r="G57" s="66">
        <f>+G55+G47+G39+G28</f>
        <v>8252.3996413620753</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990.28795696344901</v>
      </c>
    </row>
    <row r="61" spans="2:7" x14ac:dyDescent="0.3">
      <c r="B61" s="613" t="s">
        <v>86</v>
      </c>
      <c r="C61" s="614"/>
      <c r="D61" s="614"/>
      <c r="E61" s="614"/>
      <c r="F61" s="22">
        <f>+IMPREVISTOS</f>
        <v>0.03</v>
      </c>
      <c r="G61" s="26">
        <f>+$G$57*F61</f>
        <v>247.57198924086225</v>
      </c>
    </row>
    <row r="62" spans="2:7" x14ac:dyDescent="0.3">
      <c r="B62" s="613" t="s">
        <v>87</v>
      </c>
      <c r="C62" s="614"/>
      <c r="D62" s="614"/>
      <c r="E62" s="614"/>
      <c r="F62" s="22">
        <f>+UTILIDAD</f>
        <v>0.05</v>
      </c>
      <c r="G62" s="26">
        <f>+$G$57*F62</f>
        <v>412.61998206810381</v>
      </c>
    </row>
    <row r="63" spans="2:7" x14ac:dyDescent="0.3">
      <c r="B63" s="596" t="s">
        <v>100</v>
      </c>
      <c r="C63" s="597"/>
      <c r="D63" s="597"/>
      <c r="E63" s="597"/>
      <c r="F63" s="597"/>
      <c r="G63" s="53">
        <f>SUM(G60:G62)</f>
        <v>1650.479928272415</v>
      </c>
    </row>
    <row r="64" spans="2:7" ht="17.25" thickBot="1" x14ac:dyDescent="0.35">
      <c r="B64" s="9"/>
      <c r="G64" s="44"/>
    </row>
    <row r="65" spans="2:7" ht="17.25" thickBot="1" x14ac:dyDescent="0.35">
      <c r="B65" s="598" t="s">
        <v>101</v>
      </c>
      <c r="C65" s="599"/>
      <c r="D65" s="599"/>
      <c r="E65" s="599"/>
      <c r="F65" s="600"/>
      <c r="G65" s="65">
        <f>+G63+G57</f>
        <v>9902.8795696344896</v>
      </c>
    </row>
    <row r="66" spans="2:7" x14ac:dyDescent="0.3">
      <c r="B66" s="6"/>
      <c r="C66" s="7"/>
      <c r="D66" s="7"/>
      <c r="E66" s="7"/>
      <c r="F66" s="7"/>
      <c r="G66" s="8"/>
    </row>
    <row r="67" spans="2:7" x14ac:dyDescent="0.3">
      <c r="B67" s="9"/>
      <c r="G67" s="11"/>
    </row>
    <row r="68" spans="2:7" x14ac:dyDescent="0.3">
      <c r="B68" s="69" t="s">
        <v>123</v>
      </c>
      <c r="C68" s="67"/>
      <c r="D68" s="67"/>
      <c r="E68" s="67"/>
      <c r="F68" s="67"/>
      <c r="G68" s="70"/>
    </row>
    <row r="69" spans="2:7" x14ac:dyDescent="0.3">
      <c r="B69" s="71"/>
      <c r="C69" s="67"/>
      <c r="D69" s="67"/>
      <c r="E69" s="67"/>
      <c r="F69" s="67"/>
      <c r="G69" s="70"/>
    </row>
    <row r="70" spans="2:7" x14ac:dyDescent="0.3">
      <c r="B70" s="72"/>
      <c r="C70" s="68"/>
      <c r="D70" s="68"/>
      <c r="E70" s="68"/>
      <c r="F70" s="68"/>
      <c r="G70" s="73"/>
    </row>
    <row r="71" spans="2:7" x14ac:dyDescent="0.3">
      <c r="B71" s="71"/>
      <c r="C71" s="67"/>
      <c r="D71" s="67"/>
      <c r="E71" s="67"/>
      <c r="F71" s="67"/>
      <c r="G71" s="70"/>
    </row>
    <row r="72" spans="2:7" ht="17.25" thickBot="1" x14ac:dyDescent="0.35">
      <c r="B72" s="15"/>
      <c r="C72" s="13"/>
      <c r="D72" s="13"/>
      <c r="E72" s="13"/>
      <c r="F72" s="13"/>
      <c r="G72" s="14"/>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count="5">
    <dataValidation type="list" allowBlank="1" showInputMessage="1" showErrorMessage="1" sqref="E102" xr:uid="{3C700F9F-FF42-44BA-8F45-37207D168A7C}">
      <formula1>$A$103:$A$105</formula1>
    </dataValidation>
    <dataValidation type="list" allowBlank="1" showInputMessage="1" showErrorMessage="1" sqref="B13" xr:uid="{F3841225-037F-489B-BC69-BD99A38A4480}">
      <formula1>ITEM</formula1>
    </dataValidation>
    <dataValidation type="list" allowBlank="1" showInputMessage="1" showErrorMessage="1" sqref="B50:B54" xr:uid="{1D8D4B5C-7860-4207-BC85-D0E5A549C321}">
      <formula1>L_PERSONAL</formula1>
    </dataValidation>
    <dataValidation type="list" allowBlank="1" showInputMessage="1" showErrorMessage="1" sqref="B31:B38" xr:uid="{9E02141E-3C1F-46D6-B525-8CEDA9CC3CF1}">
      <formula1>L_MATERIALES</formula1>
    </dataValidation>
    <dataValidation type="list" allowBlank="1" showInputMessage="1" showErrorMessage="1" sqref="B23:B27 B42:B46" xr:uid="{12C04E12-DFE8-4224-8EC1-DDD4B3B07BAC}">
      <formula1>LISTA_MAQUINARIA</formula1>
    </dataValidation>
  </dataValidations>
  <pageMargins left="1.6141732283464567" right="0.70866141732283472" top="0.74803149606299213" bottom="0.74803149606299213" header="0.31496062992125984" footer="0.31496062992125984"/>
  <pageSetup scale="50" orientation="portrait" r:id="rId1"/>
  <rowBreaks count="1" manualBreakCount="1">
    <brk id="78" max="16383" man="1"/>
  </rowBreaks>
  <colBreaks count="1" manualBreakCount="1">
    <brk id="7" max="1048575" man="1"/>
  </colBreaks>
  <drawing r:id="rId2"/>
  <tableParts count="1">
    <tablePart r:id="rId3"/>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938602-1B16-4BCB-B479-77251566A7F9}">
  <sheetPr codeName="Hoja28"/>
  <dimension ref="A1:P105"/>
  <sheetViews>
    <sheetView showGridLines="0" view="pageBreakPreview" topLeftCell="A2" zoomScale="48" zoomScaleNormal="60" zoomScaleSheetLayoutView="115" workbookViewId="0">
      <selection activeCell="B1" sqref="B1:G78"/>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17</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18" t="str">
        <f>+IF($B$13="","",INDEX(DESCRIP_ITEM,MATCH($B$13,ITEM,0)))</f>
        <v>Tendido de cable  AL/XLPE/CTS/PVC/STA/PVC, 38kV 1 x 400mm2, incluye transporte en vehículo apropiado desde el centro de acopio del parque hasta el sitio de tendido, tendido dentro de la zanja, suministro e instalación de accesorios de sujeción  (Amarrres plásticos)  para formar la terna del circuito, los equipos y accesorios requeridos para el tendido técnico del cable asegurando la protección del personal y la integridad física del cable y todo lo necesario para su correcta ejecución.  Incluye prueba de medida de resistencia de aislamiento. (Nota: STA: Cable con armadura)</v>
      </c>
      <c r="C16" s="619"/>
      <c r="D16" s="619"/>
      <c r="E16" s="619"/>
      <c r="F16" s="619"/>
      <c r="G16" s="620"/>
    </row>
    <row r="17" spans="2:16" ht="60.4" customHeight="1" thickBot="1" x14ac:dyDescent="0.35">
      <c r="B17" s="621"/>
      <c r="C17" s="622"/>
      <c r="D17" s="622"/>
      <c r="E17" s="622"/>
      <c r="F17" s="622"/>
      <c r="G17" s="623"/>
    </row>
    <row r="18" spans="2:16" ht="17.25" thickBot="1" x14ac:dyDescent="0.35">
      <c r="B18" s="591"/>
      <c r="C18" s="579"/>
      <c r="D18" s="579"/>
      <c r="E18" s="579"/>
      <c r="G18" s="11"/>
    </row>
    <row r="19" spans="2:16" ht="17.25" thickBot="1" x14ac:dyDescent="0.35">
      <c r="B19" s="592"/>
      <c r="C19" s="593"/>
      <c r="D19" s="593"/>
      <c r="E19" s="593"/>
      <c r="F19" s="54" t="s">
        <v>89</v>
      </c>
      <c r="G19" s="25" t="str">
        <f>+IF(B13="","",INDEX(U_ITEM,MATCH(B13,ITEM,0)))</f>
        <v>ML</v>
      </c>
    </row>
    <row r="20" spans="2:16" ht="17.25" thickBot="1" x14ac:dyDescent="0.35">
      <c r="B20" s="592"/>
      <c r="C20" s="593"/>
      <c r="D20" s="593"/>
      <c r="E20" s="593"/>
      <c r="F20" s="55" t="s">
        <v>90</v>
      </c>
      <c r="G20" s="56">
        <v>107</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t="s">
        <v>395</v>
      </c>
      <c r="C23" s="3" t="str">
        <f>+IF(B23="","",INDEX(U_MAQUINARIA,MATCH(B23,LISTA_MAQUINARIA,0)))</f>
        <v>VALOR / HORA</v>
      </c>
      <c r="D23" s="30">
        <v>5</v>
      </c>
      <c r="E23" s="23">
        <f>+IF(B23="","",INDEX(V_MAQUINARIA,MATCH(B23,LISTA_MAQUINARIA,0)))</f>
        <v>7102.272727272727</v>
      </c>
      <c r="F23" s="3">
        <f>$G$20</f>
        <v>107</v>
      </c>
      <c r="G23" s="26">
        <f>+IF(B23="","",(D23*E23)/F23)</f>
        <v>331.88190314358536</v>
      </c>
      <c r="K23" s="9"/>
      <c r="L23" s="23">
        <f>IF(B23="","",INDEX(V_COMBUSTIBLE_H,MATCH(B23,LISTA_MAQUINARIA,0)))</f>
        <v>0</v>
      </c>
      <c r="M23" s="23">
        <f>+IF(L23="","",(L23*D23)/F23)</f>
        <v>0</v>
      </c>
      <c r="N23" s="23">
        <f>IF(G23="","",G23-M23)</f>
        <v>331.88190314358536</v>
      </c>
      <c r="P23" s="11"/>
    </row>
    <row r="24" spans="2:16" x14ac:dyDescent="0.3">
      <c r="B24" s="27" t="s">
        <v>400</v>
      </c>
      <c r="C24" s="3" t="str">
        <f>+IF(B24="","",INDEX(U_MAQUINARIA,MATCH(B24,LISTA_MAQUINARIA,0)))</f>
        <v>VALOR / HORA</v>
      </c>
      <c r="D24" s="30">
        <v>1</v>
      </c>
      <c r="E24" s="23">
        <f>+IF(B24="","",INDEX(V_MAQUINARIA,MATCH(B24,LISTA_MAQUINARIA,0)))</f>
        <v>123872.72727272728</v>
      </c>
      <c r="F24" s="3">
        <f>$G$20</f>
        <v>107</v>
      </c>
      <c r="G24" s="26">
        <f>+IF(B24="","",(D24*E24)/F24)</f>
        <v>1157.6890399320307</v>
      </c>
      <c r="K24" s="9"/>
      <c r="L24" s="3">
        <f>IF(B24="","",INDEX(V_COMBUSTIBLE_H,MATCH(B24,LISTA_MAQUINARIA,0)))</f>
        <v>21600</v>
      </c>
      <c r="M24" s="3">
        <f>+IF(L24="","",(L24*D24)/F24)</f>
        <v>201.86915887850466</v>
      </c>
      <c r="N24" s="3">
        <f>IF(G24="","",G24-M24)</f>
        <v>955.81988105352605</v>
      </c>
      <c r="P24" s="11"/>
    </row>
    <row r="25" spans="2:16" x14ac:dyDescent="0.3">
      <c r="B25" s="27"/>
      <c r="C25" s="3" t="str">
        <f>+IF(B25="","",INDEX(U_MAQUINARIA,MATCH(B25,LISTA_MAQUINARIA,0)))</f>
        <v/>
      </c>
      <c r="D25" s="30"/>
      <c r="E25" s="23" t="str">
        <f>+IF(B25="","",INDEX(V_MAQUINARIA,MATCH(B25,LISTA_MAQUINARIA,0)))</f>
        <v/>
      </c>
      <c r="F25" s="3">
        <f>$G$20</f>
        <v>107</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107</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107</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1489.570943075616</v>
      </c>
      <c r="K28" s="9"/>
      <c r="M28" s="24">
        <f>SUM(M23:M27)</f>
        <v>201.86915887850466</v>
      </c>
      <c r="N28" s="24">
        <f>SUM(N23:N27)</f>
        <v>1287.7017841971115</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t="s">
        <v>361</v>
      </c>
      <c r="C31" s="3" t="str">
        <f t="shared" ref="C31:C38" si="0">+IF(B31="","",INDEX(U_MATERIAL,MATCH(B31,L_MATERIALES,0)))</f>
        <v>UND</v>
      </c>
      <c r="D31" s="30">
        <v>1</v>
      </c>
      <c r="E31" s="23">
        <f t="shared" ref="E31:E38" si="1">+IF(B31="","",INDEX(V_UNITARIOMATERIAL,MATCH(B31,L_MATERIALES,0)))</f>
        <v>340000</v>
      </c>
      <c r="F31" s="30">
        <v>500</v>
      </c>
      <c r="G31" s="26">
        <f>IF(D31="","",(E31*D31)/F31)</f>
        <v>680</v>
      </c>
      <c r="K31" s="9"/>
      <c r="L31" t="str">
        <f>+IF(B31="","",B31)</f>
        <v>HERRAMIENTA MENOR---</v>
      </c>
      <c r="M31">
        <f t="shared" ref="M31:M38" si="2">IF(D31="","",(D31/F31)*INDEX(CANT_PROYECTO,MATCH($B$13,ITEM,0)))</f>
        <v>16.399999999999999</v>
      </c>
      <c r="N31" s="1"/>
      <c r="P31" s="11"/>
    </row>
    <row r="32" spans="2:16" x14ac:dyDescent="0.3">
      <c r="B32" s="27" t="s">
        <v>398</v>
      </c>
      <c r="C32" s="3" t="str">
        <f t="shared" si="0"/>
        <v>UND</v>
      </c>
      <c r="D32" s="30">
        <v>1</v>
      </c>
      <c r="E32" s="23">
        <f t="shared" si="1"/>
        <v>13458</v>
      </c>
      <c r="F32" s="30">
        <v>500</v>
      </c>
      <c r="G32" s="26">
        <f t="shared" ref="G32:G38" si="3">IF(D32="","",(E32*D32)/F32)</f>
        <v>26.916</v>
      </c>
      <c r="K32" s="9"/>
      <c r="L32" t="str">
        <f t="shared" ref="L32:L38" si="4">+IF(B32="","",B32)</f>
        <v>ETIQUETA PLASTICA---</v>
      </c>
      <c r="M32">
        <f t="shared" si="2"/>
        <v>16.399999999999999</v>
      </c>
      <c r="N32" s="1"/>
      <c r="P32" s="11"/>
    </row>
    <row r="33" spans="2:16" x14ac:dyDescent="0.3">
      <c r="B33" s="27" t="s">
        <v>396</v>
      </c>
      <c r="C33" s="3" t="str">
        <f t="shared" si="0"/>
        <v>UND</v>
      </c>
      <c r="D33" s="30">
        <v>1</v>
      </c>
      <c r="E33" s="23">
        <f t="shared" si="1"/>
        <v>1925.0000000000002</v>
      </c>
      <c r="F33" s="30">
        <v>3</v>
      </c>
      <c r="G33" s="26">
        <f t="shared" si="3"/>
        <v>641.66666666666674</v>
      </c>
      <c r="K33" s="9"/>
      <c r="L33" t="str">
        <f t="shared" si="4"/>
        <v>BRIDA PLASTICA UV---</v>
      </c>
      <c r="M33">
        <f t="shared" si="2"/>
        <v>2733.333333333333</v>
      </c>
      <c r="N33" s="1"/>
      <c r="P33" s="11"/>
    </row>
    <row r="34" spans="2:16" x14ac:dyDescent="0.3">
      <c r="B34" s="27"/>
      <c r="C34" s="3" t="str">
        <f t="shared" si="0"/>
        <v/>
      </c>
      <c r="D34" s="30"/>
      <c r="E34" s="23" t="str">
        <f t="shared" si="1"/>
        <v/>
      </c>
      <c r="F34" s="30"/>
      <c r="G34" s="26" t="str">
        <f t="shared" si="3"/>
        <v/>
      </c>
      <c r="K34" s="9"/>
      <c r="L34" t="str">
        <f t="shared" si="4"/>
        <v/>
      </c>
      <c r="M34" t="str">
        <f t="shared" si="2"/>
        <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1348.5826666666667</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t="s">
        <v>455</v>
      </c>
      <c r="C42" s="3">
        <f>+IF(B42="","",INDEX(U_MAQUINARIA,MATCH(B42,LISTA_MAQUINARIA,0)))</f>
        <v>0</v>
      </c>
      <c r="D42" s="30">
        <v>1</v>
      </c>
      <c r="E42" s="23">
        <f>+IF(B42="","",INDEX(V_MAQUINARIA,MATCH(B42,LISTA_MAQUINARIA,0)))</f>
        <v>101145.45454545454</v>
      </c>
      <c r="F42" s="3">
        <f>$G$20</f>
        <v>107</v>
      </c>
      <c r="G42" s="26">
        <f>IF(D42="","",(E42*D42)/F42)</f>
        <v>945.28462192013592</v>
      </c>
      <c r="K42" s="9"/>
      <c r="L42" s="23">
        <f>IF(B42="","",INDEX(V_COMBUSTIBLE_H,MATCH(B42,LISTA_MAQUINARIA,0)))</f>
        <v>21600</v>
      </c>
      <c r="M42" s="23">
        <f>+IF(L42="","",(L42*D42)/F42)</f>
        <v>201.86915887850466</v>
      </c>
      <c r="N42" s="23">
        <f>IF(G42="","",G42-M42)</f>
        <v>743.41546304163126</v>
      </c>
      <c r="P42" s="11"/>
    </row>
    <row r="43" spans="2:16" x14ac:dyDescent="0.3">
      <c r="B43" s="27"/>
      <c r="C43" s="3" t="str">
        <f>+IF(B43="","",INDEX(U_MAQUINARIA,MATCH(B43,LISTA_MAQUINARIA,0)))</f>
        <v/>
      </c>
      <c r="D43" s="30"/>
      <c r="E43" s="23" t="str">
        <f>+IF(B43="","",INDEX(V_MAQUINARIA,MATCH(B43,LISTA_MAQUINARIA,0)))</f>
        <v/>
      </c>
      <c r="F43" s="3">
        <f>+$G$20</f>
        <v>107</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107</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107</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107</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945.28462192013592</v>
      </c>
      <c r="K47" s="9"/>
      <c r="M47" s="24">
        <f>SUM(M42:M46)</f>
        <v>201.86915887850466</v>
      </c>
      <c r="N47" s="24">
        <f>SUM(N42:N46)</f>
        <v>743.41546304163126</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t="s">
        <v>298</v>
      </c>
      <c r="C50" s="30">
        <v>1</v>
      </c>
      <c r="D50" s="22">
        <f>+IF(B50="","",INDEX(F_PRESTACIONAL,MATCH(B50,L_PERSONAL,)))</f>
        <v>1.6352</v>
      </c>
      <c r="E50" s="23">
        <f>+IF(B50="","",INDEX(V_H_MANODEOBRA,MATCH(B50,L_PERSONAL,0)))</f>
        <v>40136.727272727272</v>
      </c>
      <c r="F50" s="3">
        <f>+$G$20</f>
        <v>107</v>
      </c>
      <c r="G50" s="26">
        <f>+IF(C50="","",(E50*C50)/F50)</f>
        <v>375.10960067969415</v>
      </c>
    </row>
    <row r="51" spans="2:7" x14ac:dyDescent="0.3">
      <c r="B51" s="27" t="s">
        <v>304</v>
      </c>
      <c r="C51" s="30">
        <v>12</v>
      </c>
      <c r="D51" s="22">
        <f>+IF(B51="","",INDEX(F_PRESTACIONAL,MATCH(B51,L_PERSONAL,)))</f>
        <v>1.6352</v>
      </c>
      <c r="E51" s="23">
        <f>+IF(B51="","",INDEX(V_H_MANODEOBRA,MATCH(B51,L_PERSONAL,0)))</f>
        <v>24658.815999999999</v>
      </c>
      <c r="F51" s="3">
        <f>+$G$20</f>
        <v>107</v>
      </c>
      <c r="G51" s="26">
        <f>+IF(C51="","",(E51*C51)/F51)</f>
        <v>2765.4746915887854</v>
      </c>
    </row>
    <row r="52" spans="2:7" x14ac:dyDescent="0.3">
      <c r="B52" s="27" t="s">
        <v>299</v>
      </c>
      <c r="C52" s="30">
        <v>1</v>
      </c>
      <c r="D52" s="22">
        <f>+IF(B52="","",INDEX(F_PRESTACIONAL,MATCH(B52,L_PERSONAL,)))</f>
        <v>1.6352</v>
      </c>
      <c r="E52" s="23">
        <f>+IF(B52="","",INDEX(V_H_MANODEOBRA,MATCH(B52,L_PERSONAL,0)))</f>
        <v>22298.18181818182</v>
      </c>
      <c r="F52" s="3">
        <f>+$G$20</f>
        <v>107</v>
      </c>
      <c r="G52" s="26">
        <f>+IF(C52="","",(E52*C52)/F52)</f>
        <v>208.3942225998301</v>
      </c>
    </row>
    <row r="53" spans="2:7" x14ac:dyDescent="0.3">
      <c r="B53" s="27" t="s">
        <v>305</v>
      </c>
      <c r="C53" s="30">
        <v>1</v>
      </c>
      <c r="D53" s="22">
        <f>+IF(B53="","",INDEX(F_PRESTACIONAL,MATCH(B53,L_PERSONAL,)))</f>
        <v>2.2351999999999999</v>
      </c>
      <c r="E53" s="23">
        <f>+IF(B53="","",INDEX(V_H_MANODEOBRA,MATCH(B53,L_PERSONAL,0)))</f>
        <v>50800</v>
      </c>
      <c r="F53" s="3">
        <f>+$G$20</f>
        <v>107</v>
      </c>
      <c r="G53" s="26">
        <f>+IF(C53="","",(E53*C53)/F53)</f>
        <v>474.76635514018693</v>
      </c>
    </row>
    <row r="54" spans="2:7" x14ac:dyDescent="0.3">
      <c r="B54" s="27"/>
      <c r="C54" s="30"/>
      <c r="D54" s="22" t="str">
        <f>+IF(B54="","",INDEX(F_PRESTACIONAL,MATCH(B54,L_PERSONAL,)))</f>
        <v/>
      </c>
      <c r="E54" s="23" t="str">
        <f>+IF(B54="","",INDEX(V_H_MANODEOBRA,MATCH(B54,L_PERSONAL,0)))</f>
        <v/>
      </c>
      <c r="F54" s="3">
        <f>+$G$20</f>
        <v>107</v>
      </c>
      <c r="G54" s="26" t="str">
        <f>+IF(C54="","",(E54*C54)/F54)</f>
        <v/>
      </c>
    </row>
    <row r="55" spans="2:7" x14ac:dyDescent="0.3">
      <c r="B55" s="9"/>
      <c r="G55" s="26">
        <f>SUM(G50:G54)</f>
        <v>3823.7448700084969</v>
      </c>
    </row>
    <row r="56" spans="2:7" ht="17.25" thickBot="1" x14ac:dyDescent="0.35">
      <c r="B56" s="9"/>
      <c r="G56" s="11"/>
    </row>
    <row r="57" spans="2:7" ht="17.25" thickBot="1" x14ac:dyDescent="0.35">
      <c r="B57" s="610" t="s">
        <v>98</v>
      </c>
      <c r="C57" s="611"/>
      <c r="D57" s="611"/>
      <c r="E57" s="611"/>
      <c r="F57" s="612"/>
      <c r="G57" s="66">
        <f>+G55+G47+G39+G28</f>
        <v>7607.1831016709148</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912.86197220050974</v>
      </c>
    </row>
    <row r="61" spans="2:7" x14ac:dyDescent="0.3">
      <c r="B61" s="613" t="s">
        <v>86</v>
      </c>
      <c r="C61" s="614"/>
      <c r="D61" s="614"/>
      <c r="E61" s="614"/>
      <c r="F61" s="22">
        <f>+IMPREVISTOS</f>
        <v>0.03</v>
      </c>
      <c r="G61" s="26">
        <f>+$G$57*F61</f>
        <v>228.21549305012744</v>
      </c>
    </row>
    <row r="62" spans="2:7" x14ac:dyDescent="0.3">
      <c r="B62" s="613" t="s">
        <v>87</v>
      </c>
      <c r="C62" s="614"/>
      <c r="D62" s="614"/>
      <c r="E62" s="614"/>
      <c r="F62" s="22">
        <f>+UTILIDAD</f>
        <v>0.05</v>
      </c>
      <c r="G62" s="26">
        <f>+$G$57*F62</f>
        <v>380.35915508354577</v>
      </c>
    </row>
    <row r="63" spans="2:7" x14ac:dyDescent="0.3">
      <c r="B63" s="596" t="s">
        <v>100</v>
      </c>
      <c r="C63" s="597"/>
      <c r="D63" s="597"/>
      <c r="E63" s="597"/>
      <c r="F63" s="597"/>
      <c r="G63" s="53">
        <f>SUM(G60:G62)</f>
        <v>1521.4366203341831</v>
      </c>
    </row>
    <row r="64" spans="2:7" ht="17.25" thickBot="1" x14ac:dyDescent="0.35">
      <c r="B64" s="9"/>
      <c r="G64" s="44"/>
    </row>
    <row r="65" spans="2:7" ht="17.25" thickBot="1" x14ac:dyDescent="0.35">
      <c r="B65" s="598" t="s">
        <v>101</v>
      </c>
      <c r="C65" s="599"/>
      <c r="D65" s="599"/>
      <c r="E65" s="599"/>
      <c r="F65" s="600"/>
      <c r="G65" s="65">
        <f>+G63+G57</f>
        <v>9128.6197220050981</v>
      </c>
    </row>
    <row r="66" spans="2:7" x14ac:dyDescent="0.3">
      <c r="B66" s="6"/>
      <c r="C66" s="7"/>
      <c r="D66" s="7"/>
      <c r="E66" s="7"/>
      <c r="F66" s="7"/>
      <c r="G66" s="8"/>
    </row>
    <row r="67" spans="2:7" x14ac:dyDescent="0.3">
      <c r="B67" s="9"/>
      <c r="G67" s="11"/>
    </row>
    <row r="68" spans="2:7" x14ac:dyDescent="0.3">
      <c r="B68" s="69" t="s">
        <v>123</v>
      </c>
      <c r="C68" s="67"/>
      <c r="D68" s="67"/>
      <c r="E68" s="67"/>
      <c r="F68" s="67"/>
      <c r="G68" s="70"/>
    </row>
    <row r="69" spans="2:7" x14ac:dyDescent="0.3">
      <c r="B69" s="71"/>
      <c r="C69" s="67"/>
      <c r="D69" s="67"/>
      <c r="E69" s="67"/>
      <c r="F69" s="67"/>
      <c r="G69" s="70"/>
    </row>
    <row r="70" spans="2:7" x14ac:dyDescent="0.3">
      <c r="B70" s="72"/>
      <c r="C70" s="68"/>
      <c r="D70" s="68"/>
      <c r="E70" s="68"/>
      <c r="F70" s="68"/>
      <c r="G70" s="73"/>
    </row>
    <row r="71" spans="2:7" x14ac:dyDescent="0.3">
      <c r="B71" s="71"/>
      <c r="C71" s="67"/>
      <c r="D71" s="67"/>
      <c r="E71" s="67"/>
      <c r="F71" s="67"/>
      <c r="G71" s="70"/>
    </row>
    <row r="72" spans="2:7" ht="17.25" thickBot="1" x14ac:dyDescent="0.35">
      <c r="B72" s="15"/>
      <c r="C72" s="13"/>
      <c r="D72" s="13"/>
      <c r="E72" s="13"/>
      <c r="F72" s="13"/>
      <c r="G72" s="14"/>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count="5">
    <dataValidation type="list" allowBlank="1" showInputMessage="1" showErrorMessage="1" sqref="E102" xr:uid="{949C1411-4F1B-4DFF-BAD1-9458703C8A96}">
      <formula1>$A$103:$A$105</formula1>
    </dataValidation>
    <dataValidation type="list" allowBlank="1" showInputMessage="1" showErrorMessage="1" sqref="B13" xr:uid="{6316714F-E77C-4E45-A729-E6F4BBD924E8}">
      <formula1>ITEM</formula1>
    </dataValidation>
    <dataValidation type="list" allowBlank="1" showInputMessage="1" showErrorMessage="1" sqref="B50:B54" xr:uid="{2B88A08A-5A50-4AA3-BC79-7E888CC4F050}">
      <formula1>L_PERSONAL</formula1>
    </dataValidation>
    <dataValidation type="list" allowBlank="1" showInputMessage="1" showErrorMessage="1" sqref="B31:B38" xr:uid="{51F058D8-595C-4601-B1EF-3109FCE4D204}">
      <formula1>L_MATERIALES</formula1>
    </dataValidation>
    <dataValidation type="list" allowBlank="1" showInputMessage="1" showErrorMessage="1" sqref="B23:B27 B42:B46" xr:uid="{ED10AD5B-0296-45B8-87FE-8AD82F64E12A}">
      <formula1>LISTA_MAQUINARIA</formula1>
    </dataValidation>
  </dataValidations>
  <pageMargins left="1.6141732283464567" right="0.70866141732283472" top="0.74803149606299213" bottom="0.74803149606299213" header="0.31496062992125984" footer="0.31496062992125984"/>
  <pageSetup scale="50" orientation="portrait" r:id="rId1"/>
  <rowBreaks count="1" manualBreakCount="1">
    <brk id="78" max="16383" man="1"/>
  </rowBreaks>
  <colBreaks count="1" manualBreakCount="1">
    <brk id="7" max="1048575" man="1"/>
  </colBreaks>
  <drawing r:id="rId2"/>
  <tableParts count="1">
    <tablePart r:id="rId3"/>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ED3843-CA63-4E93-8A37-DF2226205630}">
  <sheetPr codeName="Hoja29"/>
  <dimension ref="A1:P106"/>
  <sheetViews>
    <sheetView showGridLines="0" view="pageBreakPreview" zoomScale="59" zoomScaleNormal="71" workbookViewId="0">
      <selection activeCell="B1" sqref="B1:G79"/>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18</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18" t="str">
        <f>+IF($B$13="","",INDEX(DESCRIP_ITEM,MATCH($B$13,ITEM,0)))</f>
        <v>Tendido de cable AL/XLPE/CTS/PVC/STA/PVC, 38kV 1 x 185mm2, incluye transporte en vehículo apropiado desde el centro de acopio del parque hasta el sitio de tendido, tendido dentro de la zanja, suministro e instalación de accesorios de sujeción (Amarrres plásticos)  para formar la terna del circuito, los equipos y accesorios requeridos para el tendido técnico del cable asegurando la protección del personal y la integridad física del cable y todo lo necesario para su correcta ejecución. Incluye prueba de medida de resistencia de aislamiento.  (Nota: STA: Cable con armadura)</v>
      </c>
      <c r="C16" s="619"/>
      <c r="D16" s="619"/>
      <c r="E16" s="619"/>
      <c r="F16" s="619"/>
      <c r="G16" s="620"/>
    </row>
    <row r="17" spans="2:16" ht="72" customHeight="1" thickBot="1" x14ac:dyDescent="0.35">
      <c r="B17" s="621"/>
      <c r="C17" s="622"/>
      <c r="D17" s="622"/>
      <c r="E17" s="622"/>
      <c r="F17" s="622"/>
      <c r="G17" s="623"/>
    </row>
    <row r="18" spans="2:16" ht="17.25" thickBot="1" x14ac:dyDescent="0.35">
      <c r="B18" s="591"/>
      <c r="C18" s="579"/>
      <c r="D18" s="579"/>
      <c r="E18" s="579"/>
      <c r="G18" s="11"/>
    </row>
    <row r="19" spans="2:16" ht="17.25" thickBot="1" x14ac:dyDescent="0.35">
      <c r="B19" s="592"/>
      <c r="C19" s="593"/>
      <c r="D19" s="593"/>
      <c r="E19" s="593"/>
      <c r="F19" s="54" t="s">
        <v>89</v>
      </c>
      <c r="G19" s="25" t="str">
        <f>+IF(B13="","",INDEX(U_ITEM,MATCH(B13,ITEM,0)))</f>
        <v>ML</v>
      </c>
    </row>
    <row r="20" spans="2:16" ht="17.25" thickBot="1" x14ac:dyDescent="0.35">
      <c r="B20" s="592"/>
      <c r="C20" s="593"/>
      <c r="D20" s="593"/>
      <c r="E20" s="593"/>
      <c r="F20" s="55" t="s">
        <v>90</v>
      </c>
      <c r="G20" s="56">
        <v>113</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t="s">
        <v>395</v>
      </c>
      <c r="C23" s="3" t="str">
        <f>+IF(B23="","",INDEX(U_MAQUINARIA,MATCH(B23,LISTA_MAQUINARIA,0)))</f>
        <v>VALOR / HORA</v>
      </c>
      <c r="D23" s="30">
        <v>5</v>
      </c>
      <c r="E23" s="23">
        <f>+IF(B23="","",INDEX(V_MAQUINARIA,MATCH(B23,LISTA_MAQUINARIA,0)))</f>
        <v>7102.272727272727</v>
      </c>
      <c r="F23" s="3">
        <f>$G$20</f>
        <v>113</v>
      </c>
      <c r="G23" s="26">
        <f>+IF(B23="","",(D23*E23)/F23)</f>
        <v>314.25985518905867</v>
      </c>
      <c r="K23" s="9"/>
      <c r="L23" s="23">
        <f>IF(B23="","",INDEX(V_COMBUSTIBLE_H,MATCH(B23,LISTA_MAQUINARIA,0)))</f>
        <v>0</v>
      </c>
      <c r="M23" s="23">
        <f>+IF(L23="","",(L23*D23)/F23)</f>
        <v>0</v>
      </c>
      <c r="N23" s="23">
        <f>IF(G23="","",G23-M23)</f>
        <v>314.25985518905867</v>
      </c>
      <c r="P23" s="11"/>
    </row>
    <row r="24" spans="2:16" x14ac:dyDescent="0.3">
      <c r="B24" s="27" t="s">
        <v>400</v>
      </c>
      <c r="C24" s="3" t="str">
        <f>+IF(B24="","",INDEX(U_MAQUINARIA,MATCH(B24,LISTA_MAQUINARIA,0)))</f>
        <v>VALOR / HORA</v>
      </c>
      <c r="D24" s="30">
        <v>1</v>
      </c>
      <c r="E24" s="23">
        <f>+IF(B24="","",INDEX(V_MAQUINARIA,MATCH(B24,LISTA_MAQUINARIA,0)))</f>
        <v>123872.72727272728</v>
      </c>
      <c r="F24" s="3">
        <f>$G$20</f>
        <v>113</v>
      </c>
      <c r="G24" s="26">
        <f>+IF(B24="","",(D24*E24)/F24)</f>
        <v>1096.2188254223654</v>
      </c>
      <c r="K24" s="9"/>
      <c r="L24" s="3">
        <f>IF(B24="","",INDEX(V_COMBUSTIBLE_H,MATCH(B24,LISTA_MAQUINARIA,0)))</f>
        <v>21600</v>
      </c>
      <c r="M24" s="3">
        <f>+IF(L24="","",(L24*D24)/F24)</f>
        <v>191.15044247787611</v>
      </c>
      <c r="N24" s="3">
        <f>IF(G24="","",G24-M24)</f>
        <v>905.06838294448926</v>
      </c>
      <c r="P24" s="11"/>
    </row>
    <row r="25" spans="2:16" x14ac:dyDescent="0.3">
      <c r="B25" s="27"/>
      <c r="C25" s="3" t="str">
        <f>+IF(B25="","",INDEX(U_MAQUINARIA,MATCH(B25,LISTA_MAQUINARIA,0)))</f>
        <v/>
      </c>
      <c r="D25" s="30"/>
      <c r="E25" s="23" t="str">
        <f>+IF(B25="","",INDEX(V_MAQUINARIA,MATCH(B25,LISTA_MAQUINARIA,0)))</f>
        <v/>
      </c>
      <c r="F25" s="3">
        <f>$G$20</f>
        <v>113</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113</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113</v>
      </c>
      <c r="G27" s="26" t="str">
        <f>+IF(B27="","",(D27*E27)/F27)</f>
        <v/>
      </c>
      <c r="K27" s="9"/>
      <c r="L27" s="3"/>
      <c r="M27" s="3"/>
      <c r="N27" s="3"/>
      <c r="P27" s="11"/>
    </row>
    <row r="28" spans="2:16" ht="17.25" thickBot="1" x14ac:dyDescent="0.35">
      <c r="B28" s="9"/>
      <c r="G28" s="49">
        <f>+SUM(G23:G27)</f>
        <v>1410.4786806114241</v>
      </c>
      <c r="K28" s="9"/>
      <c r="L28" s="3" t="str">
        <f>IF(B28="","",INDEX(V_COMBUSTIBLE_H,MATCH(B28,LISTA_MAQUINARIA,0)))</f>
        <v/>
      </c>
      <c r="M28" s="3" t="str">
        <f>+IF(L28="","",(L28*D28)/F28)</f>
        <v/>
      </c>
      <c r="N28" s="3"/>
      <c r="P28" s="11"/>
    </row>
    <row r="29" spans="2:16" ht="17.25" thickBot="1" x14ac:dyDescent="0.35">
      <c r="B29" s="60" t="s">
        <v>95</v>
      </c>
      <c r="G29" s="11"/>
      <c r="K29" s="9"/>
      <c r="M29" s="24">
        <f>SUM(M23:M28)</f>
        <v>191.15044247787611</v>
      </c>
      <c r="N29" s="24">
        <f>SUM(N23:N28)</f>
        <v>1219.328238133548</v>
      </c>
      <c r="P29" s="11"/>
    </row>
    <row r="30" spans="2:16" x14ac:dyDescent="0.3">
      <c r="B30" s="59" t="s">
        <v>75</v>
      </c>
      <c r="C30" s="32" t="s">
        <v>10</v>
      </c>
      <c r="D30" s="32" t="s">
        <v>60</v>
      </c>
      <c r="E30" s="32" t="s">
        <v>63</v>
      </c>
      <c r="F30" s="32" t="s">
        <v>93</v>
      </c>
      <c r="G30" s="50" t="s">
        <v>85</v>
      </c>
      <c r="K30" s="9"/>
      <c r="P30" s="11"/>
    </row>
    <row r="31" spans="2:16" x14ac:dyDescent="0.3">
      <c r="B31" s="27" t="s">
        <v>361</v>
      </c>
      <c r="C31" s="3" t="str">
        <f t="shared" ref="C31:C38" si="0">+IF(B31="","",INDEX(U_MATERIAL,MATCH(B31,L_MATERIALES,0)))</f>
        <v>UND</v>
      </c>
      <c r="D31" s="30">
        <v>1</v>
      </c>
      <c r="E31" s="23">
        <f t="shared" ref="E31:E38" si="1">+IF(B31="","",INDEX(V_UNITARIOMATERIAL,MATCH(B31,L_MATERIALES,0)))</f>
        <v>340000</v>
      </c>
      <c r="F31" s="30">
        <v>500</v>
      </c>
      <c r="G31" s="26">
        <f>IF(D31="","",(E31*D31)/F31)</f>
        <v>680</v>
      </c>
      <c r="K31" s="9"/>
      <c r="L31" t="s">
        <v>16</v>
      </c>
      <c r="M31" t="s">
        <v>136</v>
      </c>
      <c r="P31" s="11"/>
    </row>
    <row r="32" spans="2:16" x14ac:dyDescent="0.3">
      <c r="B32" s="27" t="s">
        <v>398</v>
      </c>
      <c r="C32" s="3" t="str">
        <f t="shared" si="0"/>
        <v>UND</v>
      </c>
      <c r="D32" s="30">
        <v>1</v>
      </c>
      <c r="E32" s="23">
        <f t="shared" si="1"/>
        <v>13458</v>
      </c>
      <c r="F32" s="30">
        <v>500</v>
      </c>
      <c r="G32" s="26">
        <f t="shared" ref="G32:G38" si="2">IF(D32="","",(E32*D32)/F32)</f>
        <v>26.916</v>
      </c>
      <c r="K32" s="9"/>
      <c r="L32" t="str">
        <f>+IF(B32="","",B32)</f>
        <v>ETIQUETA PLASTICA---</v>
      </c>
      <c r="M32">
        <f t="shared" ref="M32:M39" si="3">IF(D32="","",(D32/F32)*INDEX(CANT_PROYECTO,MATCH($B$13,ITEM,0)))</f>
        <v>12.4</v>
      </c>
      <c r="N32" s="1"/>
      <c r="P32" s="11"/>
    </row>
    <row r="33" spans="2:16" x14ac:dyDescent="0.3">
      <c r="B33" s="27" t="s">
        <v>396</v>
      </c>
      <c r="C33" s="3" t="str">
        <f t="shared" si="0"/>
        <v>UND</v>
      </c>
      <c r="D33" s="30">
        <v>1</v>
      </c>
      <c r="E33" s="23">
        <f t="shared" si="1"/>
        <v>1925.0000000000002</v>
      </c>
      <c r="F33" s="30">
        <v>3</v>
      </c>
      <c r="G33" s="26">
        <f t="shared" si="2"/>
        <v>641.66666666666674</v>
      </c>
      <c r="K33" s="9"/>
      <c r="L33" t="str">
        <f t="shared" ref="L33:L39" si="4">+IF(B33="","",B33)</f>
        <v>BRIDA PLASTICA UV---</v>
      </c>
      <c r="M33">
        <f t="shared" si="3"/>
        <v>2066.6666666666665</v>
      </c>
      <c r="N33" s="1"/>
      <c r="P33" s="11"/>
    </row>
    <row r="34" spans="2:16" x14ac:dyDescent="0.3">
      <c r="B34" s="27"/>
      <c r="C34" s="3" t="str">
        <f t="shared" si="0"/>
        <v/>
      </c>
      <c r="D34" s="30"/>
      <c r="E34" s="23" t="str">
        <f t="shared" si="1"/>
        <v/>
      </c>
      <c r="F34" s="30"/>
      <c r="G34" s="26" t="str">
        <f t="shared" si="2"/>
        <v/>
      </c>
      <c r="K34" s="9"/>
      <c r="L34" t="str">
        <f t="shared" si="4"/>
        <v/>
      </c>
      <c r="M34" t="str">
        <f t="shared" si="3"/>
        <v/>
      </c>
      <c r="N34" s="1"/>
      <c r="P34" s="11"/>
    </row>
    <row r="35" spans="2:16" x14ac:dyDescent="0.3">
      <c r="B35" s="27"/>
      <c r="C35" s="3" t="str">
        <f t="shared" si="0"/>
        <v/>
      </c>
      <c r="D35" s="30"/>
      <c r="E35" s="23" t="str">
        <f t="shared" si="1"/>
        <v/>
      </c>
      <c r="F35" s="30"/>
      <c r="G35" s="26" t="str">
        <f t="shared" si="2"/>
        <v/>
      </c>
      <c r="K35" s="9"/>
      <c r="L35" t="str">
        <f t="shared" si="4"/>
        <v/>
      </c>
      <c r="M35" t="str">
        <f t="shared" si="3"/>
        <v/>
      </c>
      <c r="N35" s="1"/>
      <c r="P35" s="11"/>
    </row>
    <row r="36" spans="2:16" x14ac:dyDescent="0.3">
      <c r="B36" s="27"/>
      <c r="C36" s="3" t="str">
        <f t="shared" si="0"/>
        <v/>
      </c>
      <c r="D36" s="30"/>
      <c r="E36" s="23" t="str">
        <f t="shared" si="1"/>
        <v/>
      </c>
      <c r="F36" s="30"/>
      <c r="G36" s="26" t="str">
        <f t="shared" si="2"/>
        <v/>
      </c>
      <c r="K36" s="9"/>
      <c r="L36" t="str">
        <f t="shared" si="4"/>
        <v/>
      </c>
      <c r="M36" t="str">
        <f t="shared" si="3"/>
        <v/>
      </c>
      <c r="N36" s="1"/>
      <c r="P36" s="11"/>
    </row>
    <row r="37" spans="2:16" ht="13.5" customHeight="1" x14ac:dyDescent="0.3">
      <c r="B37" s="27"/>
      <c r="C37" s="3" t="str">
        <f t="shared" si="0"/>
        <v/>
      </c>
      <c r="D37" s="30"/>
      <c r="E37" s="23" t="str">
        <f t="shared" si="1"/>
        <v/>
      </c>
      <c r="F37" s="30"/>
      <c r="G37" s="26" t="str">
        <f t="shared" si="2"/>
        <v/>
      </c>
      <c r="K37" s="9"/>
      <c r="L37" t="str">
        <f t="shared" si="4"/>
        <v/>
      </c>
      <c r="M37" t="str">
        <f t="shared" si="3"/>
        <v/>
      </c>
      <c r="N37" s="1"/>
      <c r="P37" s="11"/>
    </row>
    <row r="38" spans="2:16" x14ac:dyDescent="0.3">
      <c r="B38" s="27"/>
      <c r="C38" s="3" t="str">
        <f t="shared" si="0"/>
        <v/>
      </c>
      <c r="D38" s="30"/>
      <c r="E38" s="23" t="str">
        <f t="shared" si="1"/>
        <v/>
      </c>
      <c r="F38" s="30"/>
      <c r="G38" s="26" t="str">
        <f t="shared" si="2"/>
        <v/>
      </c>
      <c r="K38" s="9"/>
      <c r="L38" t="str">
        <f t="shared" si="4"/>
        <v/>
      </c>
      <c r="M38" t="str">
        <f t="shared" si="3"/>
        <v/>
      </c>
      <c r="N38" s="1"/>
      <c r="P38" s="11"/>
    </row>
    <row r="39" spans="2:16" ht="17.25" thickBot="1" x14ac:dyDescent="0.35">
      <c r="B39" s="9"/>
      <c r="G39" s="49">
        <f>SUM(G31:G38)</f>
        <v>1348.5826666666667</v>
      </c>
      <c r="K39" s="9"/>
      <c r="L39" t="str">
        <f t="shared" si="4"/>
        <v/>
      </c>
      <c r="M39" t="str">
        <f t="shared" si="3"/>
        <v/>
      </c>
      <c r="N39" s="1"/>
      <c r="P39" s="11"/>
    </row>
    <row r="40" spans="2:16" ht="17.25" thickBot="1" x14ac:dyDescent="0.35">
      <c r="B40" s="62" t="s">
        <v>94</v>
      </c>
      <c r="G40" s="11"/>
      <c r="K40" s="9"/>
      <c r="P40" s="11"/>
    </row>
    <row r="41" spans="2:16" x14ac:dyDescent="0.3">
      <c r="B41" s="61" t="s">
        <v>75</v>
      </c>
      <c r="C41" s="33" t="s">
        <v>10</v>
      </c>
      <c r="D41" s="33" t="s">
        <v>60</v>
      </c>
      <c r="E41" s="33" t="s">
        <v>92</v>
      </c>
      <c r="F41" s="33" t="s">
        <v>93</v>
      </c>
      <c r="G41" s="51" t="s">
        <v>85</v>
      </c>
      <c r="K41" s="9"/>
      <c r="P41" s="11"/>
    </row>
    <row r="42" spans="2:16" ht="66" x14ac:dyDescent="0.3">
      <c r="B42" s="27" t="s">
        <v>455</v>
      </c>
      <c r="C42" s="3">
        <f>+IF(B42="","",INDEX(U_MAQUINARIA,MATCH(B42,LISTA_MAQUINARIA,0)))</f>
        <v>0</v>
      </c>
      <c r="D42" s="30">
        <v>1</v>
      </c>
      <c r="E42" s="23">
        <f>+IF(B42="","",INDEX(V_MAQUINARIA,MATCH(B42,LISTA_MAQUINARIA,0)))</f>
        <v>101145.45454545454</v>
      </c>
      <c r="F42" s="3">
        <f>$G$20</f>
        <v>113</v>
      </c>
      <c r="G42" s="26">
        <f>IF(D42="","",(E42*D42)/F42)</f>
        <v>895.09251810136766</v>
      </c>
      <c r="K42" s="9"/>
      <c r="L42" s="42" t="s">
        <v>109</v>
      </c>
      <c r="M42" s="42" t="s">
        <v>107</v>
      </c>
      <c r="N42" s="42" t="s">
        <v>108</v>
      </c>
      <c r="P42" s="11"/>
    </row>
    <row r="43" spans="2:16" x14ac:dyDescent="0.3">
      <c r="B43" s="27"/>
      <c r="C43" s="3" t="str">
        <f>+IF(B43="","",INDEX(U_MAQUINARIA,MATCH(B43,LISTA_MAQUINARIA,0)))</f>
        <v/>
      </c>
      <c r="D43" s="30"/>
      <c r="E43" s="23" t="str">
        <f>+IF(B43="","",INDEX(V_MAQUINARIA,MATCH(B43,LISTA_MAQUINARIA,0)))</f>
        <v/>
      </c>
      <c r="F43" s="3">
        <f>+$G$20</f>
        <v>113</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113</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113</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113</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895.09251810136766</v>
      </c>
      <c r="K47" s="9"/>
      <c r="L47" s="23" t="str">
        <f>IF(B47="","",INDEX(V_COMBUSTIBLE_H,MATCH(B47,LISTA_MAQUINARIA,0)))</f>
        <v/>
      </c>
      <c r="M47" s="23" t="str">
        <f>+IF(L47="","",(L47*D47)/F47)</f>
        <v/>
      </c>
      <c r="N47" s="23" t="e">
        <f>IF(G47="","",G47-M47)</f>
        <v>#VALUE!</v>
      </c>
      <c r="P47" s="11"/>
    </row>
    <row r="48" spans="2:16" ht="17.25" thickBot="1" x14ac:dyDescent="0.35">
      <c r="B48" s="64" t="s">
        <v>96</v>
      </c>
      <c r="G48" s="11"/>
      <c r="K48" s="9"/>
      <c r="M48" s="24">
        <f>SUM(M43:M47)</f>
        <v>0</v>
      </c>
      <c r="N48" s="24" t="e">
        <f>SUM(N43:N47)</f>
        <v>#VALUE!</v>
      </c>
      <c r="P48" s="11"/>
    </row>
    <row r="49" spans="2:16" ht="17.25" thickBot="1" x14ac:dyDescent="0.35">
      <c r="B49" s="63" t="s">
        <v>75</v>
      </c>
      <c r="C49" s="30" t="s">
        <v>60</v>
      </c>
      <c r="D49" s="30" t="s">
        <v>97</v>
      </c>
      <c r="E49" s="30" t="s">
        <v>92</v>
      </c>
      <c r="F49" s="30" t="s">
        <v>93</v>
      </c>
      <c r="G49" s="47" t="s">
        <v>85</v>
      </c>
      <c r="K49" s="15"/>
      <c r="L49" s="13"/>
      <c r="M49" s="13"/>
      <c r="N49" s="13"/>
      <c r="O49" s="13"/>
      <c r="P49" s="14"/>
    </row>
    <row r="50" spans="2:16" x14ac:dyDescent="0.3">
      <c r="B50" s="27" t="s">
        <v>298</v>
      </c>
      <c r="C50" s="30">
        <v>1</v>
      </c>
      <c r="D50" s="22">
        <f>+IF(B50="","",INDEX(F_PRESTACIONAL,MATCH(B50,L_PERSONAL,)))</f>
        <v>1.6352</v>
      </c>
      <c r="E50" s="23">
        <f>+IF(B50="","",INDEX(V_H_MANODEOBRA,MATCH(B50,L_PERSONAL,0)))</f>
        <v>40136.727272727272</v>
      </c>
      <c r="F50" s="3">
        <f>+$G$20</f>
        <v>113</v>
      </c>
      <c r="G50" s="26">
        <f>+IF(C50="","",(E50*C50)/F50)</f>
        <v>355.19227674979885</v>
      </c>
    </row>
    <row r="51" spans="2:16" x14ac:dyDescent="0.3">
      <c r="B51" s="27" t="s">
        <v>304</v>
      </c>
      <c r="C51" s="30">
        <v>12</v>
      </c>
      <c r="D51" s="22">
        <f>+IF(B51="","",INDEX(F_PRESTACIONAL,MATCH(B51,L_PERSONAL,)))</f>
        <v>1.6352</v>
      </c>
      <c r="E51" s="23">
        <f>+IF(B51="","",INDEX(V_H_MANODEOBRA,MATCH(B51,L_PERSONAL,0)))</f>
        <v>24658.815999999999</v>
      </c>
      <c r="F51" s="3">
        <f>+$G$20</f>
        <v>113</v>
      </c>
      <c r="G51" s="26">
        <f>+IF(C51="","",(E51*C51)/F51)</f>
        <v>2618.6353274336284</v>
      </c>
    </row>
    <row r="52" spans="2:16" x14ac:dyDescent="0.3">
      <c r="B52" s="27" t="s">
        <v>299</v>
      </c>
      <c r="C52" s="30">
        <v>1</v>
      </c>
      <c r="D52" s="22">
        <f>+IF(B52="","",INDEX(F_PRESTACIONAL,MATCH(B52,L_PERSONAL,)))</f>
        <v>1.6352</v>
      </c>
      <c r="E52" s="23">
        <f>+IF(B52="","",INDEX(V_H_MANODEOBRA,MATCH(B52,L_PERSONAL,0)))</f>
        <v>22298.18181818182</v>
      </c>
      <c r="F52" s="3">
        <f>+$G$20</f>
        <v>113</v>
      </c>
      <c r="G52" s="26">
        <f>+IF(C52="","",(E52*C52)/F52)</f>
        <v>197.32904263877717</v>
      </c>
    </row>
    <row r="53" spans="2:16" x14ac:dyDescent="0.3">
      <c r="B53" s="27" t="s">
        <v>305</v>
      </c>
      <c r="C53" s="30"/>
      <c r="D53" s="22">
        <f>+IF(B53="","",INDEX(F_PRESTACIONAL,MATCH(B53,L_PERSONAL,)))</f>
        <v>2.2351999999999999</v>
      </c>
      <c r="E53" s="23">
        <f>+IF(B53="","",INDEX(V_H_MANODEOBRA,MATCH(B53,L_PERSONAL,0)))</f>
        <v>50800</v>
      </c>
      <c r="F53" s="3">
        <f>+$G$20</f>
        <v>113</v>
      </c>
      <c r="G53" s="26" t="str">
        <f>+IF(C53="","",(E53*C53)/F53)</f>
        <v/>
      </c>
    </row>
    <row r="54" spans="2:16" x14ac:dyDescent="0.3">
      <c r="B54" s="27"/>
      <c r="C54" s="30"/>
      <c r="D54" s="22" t="str">
        <f>+IF(B54="","",INDEX(F_PRESTACIONAL,MATCH(B54,L_PERSONAL,)))</f>
        <v/>
      </c>
      <c r="E54" s="23" t="str">
        <f>+IF(B54="","",INDEX(V_H_MANODEOBRA,MATCH(B54,L_PERSONAL,0)))</f>
        <v/>
      </c>
      <c r="F54" s="3">
        <f>+$G$20</f>
        <v>113</v>
      </c>
      <c r="G54" s="26" t="str">
        <f>+IF(C54="","",(E54*C54)/F54)</f>
        <v/>
      </c>
    </row>
    <row r="55" spans="2:16" x14ac:dyDescent="0.3">
      <c r="B55" s="9"/>
      <c r="G55" s="26">
        <f>SUM(G50:G54)</f>
        <v>3171.1566468222045</v>
      </c>
    </row>
    <row r="56" spans="2:16" x14ac:dyDescent="0.3">
      <c r="B56" s="9"/>
      <c r="G56" s="26">
        <f>SUM(G50:G54)</f>
        <v>3171.1566468222045</v>
      </c>
    </row>
    <row r="57" spans="2:16" ht="17.25" thickBot="1" x14ac:dyDescent="0.35">
      <c r="B57" s="9"/>
      <c r="G57" s="11"/>
    </row>
    <row r="58" spans="2:16" ht="17.25" thickBot="1" x14ac:dyDescent="0.35">
      <c r="B58" s="610" t="s">
        <v>98</v>
      </c>
      <c r="C58" s="611"/>
      <c r="D58" s="611"/>
      <c r="E58" s="611"/>
      <c r="F58" s="612"/>
      <c r="G58" s="66">
        <f>+G56+G47+G39+G28</f>
        <v>6825.3105122016632</v>
      </c>
    </row>
    <row r="59" spans="2:16" x14ac:dyDescent="0.3">
      <c r="B59" s="9"/>
      <c r="G59" s="11"/>
    </row>
    <row r="60" spans="2:16" x14ac:dyDescent="0.3">
      <c r="B60" s="52" t="s">
        <v>122</v>
      </c>
      <c r="G60" s="11"/>
    </row>
    <row r="61" spans="2:16" x14ac:dyDescent="0.3">
      <c r="B61" s="613" t="s">
        <v>99</v>
      </c>
      <c r="C61" s="614"/>
      <c r="D61" s="614"/>
      <c r="E61" s="614"/>
      <c r="F61" s="22">
        <f>+ADMINISTRACION</f>
        <v>0.12</v>
      </c>
      <c r="G61" s="26">
        <f>+$G$58*F61</f>
        <v>819.03726146419956</v>
      </c>
    </row>
    <row r="62" spans="2:16" x14ac:dyDescent="0.3">
      <c r="B62" s="613" t="s">
        <v>86</v>
      </c>
      <c r="C62" s="614"/>
      <c r="D62" s="614"/>
      <c r="E62" s="614"/>
      <c r="F62" s="22">
        <f>+IMPREVISTOS</f>
        <v>0.03</v>
      </c>
      <c r="G62" s="26">
        <f>+$G$58*F62</f>
        <v>204.75931536604989</v>
      </c>
    </row>
    <row r="63" spans="2:16" x14ac:dyDescent="0.3">
      <c r="B63" s="613" t="s">
        <v>87</v>
      </c>
      <c r="C63" s="614"/>
      <c r="D63" s="614"/>
      <c r="E63" s="614"/>
      <c r="F63" s="22">
        <f>+UTILIDAD</f>
        <v>0.05</v>
      </c>
      <c r="G63" s="26">
        <f>+$G$58*F63</f>
        <v>341.26552561008316</v>
      </c>
    </row>
    <row r="64" spans="2:16" x14ac:dyDescent="0.3">
      <c r="B64" s="596" t="s">
        <v>100</v>
      </c>
      <c r="C64" s="597"/>
      <c r="D64" s="597"/>
      <c r="E64" s="597"/>
      <c r="F64" s="597"/>
      <c r="G64" s="53">
        <f>SUM(G61:G63)</f>
        <v>1365.0621024403326</v>
      </c>
    </row>
    <row r="65" spans="2:7" ht="17.25" thickBot="1" x14ac:dyDescent="0.35">
      <c r="B65" s="9"/>
      <c r="G65" s="44"/>
    </row>
    <row r="66" spans="2:7" ht="17.25" thickBot="1" x14ac:dyDescent="0.35">
      <c r="B66" s="598" t="s">
        <v>101</v>
      </c>
      <c r="C66" s="599"/>
      <c r="D66" s="599"/>
      <c r="E66" s="599"/>
      <c r="F66" s="600"/>
      <c r="G66" s="65">
        <f>+G64+G58</f>
        <v>8190.3726146419958</v>
      </c>
    </row>
    <row r="67" spans="2:7" x14ac:dyDescent="0.3">
      <c r="B67" s="6"/>
      <c r="C67" s="7"/>
      <c r="D67" s="7"/>
      <c r="E67" s="7"/>
      <c r="F67" s="7"/>
      <c r="G67" s="8"/>
    </row>
    <row r="68" spans="2:7" x14ac:dyDescent="0.3">
      <c r="B68" s="9"/>
      <c r="G68" s="11"/>
    </row>
    <row r="69" spans="2:7" x14ac:dyDescent="0.3">
      <c r="B69" s="69" t="s">
        <v>123</v>
      </c>
      <c r="C69" s="67"/>
      <c r="D69" s="67"/>
      <c r="E69" s="67"/>
      <c r="F69" s="67"/>
      <c r="G69" s="70"/>
    </row>
    <row r="70" spans="2:7" x14ac:dyDescent="0.3">
      <c r="B70" s="71"/>
      <c r="C70" s="67"/>
      <c r="D70" s="67"/>
      <c r="E70" s="67"/>
      <c r="F70" s="67"/>
      <c r="G70" s="70"/>
    </row>
    <row r="71" spans="2:7" x14ac:dyDescent="0.3">
      <c r="B71" s="72"/>
      <c r="C71" s="68"/>
      <c r="D71" s="68"/>
      <c r="E71" s="68"/>
      <c r="F71" s="68"/>
      <c r="G71" s="73"/>
    </row>
    <row r="72" spans="2:7" x14ac:dyDescent="0.3">
      <c r="B72" s="71"/>
      <c r="C72" s="67"/>
      <c r="D72" s="67"/>
      <c r="E72" s="67"/>
      <c r="F72" s="67"/>
      <c r="G72" s="70"/>
    </row>
    <row r="73" spans="2:7" ht="17.25" thickBot="1" x14ac:dyDescent="0.35">
      <c r="B73" s="15"/>
      <c r="C73" s="13"/>
      <c r="D73" s="13"/>
      <c r="E73" s="13"/>
      <c r="F73" s="13"/>
      <c r="G73" s="14"/>
    </row>
    <row r="74" spans="2:7" x14ac:dyDescent="0.3">
      <c r="B74" s="591"/>
      <c r="C74" s="579"/>
      <c r="D74" s="579"/>
      <c r="E74" s="579"/>
      <c r="F74" s="579"/>
      <c r="G74" s="580"/>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x14ac:dyDescent="0.3">
      <c r="B78" s="592"/>
      <c r="C78" s="593"/>
      <c r="D78" s="593"/>
      <c r="E78" s="593"/>
      <c r="F78" s="593"/>
      <c r="G78" s="594"/>
    </row>
    <row r="79" spans="2:7" ht="17.25" thickBot="1" x14ac:dyDescent="0.35">
      <c r="B79" s="595"/>
      <c r="C79" s="581"/>
      <c r="D79" s="581"/>
      <c r="E79" s="581"/>
      <c r="F79" s="581"/>
      <c r="G79" s="582"/>
    </row>
    <row r="104" spans="1:1" ht="112.5" customHeight="1" x14ac:dyDescent="0.3">
      <c r="A104" s="45"/>
    </row>
    <row r="105" spans="1:1" ht="112.5" customHeight="1" x14ac:dyDescent="0.3">
      <c r="A105" s="45"/>
    </row>
    <row r="106" spans="1:1" ht="67.5" customHeight="1" x14ac:dyDescent="0.3">
      <c r="A106" t="s">
        <v>130</v>
      </c>
    </row>
  </sheetData>
  <mergeCells count="17">
    <mergeCell ref="B61:E61"/>
    <mergeCell ref="B1:G1"/>
    <mergeCell ref="B2:G2"/>
    <mergeCell ref="B3:G3"/>
    <mergeCell ref="B4:G4"/>
    <mergeCell ref="B11:G11"/>
    <mergeCell ref="C12:G13"/>
    <mergeCell ref="B14:G14"/>
    <mergeCell ref="B15:G15"/>
    <mergeCell ref="B16:G17"/>
    <mergeCell ref="B18:E20"/>
    <mergeCell ref="B58:F58"/>
    <mergeCell ref="B62:E62"/>
    <mergeCell ref="B63:E63"/>
    <mergeCell ref="B64:F64"/>
    <mergeCell ref="B66:F66"/>
    <mergeCell ref="B74:G79"/>
  </mergeCells>
  <phoneticPr fontId="42" type="noConversion"/>
  <dataValidations count="5">
    <dataValidation type="list" allowBlank="1" showInputMessage="1" showErrorMessage="1" sqref="E103" xr:uid="{9FC81922-5C38-4A19-ACF5-8885F8AAE062}">
      <formula1>$A$104:$A$106</formula1>
    </dataValidation>
    <dataValidation type="list" allowBlank="1" showInputMessage="1" showErrorMessage="1" sqref="B13" xr:uid="{BB408F3D-AE75-48EE-8220-7FC97983FE5B}">
      <formula1>ITEM</formula1>
    </dataValidation>
    <dataValidation type="list" allowBlank="1" showInputMessage="1" showErrorMessage="1" sqref="B50:B54" xr:uid="{7D7883BD-B879-47ED-AC13-367976D37FDF}">
      <formula1>L_PERSONAL</formula1>
    </dataValidation>
    <dataValidation type="list" allowBlank="1" showInputMessage="1" showErrorMessage="1" sqref="B31:B38" xr:uid="{4C77A16D-7A23-41E2-B57C-08E1F1239223}">
      <formula1>L_MATERIALES</formula1>
    </dataValidation>
    <dataValidation type="list" allowBlank="1" showInputMessage="1" showErrorMessage="1" sqref="B23:B27 B42:B46" xr:uid="{03BD4D5A-757A-40F4-ABD9-4420882EACB1}">
      <formula1>LISTA_MAQUINARIA</formula1>
    </dataValidation>
  </dataValidations>
  <pageMargins left="1.6141732283464567" right="0.70866141732283472" top="0.74803149606299213" bottom="0.74803149606299213" header="0.31496062992125984" footer="0.31496062992125984"/>
  <pageSetup scale="50" orientation="portrait" r:id="rId1"/>
  <rowBreaks count="1" manualBreakCount="1">
    <brk id="79" max="16383" man="1"/>
  </rowBreaks>
  <colBreaks count="1" manualBreakCount="1">
    <brk id="7" max="1048575" man="1"/>
  </colBreaks>
  <drawing r:id="rId2"/>
  <tableParts count="1">
    <tablePart r:id="rId3"/>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E337C4-78F5-4C91-942C-96B7E66ADDAA}">
  <sheetPr codeName="Hoja30"/>
  <dimension ref="A1:P104"/>
  <sheetViews>
    <sheetView showGridLines="0" view="pageBreakPreview" zoomScale="59" zoomScaleNormal="63" zoomScaleSheetLayoutView="64" workbookViewId="0">
      <selection activeCell="B1" sqref="B1:G78"/>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19</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18" t="str">
        <f>+IF($B$13="","",INDEX(DESCRIP_ITEM,MATCH($B$13,ITEM,0)))</f>
        <v>Tendido AL/XLPE/PVC/STA/PVC, 2kV 1 x 400mm2, incluye transporte del carrete en vehículo apropiado desde el centro de acopio del parque hasta el sitio de tendido, tendido dentro de la zanja, suministro e instalación de accesorios de sujeción (Amarrres plásticos)  para formar la terna del circuito, los equipos y accesorios requeridos para el tendido técnico del cable asegurando la protección del personal y la integridad física del cable y todo lo necesario para su correcta ejecución. Incluye prueba de medida de resistencia de aislamiento.   (Nota: STA: Cable con armadura)</v>
      </c>
      <c r="C16" s="619"/>
      <c r="D16" s="619"/>
      <c r="E16" s="619"/>
      <c r="F16" s="619"/>
      <c r="G16" s="620"/>
    </row>
    <row r="17" spans="2:16" ht="107.65" customHeight="1" thickBot="1" x14ac:dyDescent="0.35">
      <c r="B17" s="621"/>
      <c r="C17" s="622"/>
      <c r="D17" s="622"/>
      <c r="E17" s="622"/>
      <c r="F17" s="622"/>
      <c r="G17" s="623"/>
    </row>
    <row r="18" spans="2:16" ht="17.25" thickBot="1" x14ac:dyDescent="0.35">
      <c r="B18" s="591"/>
      <c r="C18" s="579"/>
      <c r="D18" s="579"/>
      <c r="E18" s="579"/>
      <c r="G18" s="11"/>
    </row>
    <row r="19" spans="2:16" ht="17.25" thickBot="1" x14ac:dyDescent="0.35">
      <c r="B19" s="592"/>
      <c r="C19" s="593"/>
      <c r="D19" s="593"/>
      <c r="E19" s="593"/>
      <c r="F19" s="54" t="s">
        <v>89</v>
      </c>
      <c r="G19" s="25" t="str">
        <f>+IF(B13="","",INDEX(U_ITEM,MATCH(B13,ITEM,0)))</f>
        <v>ML</v>
      </c>
    </row>
    <row r="20" spans="2:16" ht="17.25" thickBot="1" x14ac:dyDescent="0.35">
      <c r="B20" s="592"/>
      <c r="C20" s="593"/>
      <c r="D20" s="593"/>
      <c r="E20" s="593"/>
      <c r="F20" s="55" t="s">
        <v>90</v>
      </c>
      <c r="G20" s="56">
        <v>165</v>
      </c>
      <c r="H20">
        <f>G20*8</f>
        <v>1320</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c r="K22" s="9"/>
      <c r="L22" s="42" t="s">
        <v>109</v>
      </c>
      <c r="M22" s="42" t="s">
        <v>107</v>
      </c>
      <c r="N22" s="42" t="s">
        <v>108</v>
      </c>
      <c r="P22" s="11"/>
    </row>
    <row r="23" spans="2:16" x14ac:dyDescent="0.3">
      <c r="B23" s="27" t="s">
        <v>395</v>
      </c>
      <c r="C23" s="3" t="str">
        <f>+IF(B23="","",INDEX(U_MAQUINARIA,MATCH(B23,LISTA_MAQUINARIA,0)))</f>
        <v>VALOR / HORA</v>
      </c>
      <c r="D23" s="30">
        <v>5</v>
      </c>
      <c r="E23" s="23">
        <f>+IF(B23="","",INDEX(V_MAQUINARIA,MATCH(B23,LISTA_MAQUINARIA,0)))</f>
        <v>7102.272727272727</v>
      </c>
      <c r="F23" s="3">
        <f>$G$20</f>
        <v>165</v>
      </c>
      <c r="G23" s="26">
        <f>+IF(B23="","",(D23*E23)/F23)</f>
        <v>215.22038567493109</v>
      </c>
      <c r="K23" s="9"/>
      <c r="L23" s="23">
        <f>IF(B23="","",INDEX(V_COMBUSTIBLE_H,MATCH(B23,LISTA_MAQUINARIA,0)))</f>
        <v>0</v>
      </c>
      <c r="M23" s="23">
        <f>+IF(L23="","",(L23*D23)/F23)</f>
        <v>0</v>
      </c>
      <c r="N23" s="23">
        <f>IF(G23="","",G23-M23)</f>
        <v>215.22038567493109</v>
      </c>
      <c r="P23" s="11"/>
    </row>
    <row r="24" spans="2:16" x14ac:dyDescent="0.3">
      <c r="B24" s="27" t="s">
        <v>400</v>
      </c>
      <c r="C24" s="3" t="str">
        <f>+IF(B24="","",INDEX(U_MAQUINARIA,MATCH(B24,LISTA_MAQUINARIA,0)))</f>
        <v>VALOR / HORA</v>
      </c>
      <c r="D24" s="30">
        <v>1</v>
      </c>
      <c r="E24" s="23">
        <f>+IF(B24="","",INDEX(V_MAQUINARIA,MATCH(B24,LISTA_MAQUINARIA,0)))</f>
        <v>123872.72727272728</v>
      </c>
      <c r="F24" s="3">
        <f>$G$20</f>
        <v>165</v>
      </c>
      <c r="G24" s="26">
        <f>+IF(B24="","",(D24*E24)/F24)</f>
        <v>750.74380165289256</v>
      </c>
      <c r="K24" s="9"/>
      <c r="L24" s="3">
        <f>IF(B24="","",INDEX(V_COMBUSTIBLE_H,MATCH(B24,LISTA_MAQUINARIA,0)))</f>
        <v>21600</v>
      </c>
      <c r="M24" s="3">
        <f>+IF(L24="","",(L24*D24)/F24)</f>
        <v>130.90909090909091</v>
      </c>
      <c r="N24" s="3">
        <f>IF(G24="","",G24-M24)</f>
        <v>619.83471074380168</v>
      </c>
      <c r="P24" s="11"/>
    </row>
    <row r="25" spans="2:16" x14ac:dyDescent="0.3">
      <c r="B25" s="27"/>
      <c r="C25" s="3" t="str">
        <f>+IF(B25="","",INDEX(U_MAQUINARIA,MATCH(B25,LISTA_MAQUINARIA,0)))</f>
        <v/>
      </c>
      <c r="D25" s="30"/>
      <c r="E25" s="23" t="str">
        <f>+IF(B25="","",INDEX(V_MAQUINARIA,MATCH(B25,LISTA_MAQUINARIA,0)))</f>
        <v/>
      </c>
      <c r="F25" s="3">
        <f>$G$20</f>
        <v>165</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165</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165</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965.96418732782365</v>
      </c>
      <c r="K28" s="9"/>
      <c r="M28" s="24">
        <f>SUM(M23:M27)</f>
        <v>130.90909090909091</v>
      </c>
      <c r="N28" s="24">
        <f>SUM(N23:N27)</f>
        <v>835.05509641873277</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t="s">
        <v>361</v>
      </c>
      <c r="C31" s="3" t="str">
        <f t="shared" ref="C31:C38" si="0">+IF(B31="","",INDEX(U_MATERIAL,MATCH(B31,L_MATERIALES,0)))</f>
        <v>UND</v>
      </c>
      <c r="D31" s="30">
        <v>1</v>
      </c>
      <c r="E31" s="23">
        <f t="shared" ref="E31:E38" si="1">+IF(B31="","",INDEX(V_UNITARIOMATERIAL,MATCH(B31,L_MATERIALES,0)))</f>
        <v>340000</v>
      </c>
      <c r="F31" s="30">
        <v>500</v>
      </c>
      <c r="G31" s="26">
        <f>IF(D31="","",(E31*D31)/F31)</f>
        <v>680</v>
      </c>
      <c r="K31" s="9"/>
      <c r="L31" t="str">
        <f>+IF(B31="","",B31)</f>
        <v>HERRAMIENTA MENOR---</v>
      </c>
      <c r="M31">
        <f t="shared" ref="M31:M38" si="2">IF(D31="","",(D31/F31)*INDEX(CANT_PROYECTO,MATCH($B$13,ITEM,0)))</f>
        <v>422.29599999999999</v>
      </c>
      <c r="N31" s="1"/>
      <c r="P31" s="11"/>
    </row>
    <row r="32" spans="2:16" x14ac:dyDescent="0.3">
      <c r="B32" s="27" t="s">
        <v>398</v>
      </c>
      <c r="C32" s="3" t="str">
        <f t="shared" si="0"/>
        <v>UND</v>
      </c>
      <c r="D32" s="30">
        <v>1</v>
      </c>
      <c r="E32" s="23">
        <f t="shared" si="1"/>
        <v>13458</v>
      </c>
      <c r="F32" s="30">
        <v>500</v>
      </c>
      <c r="G32" s="26">
        <f t="shared" ref="G32:G38" si="3">IF(D32="","",(E32*D32)/F32)</f>
        <v>26.916</v>
      </c>
      <c r="K32" s="9"/>
      <c r="L32" t="str">
        <f t="shared" ref="L32:L38" si="4">+IF(B32="","",B32)</f>
        <v>ETIQUETA PLASTICA---</v>
      </c>
      <c r="M32">
        <f t="shared" si="2"/>
        <v>422.29599999999999</v>
      </c>
      <c r="N32" s="1"/>
      <c r="P32" s="11"/>
    </row>
    <row r="33" spans="2:16" x14ac:dyDescent="0.3">
      <c r="B33" s="27" t="s">
        <v>396</v>
      </c>
      <c r="C33" s="3" t="str">
        <f t="shared" si="0"/>
        <v>UND</v>
      </c>
      <c r="D33" s="30">
        <v>1</v>
      </c>
      <c r="E33" s="23">
        <f t="shared" si="1"/>
        <v>1925.0000000000002</v>
      </c>
      <c r="F33" s="30">
        <v>3</v>
      </c>
      <c r="G33" s="26">
        <f t="shared" si="3"/>
        <v>641.66666666666674</v>
      </c>
      <c r="K33" s="9"/>
      <c r="L33" t="str">
        <f t="shared" si="4"/>
        <v>BRIDA PLASTICA UV---</v>
      </c>
      <c r="M33">
        <f t="shared" si="2"/>
        <v>70382.666666666657</v>
      </c>
      <c r="N33" s="1"/>
      <c r="P33" s="11"/>
    </row>
    <row r="34" spans="2:16" x14ac:dyDescent="0.3">
      <c r="B34" s="27"/>
      <c r="C34" s="3" t="str">
        <f t="shared" si="0"/>
        <v/>
      </c>
      <c r="D34" s="30"/>
      <c r="E34" s="23" t="str">
        <f t="shared" si="1"/>
        <v/>
      </c>
      <c r="F34" s="30"/>
      <c r="G34" s="26" t="str">
        <f t="shared" si="3"/>
        <v/>
      </c>
      <c r="K34" s="9"/>
      <c r="L34" t="str">
        <f t="shared" si="4"/>
        <v/>
      </c>
      <c r="M34" t="str">
        <f t="shared" si="2"/>
        <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1348.5826666666667</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t="s">
        <v>455</v>
      </c>
      <c r="C42" s="3">
        <f>+IF(B42="","",INDEX(U_MAQUINARIA,MATCH(B42,LISTA_MAQUINARIA,0)))</f>
        <v>0</v>
      </c>
      <c r="D42" s="30">
        <v>1</v>
      </c>
      <c r="E42" s="23">
        <f>+IF(B42="","",INDEX(V_MAQUINARIA,MATCH(B42,LISTA_MAQUINARIA,0)))</f>
        <v>101145.45454545454</v>
      </c>
      <c r="F42" s="3">
        <f>$G$20</f>
        <v>165</v>
      </c>
      <c r="G42" s="26">
        <f>IF(D42="","",(E42*D42)/F42)</f>
        <v>613.00275482093662</v>
      </c>
      <c r="K42" s="9"/>
      <c r="L42" s="23">
        <f>IF(B42="","",INDEX(V_COMBUSTIBLE_H,MATCH(B42,LISTA_MAQUINARIA,0)))</f>
        <v>21600</v>
      </c>
      <c r="M42" s="23">
        <f>+IF(L42="","",(L42*D42)/F42)</f>
        <v>130.90909090909091</v>
      </c>
      <c r="N42" s="23">
        <f>IF(G42="","",G42-M42)</f>
        <v>482.09366391184574</v>
      </c>
      <c r="P42" s="11"/>
    </row>
    <row r="43" spans="2:16" x14ac:dyDescent="0.3">
      <c r="B43" s="27"/>
      <c r="C43" s="3" t="str">
        <f>+IF(B43="","",INDEX(U_MAQUINARIA,MATCH(B43,LISTA_MAQUINARIA,0)))</f>
        <v/>
      </c>
      <c r="D43" s="30"/>
      <c r="E43" s="23" t="str">
        <f>+IF(B43="","",INDEX(V_MAQUINARIA,MATCH(B43,LISTA_MAQUINARIA,0)))</f>
        <v/>
      </c>
      <c r="F43" s="3">
        <f>+$G$20</f>
        <v>165</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165</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165</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165</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613.00275482093662</v>
      </c>
      <c r="K47" s="9"/>
      <c r="M47" s="24">
        <f>SUM(M42:M46)</f>
        <v>130.90909090909091</v>
      </c>
      <c r="N47" s="24">
        <f>SUM(N42:N46)</f>
        <v>482.09366391184574</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t="s">
        <v>298</v>
      </c>
      <c r="C50" s="30">
        <v>1</v>
      </c>
      <c r="D50" s="22">
        <f>+IF(B50="","",INDEX(F_PRESTACIONAL,MATCH(B50,L_PERSONAL,)))</f>
        <v>1.6352</v>
      </c>
      <c r="E50" s="23">
        <f>+IF(B50="","",INDEX(V_H_MANODEOBRA,MATCH(B50,L_PERSONAL,0)))</f>
        <v>40136.727272727272</v>
      </c>
      <c r="F50" s="3">
        <f>+$G$20</f>
        <v>165</v>
      </c>
      <c r="G50" s="26">
        <f>+IF(C50="","",(E50*C50)/F50)</f>
        <v>243.25289256198346</v>
      </c>
    </row>
    <row r="51" spans="2:7" x14ac:dyDescent="0.3">
      <c r="B51" s="27" t="s">
        <v>304</v>
      </c>
      <c r="C51" s="30">
        <v>12</v>
      </c>
      <c r="D51" s="22">
        <f>+IF(B51="","",INDEX(F_PRESTACIONAL,MATCH(B51,L_PERSONAL,)))</f>
        <v>1.6352</v>
      </c>
      <c r="E51" s="23">
        <f>+IF(B51="","",INDEX(V_H_MANODEOBRA,MATCH(B51,L_PERSONAL,0)))</f>
        <v>24658.815999999999</v>
      </c>
      <c r="F51" s="3">
        <f>+$G$20</f>
        <v>165</v>
      </c>
      <c r="G51" s="26">
        <f>+IF(C51="","",(E51*C51)/F51)</f>
        <v>1793.3684363636364</v>
      </c>
    </row>
    <row r="52" spans="2:7" x14ac:dyDescent="0.3">
      <c r="B52" s="27" t="s">
        <v>299</v>
      </c>
      <c r="C52" s="30">
        <v>1</v>
      </c>
      <c r="D52" s="22">
        <f>+IF(B52="","",INDEX(F_PRESTACIONAL,MATCH(B52,L_PERSONAL,)))</f>
        <v>1.6352</v>
      </c>
      <c r="E52" s="23">
        <f>+IF(B52="","",INDEX(V_H_MANODEOBRA,MATCH(B52,L_PERSONAL,0)))</f>
        <v>22298.18181818182</v>
      </c>
      <c r="F52" s="3">
        <f>+$G$20</f>
        <v>165</v>
      </c>
      <c r="G52" s="26">
        <f>+IF(C52="","",(E52*C52)/F52)</f>
        <v>135.14049586776861</v>
      </c>
    </row>
    <row r="53" spans="2:7" x14ac:dyDescent="0.3">
      <c r="B53" s="27" t="s">
        <v>357</v>
      </c>
      <c r="C53" s="30">
        <v>1</v>
      </c>
      <c r="D53" s="22">
        <f>+IF(B53="","",INDEX(F_PRESTACIONAL,MATCH(B53,L_PERSONAL,)))</f>
        <v>1.6352</v>
      </c>
      <c r="E53" s="23">
        <f>+IF(B53="","",INDEX(V_H_MANODEOBRA,MATCH(B53,L_PERSONAL,0)))</f>
        <v>24658.815999999999</v>
      </c>
      <c r="F53" s="3">
        <f>+$G$20</f>
        <v>165</v>
      </c>
      <c r="G53" s="26">
        <f>+IF(C53="","",(E53*C53)/F53)</f>
        <v>149.4473696969697</v>
      </c>
    </row>
    <row r="54" spans="2:7" x14ac:dyDescent="0.3">
      <c r="B54" s="27" t="s">
        <v>305</v>
      </c>
      <c r="C54" s="30">
        <v>1</v>
      </c>
      <c r="D54" s="22">
        <f>+IF(B54="","",INDEX(F_PRESTACIONAL,MATCH(B54,L_PERSONAL,)))</f>
        <v>2.2351999999999999</v>
      </c>
      <c r="E54" s="23">
        <f>+IF(B54="","",INDEX(V_H_MANODEOBRA,MATCH(B54,L_PERSONAL,0)))</f>
        <v>50800</v>
      </c>
      <c r="F54" s="3">
        <f>+$G$20</f>
        <v>165</v>
      </c>
      <c r="G54" s="26">
        <f>+IF(C54="","",(E54*C54)/F54)</f>
        <v>307.87878787878788</v>
      </c>
    </row>
    <row r="55" spans="2:7" ht="17.25" thickBot="1" x14ac:dyDescent="0.35">
      <c r="B55" s="9"/>
      <c r="G55" s="26">
        <f>SUM(G50:G54)</f>
        <v>2629.0879823691462</v>
      </c>
    </row>
    <row r="56" spans="2:7" ht="17.25" thickBot="1" x14ac:dyDescent="0.35">
      <c r="B56" s="610" t="s">
        <v>98</v>
      </c>
      <c r="C56" s="611"/>
      <c r="D56" s="611"/>
      <c r="E56" s="611"/>
      <c r="F56" s="612"/>
      <c r="G56" s="66">
        <f>+G55+G47+G39+G28</f>
        <v>5556.6375911845735</v>
      </c>
    </row>
    <row r="57" spans="2:7" x14ac:dyDescent="0.3">
      <c r="B57" s="9"/>
      <c r="G57" s="11"/>
    </row>
    <row r="58" spans="2:7" x14ac:dyDescent="0.3">
      <c r="B58" s="52" t="s">
        <v>122</v>
      </c>
      <c r="G58" s="11"/>
    </row>
    <row r="59" spans="2:7" x14ac:dyDescent="0.3">
      <c r="B59" s="613" t="s">
        <v>99</v>
      </c>
      <c r="C59" s="614"/>
      <c r="D59" s="614"/>
      <c r="E59" s="614"/>
      <c r="F59" s="22">
        <f>+ADMINISTRACION</f>
        <v>0.12</v>
      </c>
      <c r="G59" s="26">
        <f>+$G$56*F59</f>
        <v>666.79651094214876</v>
      </c>
    </row>
    <row r="60" spans="2:7" x14ac:dyDescent="0.3">
      <c r="B60" s="613" t="s">
        <v>86</v>
      </c>
      <c r="C60" s="614"/>
      <c r="D60" s="614"/>
      <c r="E60" s="614"/>
      <c r="F60" s="22">
        <f>+IMPREVISTOS</f>
        <v>0.03</v>
      </c>
      <c r="G60" s="26">
        <f>+$G$56*F60</f>
        <v>166.69912773553719</v>
      </c>
    </row>
    <row r="61" spans="2:7" x14ac:dyDescent="0.3">
      <c r="B61" s="613" t="s">
        <v>87</v>
      </c>
      <c r="C61" s="614"/>
      <c r="D61" s="614"/>
      <c r="E61" s="614"/>
      <c r="F61" s="22">
        <f>+UTILIDAD</f>
        <v>0.05</v>
      </c>
      <c r="G61" s="26">
        <f>+$G$56*F61</f>
        <v>277.8318795592287</v>
      </c>
    </row>
    <row r="62" spans="2:7" x14ac:dyDescent="0.3">
      <c r="B62" s="596" t="s">
        <v>100</v>
      </c>
      <c r="C62" s="597"/>
      <c r="D62" s="597"/>
      <c r="E62" s="597"/>
      <c r="F62" s="597"/>
      <c r="G62" s="53">
        <f>SUM(G59:G61)</f>
        <v>1111.3275182369148</v>
      </c>
    </row>
    <row r="63" spans="2:7" ht="17.25" thickBot="1" x14ac:dyDescent="0.35">
      <c r="B63" s="9"/>
      <c r="G63" s="44"/>
    </row>
    <row r="64" spans="2:7" ht="17.25" thickBot="1" x14ac:dyDescent="0.35">
      <c r="B64" s="598" t="s">
        <v>101</v>
      </c>
      <c r="C64" s="599"/>
      <c r="D64" s="599"/>
      <c r="E64" s="599"/>
      <c r="F64" s="600"/>
      <c r="G64" s="65">
        <f>+G62+G56</f>
        <v>6667.9651094214878</v>
      </c>
    </row>
    <row r="65" spans="2:7" x14ac:dyDescent="0.3">
      <c r="B65" s="6"/>
      <c r="C65" s="7"/>
      <c r="D65" s="7"/>
      <c r="E65" s="7"/>
      <c r="F65" s="7"/>
      <c r="G65" s="8"/>
    </row>
    <row r="66" spans="2:7" x14ac:dyDescent="0.3">
      <c r="B66" s="9"/>
      <c r="G66" s="11"/>
    </row>
    <row r="67" spans="2:7" x14ac:dyDescent="0.3">
      <c r="B67" s="69" t="s">
        <v>123</v>
      </c>
      <c r="C67" s="67"/>
      <c r="D67" s="67"/>
      <c r="E67" s="67"/>
      <c r="F67" s="67"/>
      <c r="G67" s="70"/>
    </row>
    <row r="68" spans="2:7" x14ac:dyDescent="0.3">
      <c r="B68" s="71"/>
      <c r="C68" s="67"/>
      <c r="D68" s="67"/>
      <c r="E68" s="67"/>
      <c r="F68" s="67"/>
      <c r="G68" s="70"/>
    </row>
    <row r="69" spans="2:7" x14ac:dyDescent="0.3">
      <c r="B69" s="72"/>
      <c r="C69" s="68"/>
      <c r="D69" s="68"/>
      <c r="E69" s="68"/>
      <c r="F69" s="68"/>
      <c r="G69" s="73"/>
    </row>
    <row r="70" spans="2:7" x14ac:dyDescent="0.3">
      <c r="B70" s="71"/>
      <c r="C70" s="67"/>
      <c r="D70" s="67"/>
      <c r="E70" s="67"/>
      <c r="F70" s="67"/>
      <c r="G70" s="70"/>
    </row>
    <row r="71" spans="2:7" ht="17.25" thickBot="1" x14ac:dyDescent="0.35">
      <c r="B71" s="15"/>
      <c r="C71" s="13"/>
      <c r="D71" s="13"/>
      <c r="E71" s="13"/>
      <c r="F71" s="13"/>
      <c r="G71" s="14"/>
    </row>
    <row r="72" spans="2:7" x14ac:dyDescent="0.3">
      <c r="B72" s="591"/>
      <c r="C72" s="579"/>
      <c r="D72" s="579"/>
      <c r="E72" s="579"/>
      <c r="F72" s="579"/>
      <c r="G72" s="580"/>
    </row>
    <row r="73" spans="2:7" x14ac:dyDescent="0.3">
      <c r="B73" s="592"/>
      <c r="C73" s="593"/>
      <c r="D73" s="593"/>
      <c r="E73" s="593"/>
      <c r="F73" s="593"/>
      <c r="G73" s="594"/>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ht="17.25" thickBot="1" x14ac:dyDescent="0.35">
      <c r="B77" s="595"/>
      <c r="C77" s="581"/>
      <c r="D77" s="581"/>
      <c r="E77" s="581"/>
      <c r="F77" s="581"/>
      <c r="G77" s="582"/>
    </row>
    <row r="102" spans="1:1" ht="112.5" customHeight="1" x14ac:dyDescent="0.3">
      <c r="A102" s="45"/>
    </row>
    <row r="103" spans="1:1" ht="112.5" customHeight="1" x14ac:dyDescent="0.3">
      <c r="A103" s="45"/>
    </row>
    <row r="104" spans="1:1" ht="67.5" customHeight="1" x14ac:dyDescent="0.3">
      <c r="A104" t="s">
        <v>130</v>
      </c>
    </row>
  </sheetData>
  <mergeCells count="17">
    <mergeCell ref="B59:E59"/>
    <mergeCell ref="B1:G1"/>
    <mergeCell ref="B2:G2"/>
    <mergeCell ref="B3:G3"/>
    <mergeCell ref="B4:G4"/>
    <mergeCell ref="B11:G11"/>
    <mergeCell ref="C12:G13"/>
    <mergeCell ref="B14:G14"/>
    <mergeCell ref="B15:G15"/>
    <mergeCell ref="B16:G17"/>
    <mergeCell ref="B18:E20"/>
    <mergeCell ref="B56:F56"/>
    <mergeCell ref="B60:E60"/>
    <mergeCell ref="B61:E61"/>
    <mergeCell ref="B62:F62"/>
    <mergeCell ref="B64:F64"/>
    <mergeCell ref="B72:G77"/>
  </mergeCells>
  <phoneticPr fontId="42" type="noConversion"/>
  <dataValidations count="5">
    <dataValidation type="list" allowBlank="1" showInputMessage="1" showErrorMessage="1" sqref="E101" xr:uid="{09EA8CAB-6CFD-40AE-B8CB-4B216AD762B9}">
      <formula1>$A$102:$A$104</formula1>
    </dataValidation>
    <dataValidation type="list" allowBlank="1" showInputMessage="1" showErrorMessage="1" sqref="B13" xr:uid="{7616B520-7EA6-4A21-A62A-2ECB6483B6C6}">
      <formula1>ITEM</formula1>
    </dataValidation>
    <dataValidation type="list" allowBlank="1" showInputMessage="1" showErrorMessage="1" sqref="B50:B54" xr:uid="{0396B272-5EEE-4908-874D-E50EDAD120F5}">
      <formula1>L_PERSONAL</formula1>
    </dataValidation>
    <dataValidation type="list" allowBlank="1" showInputMessage="1" showErrorMessage="1" sqref="B31:B38" xr:uid="{4F909CCC-E3C8-42C9-8274-FFA4109FB48C}">
      <formula1>L_MATERIALES</formula1>
    </dataValidation>
    <dataValidation type="list" allowBlank="1" showInputMessage="1" showErrorMessage="1" sqref="B23:B27 B42:B46" xr:uid="{DB331403-024C-4EFE-AC1B-CBC4D34DCA8E}">
      <formula1>LISTA_MAQUINARIA</formula1>
    </dataValidation>
  </dataValidations>
  <pageMargins left="1.6141732283464567" right="0.70866141732283472" top="0.74803149606299213" bottom="0.74803149606299213" header="0.31496062992125984" footer="0.31496062992125984"/>
  <pageSetup scale="50" orientation="portrait" r:id="rId1"/>
  <rowBreaks count="1" manualBreakCount="1">
    <brk id="77" max="16383" man="1"/>
  </rowBreaks>
  <colBreaks count="1" manualBreakCount="1">
    <brk id="7" max="1048575" man="1"/>
  </colBreaks>
  <drawing r:id="rId2"/>
  <tableParts count="1">
    <tablePart r:id="rId3"/>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FEE6C-545D-49D4-9BF9-5A620917055E}">
  <sheetPr codeName="Hoja31"/>
  <dimension ref="A1:P105"/>
  <sheetViews>
    <sheetView showGridLines="0" view="pageBreakPreview" topLeftCell="A53" zoomScale="57" zoomScaleNormal="62" workbookViewId="0">
      <selection activeCell="B1" sqref="B1:G78"/>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20</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18" t="str">
        <f>+IF($B$13="","",INDEX(DESCRIP_ITEM,MATCH($B$13,ITEM,0)))</f>
        <v xml:space="preserve">Instalación de conector bimetálico tipo pala para AC-BT 1x400 mm2 según RETIE. Incluye la conexión a la bornera del inversor y al tablero de BT de la Power Station, Incluye el suministro e instalación de la marquilla del cable, de la sección de termoencogible en el color requerido según RETIE. incluye certificación de conformidad RETIE y certificación de producto del fabricante. </v>
      </c>
      <c r="C16" s="619"/>
      <c r="D16" s="619"/>
      <c r="E16" s="619"/>
      <c r="F16" s="619"/>
      <c r="G16" s="620"/>
    </row>
    <row r="17" spans="2:16" ht="44.25" customHeight="1" thickBot="1" x14ac:dyDescent="0.35">
      <c r="B17" s="621"/>
      <c r="C17" s="622"/>
      <c r="D17" s="622"/>
      <c r="E17" s="622"/>
      <c r="F17" s="622"/>
      <c r="G17" s="623"/>
    </row>
    <row r="18" spans="2:16" ht="17.25" thickBot="1" x14ac:dyDescent="0.35">
      <c r="B18" s="591"/>
      <c r="C18" s="579"/>
      <c r="D18" s="579"/>
      <c r="E18" s="579"/>
      <c r="G18" s="11"/>
    </row>
    <row r="19" spans="2:16" ht="17.25" thickBot="1" x14ac:dyDescent="0.35">
      <c r="B19" s="592"/>
      <c r="C19" s="593"/>
      <c r="D19" s="593"/>
      <c r="E19" s="593"/>
      <c r="F19" s="54" t="s">
        <v>89</v>
      </c>
      <c r="G19" s="25" t="str">
        <f>+IF(B13="","",INDEX(U_ITEM,MATCH(B13,ITEM,0)))</f>
        <v>UN</v>
      </c>
    </row>
    <row r="20" spans="2:16" ht="17.25" thickBot="1" x14ac:dyDescent="0.35">
      <c r="B20" s="592"/>
      <c r="C20" s="593"/>
      <c r="D20" s="593"/>
      <c r="E20" s="593"/>
      <c r="F20" s="55" t="s">
        <v>90</v>
      </c>
      <c r="G20" s="56">
        <v>4.9000000000000004</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c r="C23" s="3" t="str">
        <f>+IF(B23="","",INDEX(U_MAQUINARIA,MATCH(B23,LISTA_MAQUINARIA,0)))</f>
        <v/>
      </c>
      <c r="D23" s="30"/>
      <c r="E23" s="23" t="str">
        <f>+IF(B23="","",INDEX(V_MAQUINARIA,MATCH(B23,LISTA_MAQUINARIA,0)))</f>
        <v/>
      </c>
      <c r="F23" s="3">
        <f>$G$20</f>
        <v>4.9000000000000004</v>
      </c>
      <c r="G23" s="26" t="str">
        <f>+IF(B23="","",(D23*E23)/F23)</f>
        <v/>
      </c>
      <c r="K23" s="9"/>
      <c r="L23" s="23" t="str">
        <f>IF(B23="","",INDEX(V_COMBUSTIBLE_H,MATCH(B23,LISTA_MAQUINARIA,0)))</f>
        <v/>
      </c>
      <c r="M23" s="23" t="str">
        <f>+IF(L23="","",(L23*D23)/F23)</f>
        <v/>
      </c>
      <c r="N23" s="23" t="str">
        <f>IF(G23="","",G23-M23)</f>
        <v/>
      </c>
      <c r="P23" s="11"/>
    </row>
    <row r="24" spans="2:16" x14ac:dyDescent="0.3">
      <c r="B24" s="27"/>
      <c r="C24" s="3" t="str">
        <f>+IF(B24="","",INDEX(U_MAQUINARIA,MATCH(B24,LISTA_MAQUINARIA,0)))</f>
        <v/>
      </c>
      <c r="D24" s="30"/>
      <c r="E24" s="23" t="str">
        <f>+IF(B24="","",INDEX(V_MAQUINARIA,MATCH(B24,LISTA_MAQUINARIA,0)))</f>
        <v/>
      </c>
      <c r="F24" s="3">
        <f>$G$20</f>
        <v>4.9000000000000004</v>
      </c>
      <c r="G24" s="26" t="str">
        <f>+IF(B24="","",(D24*E24)/F24)</f>
        <v/>
      </c>
      <c r="K24" s="9"/>
      <c r="L24" s="3" t="str">
        <f>IF(B24="","",INDEX(V_COMBUSTIBLE_H,MATCH(B24,LISTA_MAQUINARIA,0)))</f>
        <v/>
      </c>
      <c r="M24" s="3" t="str">
        <f>+IF(L24="","",(L24*D24)/F24)</f>
        <v/>
      </c>
      <c r="N24" s="3" t="str">
        <f>IF(G24="","",G24-M24)</f>
        <v/>
      </c>
      <c r="P24" s="11"/>
    </row>
    <row r="25" spans="2:16" x14ac:dyDescent="0.3">
      <c r="B25" s="27"/>
      <c r="C25" s="3" t="str">
        <f>+IF(B25="","",INDEX(U_MAQUINARIA,MATCH(B25,LISTA_MAQUINARIA,0)))</f>
        <v/>
      </c>
      <c r="D25" s="30"/>
      <c r="E25" s="23" t="str">
        <f>+IF(B25="","",INDEX(V_MAQUINARIA,MATCH(B25,LISTA_MAQUINARIA,0)))</f>
        <v/>
      </c>
      <c r="F25" s="3">
        <f>$G$20</f>
        <v>4.9000000000000004</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4.9000000000000004</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4.9000000000000004</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0</v>
      </c>
      <c r="K28" s="9"/>
      <c r="M28" s="24">
        <f>SUM(M23:M27)</f>
        <v>0</v>
      </c>
      <c r="N28" s="24">
        <f>SUM(N23:N27)</f>
        <v>0</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t="s">
        <v>398</v>
      </c>
      <c r="C31" s="3" t="str">
        <f t="shared" ref="C31:C38" si="0">+IF(B31="","",INDEX(U_MATERIAL,MATCH(B31,L_MATERIALES,0)))</f>
        <v>UND</v>
      </c>
      <c r="D31" s="30">
        <v>1</v>
      </c>
      <c r="E31" s="23">
        <f t="shared" ref="E31:E38" si="1">+IF(B31="","",INDEX(V_UNITARIOMATERIAL,MATCH(B31,L_MATERIALES,0)))</f>
        <v>13458</v>
      </c>
      <c r="F31" s="30">
        <v>5</v>
      </c>
      <c r="G31" s="26">
        <f>IF(D31="","",(E31*D31)/F31)</f>
        <v>2691.6</v>
      </c>
      <c r="K31" s="9"/>
      <c r="L31" t="str">
        <f>+IF(B31="","",B31)</f>
        <v>ETIQUETA PLASTICA---</v>
      </c>
      <c r="M31">
        <f t="shared" ref="M31:M38" si="2">IF(D31="","",(D31/F31)*INDEX(CANT_PROYECTO,MATCH($B$13,ITEM,0)))</f>
        <v>384</v>
      </c>
      <c r="N31" s="1"/>
      <c r="P31" s="11"/>
    </row>
    <row r="32" spans="2:16" x14ac:dyDescent="0.3">
      <c r="B32" s="27" t="s">
        <v>361</v>
      </c>
      <c r="C32" s="3" t="str">
        <f t="shared" si="0"/>
        <v>UND</v>
      </c>
      <c r="D32" s="30">
        <v>1</v>
      </c>
      <c r="E32" s="23">
        <f t="shared" si="1"/>
        <v>340000</v>
      </c>
      <c r="F32" s="30">
        <v>100</v>
      </c>
      <c r="G32" s="26">
        <f t="shared" ref="G32:G38" si="3">IF(D32="","",(E32*D32)/F32)</f>
        <v>3400</v>
      </c>
      <c r="K32" s="9"/>
      <c r="L32" t="str">
        <f t="shared" ref="L32:L38" si="4">+IF(B32="","",B32)</f>
        <v>HERRAMIENTA MENOR---</v>
      </c>
      <c r="M32">
        <f t="shared" si="2"/>
        <v>19.2</v>
      </c>
      <c r="N32" s="1"/>
      <c r="P32" s="11"/>
    </row>
    <row r="33" spans="2:16" x14ac:dyDescent="0.3">
      <c r="B33" s="27"/>
      <c r="C33" s="3" t="str">
        <f t="shared" si="0"/>
        <v/>
      </c>
      <c r="D33" s="30"/>
      <c r="E33" s="23" t="str">
        <f t="shared" si="1"/>
        <v/>
      </c>
      <c r="F33" s="30"/>
      <c r="G33" s="26" t="str">
        <f t="shared" si="3"/>
        <v/>
      </c>
      <c r="K33" s="9"/>
      <c r="L33" t="str">
        <f t="shared" si="4"/>
        <v/>
      </c>
      <c r="M33" t="str">
        <f t="shared" si="2"/>
        <v/>
      </c>
      <c r="N33" s="1"/>
      <c r="P33" s="11"/>
    </row>
    <row r="34" spans="2:16" x14ac:dyDescent="0.3">
      <c r="B34" s="27"/>
      <c r="C34" s="3" t="str">
        <f t="shared" si="0"/>
        <v/>
      </c>
      <c r="D34" s="30"/>
      <c r="E34" s="23" t="str">
        <f t="shared" si="1"/>
        <v/>
      </c>
      <c r="F34" s="30"/>
      <c r="G34" s="26" t="str">
        <f t="shared" si="3"/>
        <v/>
      </c>
      <c r="K34" s="9"/>
      <c r="L34" t="str">
        <f t="shared" si="4"/>
        <v/>
      </c>
      <c r="M34" t="str">
        <f t="shared" si="2"/>
        <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6091.6</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t="s">
        <v>368</v>
      </c>
      <c r="C42" s="3" t="str">
        <f>+IF(B42="","",INDEX(U_MAQUINARIA,MATCH(B42,LISTA_MAQUINARIA,0)))</f>
        <v>VALOR / HORA</v>
      </c>
      <c r="D42" s="30">
        <v>1</v>
      </c>
      <c r="E42" s="23">
        <f>+IF(B42="","",INDEX(V_MAQUINARIA,MATCH(B42,LISTA_MAQUINARIA,0)))</f>
        <v>58531.818181818184</v>
      </c>
      <c r="F42" s="3">
        <f>+$G$20</f>
        <v>4.9000000000000004</v>
      </c>
      <c r="G42" s="26">
        <f>IF(D42="","",(E42*D42)/F42)</f>
        <v>11945.269016697588</v>
      </c>
      <c r="K42" s="9"/>
      <c r="L42" s="23">
        <f>IF(B42="","",INDEX(V_COMBUSTIBLE_H,MATCH(B42,LISTA_MAQUINARIA,0)))</f>
        <v>21600</v>
      </c>
      <c r="M42" s="23">
        <f>+IF(L42="","",(L42*D42)/F42)</f>
        <v>4408.1632653061224</v>
      </c>
      <c r="N42" s="23">
        <f>IF(G42="","",G42-M42)</f>
        <v>7537.1057513914657</v>
      </c>
      <c r="P42" s="11"/>
    </row>
    <row r="43" spans="2:16" x14ac:dyDescent="0.3">
      <c r="B43" s="27"/>
      <c r="C43" s="3" t="str">
        <f>+IF(B43="","",INDEX(U_MAQUINARIA,MATCH(B43,LISTA_MAQUINARIA,0)))</f>
        <v/>
      </c>
      <c r="D43" s="30"/>
      <c r="E43" s="23" t="str">
        <f>+IF(B43="","",INDEX(V_MAQUINARIA,MATCH(B43,LISTA_MAQUINARIA,0)))</f>
        <v/>
      </c>
      <c r="F43" s="3">
        <f>+$G$20</f>
        <v>4.9000000000000004</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4.9000000000000004</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4.9000000000000004</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4.9000000000000004</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11945.269016697588</v>
      </c>
      <c r="K47" s="9"/>
      <c r="M47" s="24">
        <f>SUM(M42:M46)</f>
        <v>4408.1632653061224</v>
      </c>
      <c r="N47" s="24">
        <f>SUM(N42:N46)</f>
        <v>7537.1057513914657</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t="s">
        <v>298</v>
      </c>
      <c r="C50" s="30">
        <v>1</v>
      </c>
      <c r="D50" s="22">
        <f>+IF(B50="","",INDEX(F_PRESTACIONAL,MATCH(B50,L_PERSONAL,)))</f>
        <v>1.6352</v>
      </c>
      <c r="E50" s="23">
        <f>+IF(B50="","",INDEX(V_H_MANODEOBRA,MATCH(B50,L_PERSONAL,0)))</f>
        <v>40136.727272727272</v>
      </c>
      <c r="F50" s="3">
        <f>+$G$20</f>
        <v>4.9000000000000004</v>
      </c>
      <c r="G50" s="26">
        <f>+IF(C50="","",(E50*C50)/F50)</f>
        <v>8191.1688311688304</v>
      </c>
    </row>
    <row r="51" spans="2:7" x14ac:dyDescent="0.3">
      <c r="B51" s="27" t="s">
        <v>306</v>
      </c>
      <c r="C51" s="30">
        <v>2</v>
      </c>
      <c r="D51" s="22">
        <f>+IF(B51="","",INDEX(F_PRESTACIONAL,MATCH(B51,L_PERSONAL,)))</f>
        <v>2.3170181818181819</v>
      </c>
      <c r="E51" s="23">
        <f>+IF(B51="","",INDEX(V_H_MANODEOBRA,MATCH(B51,L_PERSONAL,0)))</f>
        <v>46340.36363636364</v>
      </c>
      <c r="F51" s="3">
        <f>+$G$20</f>
        <v>4.9000000000000004</v>
      </c>
      <c r="G51" s="26">
        <f>+IF(C51="","",(E51*C51)/F51)</f>
        <v>18914.434137291279</v>
      </c>
    </row>
    <row r="52" spans="2:7" x14ac:dyDescent="0.3">
      <c r="B52" s="27"/>
      <c r="C52" s="30"/>
      <c r="D52" s="22" t="str">
        <f>+IF(B52="","",INDEX(F_PRESTACIONAL,MATCH(B52,L_PERSONAL,)))</f>
        <v/>
      </c>
      <c r="E52" s="23" t="str">
        <f>+IF(B52="","",INDEX(V_H_MANODEOBRA,MATCH(B52,L_PERSONAL,0)))</f>
        <v/>
      </c>
      <c r="F52" s="3">
        <f>+$G$20</f>
        <v>4.9000000000000004</v>
      </c>
      <c r="G52" s="26" t="str">
        <f>+IF(C52="","",(E52*C52)/F52)</f>
        <v/>
      </c>
    </row>
    <row r="53" spans="2:7" x14ac:dyDescent="0.3">
      <c r="B53" s="27"/>
      <c r="C53" s="30"/>
      <c r="D53" s="22" t="str">
        <f>+IF(B53="","",INDEX(F_PRESTACIONAL,MATCH(B53,L_PERSONAL,)))</f>
        <v/>
      </c>
      <c r="E53" s="23" t="str">
        <f>+IF(B53="","",INDEX(V_H_MANODEOBRA,MATCH(B53,L_PERSONAL,0)))</f>
        <v/>
      </c>
      <c r="F53" s="3">
        <f>+$G$20</f>
        <v>4.9000000000000004</v>
      </c>
      <c r="G53" s="26" t="str">
        <f>+IF(C53="","",(E53*C53)/F53)</f>
        <v/>
      </c>
    </row>
    <row r="54" spans="2:7" x14ac:dyDescent="0.3">
      <c r="B54" s="27"/>
      <c r="C54" s="30"/>
      <c r="D54" s="22" t="str">
        <f>+IF(B54="","",INDEX(F_PRESTACIONAL,MATCH(B54,L_PERSONAL,)))</f>
        <v/>
      </c>
      <c r="E54" s="23" t="str">
        <f>+IF(B54="","",INDEX(V_H_MANODEOBRA,MATCH(B54,L_PERSONAL,0)))</f>
        <v/>
      </c>
      <c r="F54" s="3">
        <f>+$G$20</f>
        <v>4.9000000000000004</v>
      </c>
      <c r="G54" s="26" t="str">
        <f>+IF(C54="","",(E54*C54)/F54)</f>
        <v/>
      </c>
    </row>
    <row r="55" spans="2:7" x14ac:dyDescent="0.3">
      <c r="B55" s="9"/>
      <c r="G55" s="49">
        <f>SUM(G50:G54)</f>
        <v>27105.602968460109</v>
      </c>
    </row>
    <row r="56" spans="2:7" ht="17.25" thickBot="1" x14ac:dyDescent="0.35">
      <c r="B56" s="9"/>
      <c r="G56" s="11"/>
    </row>
    <row r="57" spans="2:7" ht="17.25" thickBot="1" x14ac:dyDescent="0.35">
      <c r="B57" s="610" t="s">
        <v>98</v>
      </c>
      <c r="C57" s="611"/>
      <c r="D57" s="611"/>
      <c r="E57" s="611"/>
      <c r="F57" s="612"/>
      <c r="G57" s="66">
        <f>+G55+G47+G39+G28</f>
        <v>45142.471985157696</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5417.0966382189235</v>
      </c>
    </row>
    <row r="61" spans="2:7" x14ac:dyDescent="0.3">
      <c r="B61" s="613" t="s">
        <v>86</v>
      </c>
      <c r="C61" s="614"/>
      <c r="D61" s="614"/>
      <c r="E61" s="614"/>
      <c r="F61" s="22">
        <f>+IMPREVISTOS</f>
        <v>0.03</v>
      </c>
      <c r="G61" s="26">
        <f>+$G$57*F61</f>
        <v>1354.2741595547309</v>
      </c>
    </row>
    <row r="62" spans="2:7" x14ac:dyDescent="0.3">
      <c r="B62" s="613" t="s">
        <v>87</v>
      </c>
      <c r="C62" s="614"/>
      <c r="D62" s="614"/>
      <c r="E62" s="614"/>
      <c r="F62" s="22">
        <f>+UTILIDAD</f>
        <v>0.05</v>
      </c>
      <c r="G62" s="26">
        <f>+$G$57*F62</f>
        <v>2257.123599257885</v>
      </c>
    </row>
    <row r="63" spans="2:7" x14ac:dyDescent="0.3">
      <c r="B63" s="596" t="s">
        <v>100</v>
      </c>
      <c r="C63" s="597"/>
      <c r="D63" s="597"/>
      <c r="E63" s="597"/>
      <c r="F63" s="597"/>
      <c r="G63" s="53">
        <f>SUM(G60:G62)</f>
        <v>9028.4943970315398</v>
      </c>
    </row>
    <row r="64" spans="2:7" ht="17.25" thickBot="1" x14ac:dyDescent="0.35">
      <c r="B64" s="9"/>
      <c r="G64" s="44"/>
    </row>
    <row r="65" spans="2:7" ht="17.25" thickBot="1" x14ac:dyDescent="0.35">
      <c r="B65" s="598" t="s">
        <v>101</v>
      </c>
      <c r="C65" s="599"/>
      <c r="D65" s="599"/>
      <c r="E65" s="599"/>
      <c r="F65" s="600"/>
      <c r="G65" s="65">
        <f>+G63+G57</f>
        <v>54170.966382189232</v>
      </c>
    </row>
    <row r="66" spans="2:7" x14ac:dyDescent="0.3">
      <c r="B66" s="6"/>
      <c r="C66" s="7"/>
      <c r="D66" s="7"/>
      <c r="E66" s="7"/>
      <c r="F66" s="7"/>
      <c r="G66" s="8"/>
    </row>
    <row r="67" spans="2:7" x14ac:dyDescent="0.3">
      <c r="B67" s="9"/>
      <c r="G67" s="11"/>
    </row>
    <row r="68" spans="2:7" x14ac:dyDescent="0.3">
      <c r="B68" s="69" t="s">
        <v>123</v>
      </c>
      <c r="C68" s="67"/>
      <c r="D68" s="67"/>
      <c r="E68" s="67"/>
      <c r="F68" s="67"/>
      <c r="G68" s="70"/>
    </row>
    <row r="69" spans="2:7" x14ac:dyDescent="0.3">
      <c r="B69" s="71"/>
      <c r="C69" s="67"/>
      <c r="D69" s="67"/>
      <c r="E69" s="67"/>
      <c r="F69" s="67"/>
      <c r="G69" s="70"/>
    </row>
    <row r="70" spans="2:7" x14ac:dyDescent="0.3">
      <c r="B70" s="72"/>
      <c r="C70" s="68"/>
      <c r="D70" s="68"/>
      <c r="E70" s="68"/>
      <c r="F70" s="68"/>
      <c r="G70" s="73"/>
    </row>
    <row r="71" spans="2:7" x14ac:dyDescent="0.3">
      <c r="B71" s="71"/>
      <c r="C71" s="67"/>
      <c r="D71" s="67"/>
      <c r="E71" s="67"/>
      <c r="F71" s="67"/>
      <c r="G71" s="70"/>
    </row>
    <row r="72" spans="2:7" ht="17.25" thickBot="1" x14ac:dyDescent="0.35">
      <c r="B72" s="15"/>
      <c r="C72" s="13"/>
      <c r="D72" s="13"/>
      <c r="E72" s="13"/>
      <c r="F72" s="13"/>
      <c r="G72" s="14"/>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count="5">
    <dataValidation type="list" allowBlank="1" showInputMessage="1" showErrorMessage="1" sqref="E102" xr:uid="{7B1A52EC-CE59-4A5C-973C-CFF0B6C30CAB}">
      <formula1>$A$103:$A$105</formula1>
    </dataValidation>
    <dataValidation type="list" allowBlank="1" showInputMessage="1" showErrorMessage="1" sqref="B13" xr:uid="{EE2401EF-A3E9-4739-B6E0-A046D7F296EC}">
      <formula1>ITEM</formula1>
    </dataValidation>
    <dataValidation type="list" allowBlank="1" showInputMessage="1" showErrorMessage="1" sqref="B50:B54" xr:uid="{A3BD9D3A-D082-4EDA-958C-BE9C2DCD9AFE}">
      <formula1>L_PERSONAL</formula1>
    </dataValidation>
    <dataValidation type="list" allowBlank="1" showInputMessage="1" showErrorMessage="1" sqref="B31:B38" xr:uid="{78AB582D-D295-4485-92A4-39F277477037}">
      <formula1>L_MATERIALES</formula1>
    </dataValidation>
    <dataValidation type="list" allowBlank="1" showInputMessage="1" showErrorMessage="1" sqref="B23:B27 B42:B46" xr:uid="{5A5E523D-41AE-40CC-8F34-24866BD8DB94}">
      <formula1>LISTA_MAQUINARIA</formula1>
    </dataValidation>
  </dataValidations>
  <pageMargins left="1.6141732283464567" right="0.70866141732283472" top="0.74803149606299213" bottom="0.74803149606299213" header="0.31496062992125984" footer="0.31496062992125984"/>
  <pageSetup scale="50" orientation="portrait" r:id="rId1"/>
  <rowBreaks count="1" manualBreakCount="1">
    <brk id="78" max="16383" man="1"/>
  </rowBreaks>
  <colBreaks count="1" manualBreakCount="1">
    <brk id="7" max="1048575" man="1"/>
  </colBreaks>
  <drawing r:id="rId2"/>
  <tableParts count="1">
    <tablePart r:id="rId3"/>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C79504-FE78-42D8-AA20-BB2D65C1CA32}">
  <sheetPr codeName="Hoja32"/>
  <dimension ref="A1:P105"/>
  <sheetViews>
    <sheetView showGridLines="0" view="pageBreakPreview" zoomScale="57" zoomScaleNormal="60" workbookViewId="0">
      <selection activeCell="B1" sqref="B1:G78"/>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21</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18" t="str">
        <f>+IF($B$13="","",INDEX(DESCRIP_ITEM,MATCH($B$13,ITEM,0)))</f>
        <v>Instalación de conector tipo codo  para cable de 1x185 mm2 XLPE, 35 kV. Incluye el alistamiento del cable y montaje del premoldeado, torqueado según especifación del fabricante,  la conexión a la celda de MT, suministro de elementos de sujección del cable dentro de la celda, figuración técnica del cable, incluye el suministro y marquilla del cable y del termoencogible en el color establecido para cada fase y nivel de tensión según RETIE.</v>
      </c>
      <c r="C16" s="619"/>
      <c r="D16" s="619"/>
      <c r="E16" s="619"/>
      <c r="F16" s="619"/>
      <c r="G16" s="620"/>
    </row>
    <row r="17" spans="2:16" ht="44.25" customHeight="1" thickBot="1" x14ac:dyDescent="0.35">
      <c r="B17" s="621"/>
      <c r="C17" s="622"/>
      <c r="D17" s="622"/>
      <c r="E17" s="622"/>
      <c r="F17" s="622"/>
      <c r="G17" s="623"/>
    </row>
    <row r="18" spans="2:16" ht="17.25" thickBot="1" x14ac:dyDescent="0.35">
      <c r="B18" s="591"/>
      <c r="C18" s="579"/>
      <c r="D18" s="579"/>
      <c r="E18" s="579"/>
      <c r="G18" s="11"/>
    </row>
    <row r="19" spans="2:16" ht="17.25" thickBot="1" x14ac:dyDescent="0.35">
      <c r="B19" s="592"/>
      <c r="C19" s="593"/>
      <c r="D19" s="593"/>
      <c r="E19" s="593"/>
      <c r="F19" s="54" t="s">
        <v>89</v>
      </c>
      <c r="G19" s="25" t="str">
        <f>+IF(B13="","",INDEX(U_ITEM,MATCH(B13,ITEM,0)))</f>
        <v>UN</v>
      </c>
    </row>
    <row r="20" spans="2:16" ht="17.25" thickBot="1" x14ac:dyDescent="0.35">
      <c r="B20" s="592"/>
      <c r="C20" s="593"/>
      <c r="D20" s="593"/>
      <c r="E20" s="593"/>
      <c r="F20" s="55" t="s">
        <v>90</v>
      </c>
      <c r="G20" s="56">
        <v>0.97</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c r="C23" s="3" t="str">
        <f>+IF(B23="","",INDEX(U_MAQUINARIA,MATCH(B23,LISTA_MAQUINARIA,0)))</f>
        <v/>
      </c>
      <c r="D23" s="30"/>
      <c r="E23" s="23" t="str">
        <f>+IF(B23="","",INDEX(V_MAQUINARIA,MATCH(B23,LISTA_MAQUINARIA,0)))</f>
        <v/>
      </c>
      <c r="F23" s="3">
        <f>$G$20</f>
        <v>0.97</v>
      </c>
      <c r="G23" s="26" t="str">
        <f>+IF(B23="","",(D23*E23)/F23)</f>
        <v/>
      </c>
      <c r="K23" s="9"/>
      <c r="L23" s="23" t="str">
        <f>IF(B23="","",INDEX(V_COMBUSTIBLE_H,MATCH(B23,LISTA_MAQUINARIA,0)))</f>
        <v/>
      </c>
      <c r="M23" s="23" t="str">
        <f>+IF(L23="","",(L23*D23)/F23)</f>
        <v/>
      </c>
      <c r="N23" s="23" t="str">
        <f>IF(G23="","",G23-M23)</f>
        <v/>
      </c>
      <c r="P23" s="11"/>
    </row>
    <row r="24" spans="2:16" x14ac:dyDescent="0.3">
      <c r="B24" s="27"/>
      <c r="C24" s="3" t="str">
        <f>+IF(B24="","",INDEX(U_MAQUINARIA,MATCH(B24,LISTA_MAQUINARIA,0)))</f>
        <v/>
      </c>
      <c r="D24" s="30"/>
      <c r="E24" s="23" t="str">
        <f>+IF(B24="","",INDEX(V_MAQUINARIA,MATCH(B24,LISTA_MAQUINARIA,0)))</f>
        <v/>
      </c>
      <c r="F24" s="3">
        <f>$G$20</f>
        <v>0.97</v>
      </c>
      <c r="G24" s="26" t="str">
        <f>+IF(B24="","",(D24*E24)/F24)</f>
        <v/>
      </c>
      <c r="K24" s="9"/>
      <c r="L24" s="3" t="str">
        <f>IF(B24="","",INDEX(V_COMBUSTIBLE_H,MATCH(B24,LISTA_MAQUINARIA,0)))</f>
        <v/>
      </c>
      <c r="M24" s="3" t="str">
        <f>+IF(L24="","",(L24*D24)/F24)</f>
        <v/>
      </c>
      <c r="N24" s="3" t="str">
        <f>IF(G24="","",G24-M24)</f>
        <v/>
      </c>
      <c r="P24" s="11"/>
    </row>
    <row r="25" spans="2:16" x14ac:dyDescent="0.3">
      <c r="B25" s="27"/>
      <c r="C25" s="3" t="str">
        <f>+IF(B25="","",INDEX(U_MAQUINARIA,MATCH(B25,LISTA_MAQUINARIA,0)))</f>
        <v/>
      </c>
      <c r="D25" s="30"/>
      <c r="E25" s="23" t="str">
        <f>+IF(B25="","",INDEX(V_MAQUINARIA,MATCH(B25,LISTA_MAQUINARIA,0)))</f>
        <v/>
      </c>
      <c r="F25" s="3">
        <f>$G$20</f>
        <v>0.97</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0.97</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0.97</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0</v>
      </c>
      <c r="K28" s="9"/>
      <c r="M28" s="24">
        <f>SUM(M23:M27)</f>
        <v>0</v>
      </c>
      <c r="N28" s="24">
        <f>SUM(N23:N27)</f>
        <v>0</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t="s">
        <v>364</v>
      </c>
      <c r="C31" s="3" t="str">
        <f t="shared" ref="C31:C38" si="0">+IF(B31="","",INDEX(U_MATERIAL,MATCH(B31,L_MATERIALES,0)))</f>
        <v>UND</v>
      </c>
      <c r="D31" s="30">
        <v>1</v>
      </c>
      <c r="E31" s="23">
        <f t="shared" ref="E31:E38" si="1">+IF(B31="","",INDEX(V_UNITARIOMATERIAL,MATCH(B31,L_MATERIALES,0)))</f>
        <v>1250000</v>
      </c>
      <c r="F31" s="30">
        <v>30</v>
      </c>
      <c r="G31" s="26">
        <f>IF(D31="","",(E31*D31)/F31)</f>
        <v>41666.666666666664</v>
      </c>
      <c r="K31" s="9"/>
      <c r="L31" t="str">
        <f>+IF(B31="","",B31)</f>
        <v>TORQUIMETRO DIGITAL - ACREDITACION---</v>
      </c>
      <c r="M31">
        <f t="shared" ref="M31:M38" si="2">IF(D31="","",(D31/F31)*INDEX(CANT_PROYECTO,MATCH($B$13,ITEM,0)))</f>
        <v>1</v>
      </c>
      <c r="N31" s="1"/>
      <c r="P31" s="11"/>
    </row>
    <row r="32" spans="2:16" x14ac:dyDescent="0.3">
      <c r="B32" s="27" t="s">
        <v>361</v>
      </c>
      <c r="C32" s="3" t="str">
        <f t="shared" si="0"/>
        <v>UND</v>
      </c>
      <c r="D32" s="30">
        <v>1</v>
      </c>
      <c r="E32" s="23">
        <f t="shared" si="1"/>
        <v>340000</v>
      </c>
      <c r="F32" s="30">
        <v>25</v>
      </c>
      <c r="G32" s="26">
        <f t="shared" ref="G32:G38" si="3">IF(D32="","",(E32*D32)/F32)</f>
        <v>13600</v>
      </c>
      <c r="K32" s="9"/>
      <c r="L32" t="str">
        <f t="shared" ref="L32:L38" si="4">+IF(B32="","",B32)</f>
        <v>HERRAMIENTA MENOR---</v>
      </c>
      <c r="M32">
        <f t="shared" si="2"/>
        <v>1.2</v>
      </c>
      <c r="N32" s="1"/>
      <c r="P32" s="11"/>
    </row>
    <row r="33" spans="2:16" x14ac:dyDescent="0.3">
      <c r="B33" s="27" t="s">
        <v>530</v>
      </c>
      <c r="C33" s="3" t="str">
        <f t="shared" si="0"/>
        <v>und</v>
      </c>
      <c r="D33" s="30">
        <v>1</v>
      </c>
      <c r="E33" s="23">
        <f t="shared" si="1"/>
        <v>6695</v>
      </c>
      <c r="F33" s="30">
        <v>1</v>
      </c>
      <c r="G33" s="26">
        <f t="shared" si="3"/>
        <v>6695</v>
      </c>
      <c r="K33" s="9"/>
      <c r="L33" t="str">
        <f t="shared" si="4"/>
        <v>Termocontraible---</v>
      </c>
      <c r="M33">
        <f t="shared" si="2"/>
        <v>30</v>
      </c>
      <c r="N33" s="1"/>
      <c r="P33" s="11"/>
    </row>
    <row r="34" spans="2:16" x14ac:dyDescent="0.3">
      <c r="B34" s="27" t="s">
        <v>398</v>
      </c>
      <c r="C34" s="3" t="str">
        <f t="shared" si="0"/>
        <v>UND</v>
      </c>
      <c r="D34" s="30">
        <v>1</v>
      </c>
      <c r="E34" s="23">
        <f t="shared" si="1"/>
        <v>13458</v>
      </c>
      <c r="F34" s="30">
        <v>1</v>
      </c>
      <c r="G34" s="26">
        <f t="shared" si="3"/>
        <v>13458</v>
      </c>
      <c r="K34" s="9"/>
      <c r="L34" t="str">
        <f t="shared" si="4"/>
        <v>ETIQUETA PLASTICA---</v>
      </c>
      <c r="M34">
        <f t="shared" si="2"/>
        <v>30</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75419.666666666657</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t="s">
        <v>368</v>
      </c>
      <c r="C42" s="3" t="str">
        <f>+IF(B42="","",INDEX(U_MAQUINARIA,MATCH(B42,LISTA_MAQUINARIA,0)))</f>
        <v>VALOR / HORA</v>
      </c>
      <c r="D42" s="30">
        <v>1</v>
      </c>
      <c r="E42" s="23">
        <f>+IF(B42="","",INDEX(V_MAQUINARIA,MATCH(B42,LISTA_MAQUINARIA,0)))</f>
        <v>58531.818181818184</v>
      </c>
      <c r="F42" s="3">
        <f>+$G$20</f>
        <v>0.97</v>
      </c>
      <c r="G42" s="26">
        <f>IF(D42="","",(E42*D42)/F42)</f>
        <v>60342.080599812565</v>
      </c>
      <c r="K42" s="9"/>
      <c r="L42" s="23">
        <f>IF(B42="","",INDEX(V_COMBUSTIBLE_H,MATCH(B42,LISTA_MAQUINARIA,0)))</f>
        <v>21600</v>
      </c>
      <c r="M42" s="23">
        <f>+IF(L42="","",(L42*D42)/F42)</f>
        <v>22268.041237113404</v>
      </c>
      <c r="N42" s="23">
        <f>IF(G42="","",G42-M42)</f>
        <v>38074.039362699157</v>
      </c>
      <c r="P42" s="11"/>
    </row>
    <row r="43" spans="2:16" x14ac:dyDescent="0.3">
      <c r="B43" s="27"/>
      <c r="C43" s="3" t="str">
        <f>+IF(B43="","",INDEX(U_MAQUINARIA,MATCH(B43,LISTA_MAQUINARIA,0)))</f>
        <v/>
      </c>
      <c r="D43" s="30"/>
      <c r="E43" s="23" t="str">
        <f>+IF(B43="","",INDEX(V_MAQUINARIA,MATCH(B43,LISTA_MAQUINARIA,0)))</f>
        <v/>
      </c>
      <c r="F43" s="3">
        <f>+$G$20</f>
        <v>0.97</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0.97</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0.97</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0.97</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60342.080599812565</v>
      </c>
      <c r="K47" s="9"/>
      <c r="M47" s="24">
        <f>SUM(M42:M46)</f>
        <v>22268.041237113404</v>
      </c>
      <c r="N47" s="24">
        <f>SUM(N42:N46)</f>
        <v>38074.039362699157</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t="s">
        <v>306</v>
      </c>
      <c r="C50" s="30">
        <v>4</v>
      </c>
      <c r="D50" s="22">
        <f>+IF(B50="","",INDEX(F_PRESTACIONAL,MATCH(B50,L_PERSONAL,)))</f>
        <v>2.3170181818181819</v>
      </c>
      <c r="E50" s="23">
        <f>+IF(B50="","",INDEX(V_H_MANODEOBRA,MATCH(B50,L_PERSONAL,0)))</f>
        <v>46340.36363636364</v>
      </c>
      <c r="F50" s="3">
        <f>+$G$20</f>
        <v>0.97</v>
      </c>
      <c r="G50" s="26">
        <f>+IF(C50="","",(E50*C50)/F50)</f>
        <v>191094.28303655109</v>
      </c>
    </row>
    <row r="51" spans="2:7" x14ac:dyDescent="0.3">
      <c r="B51" s="27" t="s">
        <v>302</v>
      </c>
      <c r="C51" s="30">
        <v>1</v>
      </c>
      <c r="D51" s="22">
        <f>+IF(B51="","",INDEX(F_PRESTACIONAL,MATCH(B51,L_PERSONAL,)))</f>
        <v>2.0102000000000002</v>
      </c>
      <c r="E51" s="23">
        <f>+IF(B51="","",INDEX(V_H_MANODEOBRA,MATCH(B51,L_PERSONAL,0)))</f>
        <v>73098.181818181823</v>
      </c>
      <c r="F51" s="3">
        <f>+$G$20</f>
        <v>0.97</v>
      </c>
      <c r="G51" s="26">
        <f>+IF(C51="","",(E51*C51)/F51)</f>
        <v>75358.950328022504</v>
      </c>
    </row>
    <row r="52" spans="2:7" x14ac:dyDescent="0.3">
      <c r="B52" s="27"/>
      <c r="C52" s="30"/>
      <c r="D52" s="22" t="str">
        <f>+IF(B52="","",INDEX(F_PRESTACIONAL,MATCH(B52,L_PERSONAL,)))</f>
        <v/>
      </c>
      <c r="E52" s="23" t="str">
        <f>+IF(B52="","",INDEX(V_H_MANODEOBRA,MATCH(B52,L_PERSONAL,0)))</f>
        <v/>
      </c>
      <c r="F52" s="3">
        <f>+$G$20</f>
        <v>0.97</v>
      </c>
      <c r="G52" s="26" t="str">
        <f>+IF(C52="","",(E52*C52)/F52)</f>
        <v/>
      </c>
    </row>
    <row r="53" spans="2:7" x14ac:dyDescent="0.3">
      <c r="B53" s="27"/>
      <c r="C53" s="30"/>
      <c r="D53" s="22" t="str">
        <f>+IF(B53="","",INDEX(F_PRESTACIONAL,MATCH(B53,L_PERSONAL,)))</f>
        <v/>
      </c>
      <c r="E53" s="23" t="str">
        <f>+IF(B53="","",INDEX(V_H_MANODEOBRA,MATCH(B53,L_PERSONAL,0)))</f>
        <v/>
      </c>
      <c r="F53" s="3">
        <f>+$G$20</f>
        <v>0.97</v>
      </c>
      <c r="G53" s="26" t="str">
        <f>+IF(C53="","",(E53*C53)/F53)</f>
        <v/>
      </c>
    </row>
    <row r="54" spans="2:7" x14ac:dyDescent="0.3">
      <c r="B54" s="27"/>
      <c r="C54" s="30"/>
      <c r="D54" s="22" t="str">
        <f>+IF(B54="","",INDEX(F_PRESTACIONAL,MATCH(B54,L_PERSONAL,)))</f>
        <v/>
      </c>
      <c r="E54" s="23" t="str">
        <f>+IF(B54="","",INDEX(V_H_MANODEOBRA,MATCH(B54,L_PERSONAL,0)))</f>
        <v/>
      </c>
      <c r="F54" s="3">
        <f>+$G$20</f>
        <v>0.97</v>
      </c>
      <c r="G54" s="26" t="str">
        <f>+IF(C54="","",(E54*C54)/F54)</f>
        <v/>
      </c>
    </row>
    <row r="55" spans="2:7" x14ac:dyDescent="0.3">
      <c r="B55" s="9"/>
      <c r="G55" s="26">
        <f>SUM(G50:G54)</f>
        <v>266453.23336457356</v>
      </c>
    </row>
    <row r="56" spans="2:7" ht="17.25" thickBot="1" x14ac:dyDescent="0.35">
      <c r="B56" s="9"/>
      <c r="G56" s="11"/>
    </row>
    <row r="57" spans="2:7" ht="17.25" thickBot="1" x14ac:dyDescent="0.35">
      <c r="B57" s="610" t="s">
        <v>98</v>
      </c>
      <c r="C57" s="611"/>
      <c r="D57" s="611"/>
      <c r="E57" s="611"/>
      <c r="F57" s="612"/>
      <c r="G57" s="66">
        <f>+G55+G47+G39+G28</f>
        <v>402214.98063105275</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48265.797675726331</v>
      </c>
    </row>
    <row r="61" spans="2:7" x14ac:dyDescent="0.3">
      <c r="B61" s="613" t="s">
        <v>86</v>
      </c>
      <c r="C61" s="614"/>
      <c r="D61" s="614"/>
      <c r="E61" s="614"/>
      <c r="F61" s="22">
        <f>+IMPREVISTOS</f>
        <v>0.03</v>
      </c>
      <c r="G61" s="26">
        <f>+$G$57*F61</f>
        <v>12066.449418931583</v>
      </c>
    </row>
    <row r="62" spans="2:7" x14ac:dyDescent="0.3">
      <c r="B62" s="613" t="s">
        <v>87</v>
      </c>
      <c r="C62" s="614"/>
      <c r="D62" s="614"/>
      <c r="E62" s="614"/>
      <c r="F62" s="22">
        <f>+UTILIDAD</f>
        <v>0.05</v>
      </c>
      <c r="G62" s="26">
        <f>+$G$57*F62</f>
        <v>20110.749031552637</v>
      </c>
    </row>
    <row r="63" spans="2:7" x14ac:dyDescent="0.3">
      <c r="B63" s="596" t="s">
        <v>100</v>
      </c>
      <c r="C63" s="597"/>
      <c r="D63" s="597"/>
      <c r="E63" s="597"/>
      <c r="F63" s="597"/>
      <c r="G63" s="53">
        <f>SUM(G60:G62)</f>
        <v>80442.99612621055</v>
      </c>
    </row>
    <row r="64" spans="2:7" ht="17.25" thickBot="1" x14ac:dyDescent="0.35">
      <c r="B64" s="9"/>
      <c r="G64" s="44"/>
    </row>
    <row r="65" spans="2:7" ht="17.25" thickBot="1" x14ac:dyDescent="0.35">
      <c r="B65" s="598" t="s">
        <v>101</v>
      </c>
      <c r="C65" s="599"/>
      <c r="D65" s="599"/>
      <c r="E65" s="599"/>
      <c r="F65" s="600"/>
      <c r="G65" s="65">
        <f>+G63+G57</f>
        <v>482657.9767572633</v>
      </c>
    </row>
    <row r="66" spans="2:7" x14ac:dyDescent="0.3">
      <c r="B66" s="6"/>
      <c r="C66" s="7"/>
      <c r="D66" s="7"/>
      <c r="E66" s="7"/>
      <c r="F66" s="7"/>
      <c r="G66" s="8"/>
    </row>
    <row r="67" spans="2:7" x14ac:dyDescent="0.3">
      <c r="B67" s="9"/>
      <c r="G67" s="11"/>
    </row>
    <row r="68" spans="2:7" x14ac:dyDescent="0.3">
      <c r="B68" s="69" t="s">
        <v>123</v>
      </c>
      <c r="C68" s="67"/>
      <c r="D68" s="67"/>
      <c r="E68" s="67"/>
      <c r="F68" s="67"/>
      <c r="G68" s="70"/>
    </row>
    <row r="69" spans="2:7" x14ac:dyDescent="0.3">
      <c r="B69" s="71"/>
      <c r="C69" s="67"/>
      <c r="D69" s="67"/>
      <c r="E69" s="67"/>
      <c r="F69" s="67"/>
      <c r="G69" s="70"/>
    </row>
    <row r="70" spans="2:7" x14ac:dyDescent="0.3">
      <c r="B70" s="72"/>
      <c r="C70" s="68"/>
      <c r="D70" s="68"/>
      <c r="E70" s="68"/>
      <c r="F70" s="68"/>
      <c r="G70" s="73"/>
    </row>
    <row r="71" spans="2:7" x14ac:dyDescent="0.3">
      <c r="B71" s="71"/>
      <c r="C71" s="67"/>
      <c r="D71" s="67"/>
      <c r="E71" s="67"/>
      <c r="F71" s="67"/>
      <c r="G71" s="70"/>
    </row>
    <row r="72" spans="2:7" ht="17.25" thickBot="1" x14ac:dyDescent="0.35">
      <c r="B72" s="15"/>
      <c r="C72" s="13"/>
      <c r="D72" s="13"/>
      <c r="E72" s="13"/>
      <c r="F72" s="13"/>
      <c r="G72" s="14"/>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count="5">
    <dataValidation type="list" allowBlank="1" showInputMessage="1" showErrorMessage="1" sqref="E102" xr:uid="{EBD1BCD0-350D-4BD2-A377-DE203924EAE4}">
      <formula1>$A$103:$A$105</formula1>
    </dataValidation>
    <dataValidation type="list" allowBlank="1" showInputMessage="1" showErrorMessage="1" sqref="B13" xr:uid="{9CD26C8A-C90B-4996-9A92-DB8D53D337B8}">
      <formula1>ITEM</formula1>
    </dataValidation>
    <dataValidation type="list" allowBlank="1" showInputMessage="1" showErrorMessage="1" sqref="B50:B54" xr:uid="{13580EBE-0CE6-48E6-A439-62C4505D32C5}">
      <formula1>L_PERSONAL</formula1>
    </dataValidation>
    <dataValidation type="list" allowBlank="1" showInputMessage="1" showErrorMessage="1" sqref="B31:B38" xr:uid="{5631F1DC-30E4-44D8-8E07-5FA9A064EEFF}">
      <formula1>L_MATERIALES</formula1>
    </dataValidation>
    <dataValidation type="list" allowBlank="1" showInputMessage="1" showErrorMessage="1" sqref="B23:B27 B42:B46" xr:uid="{980D3BCF-DF18-4D89-948E-3D992EBC5D52}">
      <formula1>LISTA_MAQUINARIA</formula1>
    </dataValidation>
  </dataValidations>
  <pageMargins left="1.6141732283464567" right="0.70866141732283472" top="0.74803149606299213" bottom="0.74803149606299213" header="0.31496062992125984" footer="0.31496062992125984"/>
  <pageSetup scale="50" orientation="portrait" r:id="rId1"/>
  <rowBreaks count="1" manualBreakCount="1">
    <brk id="78" max="16383" man="1"/>
  </rowBreaks>
  <colBreaks count="1" manualBreakCount="1">
    <brk id="7" max="1048575" man="1"/>
  </colBreaks>
  <drawing r:id="rId2"/>
  <tableParts count="1">
    <tablePart r:id="rId3"/>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683AAE-20D4-4939-8C71-FF790AB934E9}">
  <sheetPr codeName="Hoja33"/>
  <dimension ref="A1:P105"/>
  <sheetViews>
    <sheetView showGridLines="0" view="pageBreakPreview" zoomScale="57" zoomScaleNormal="60" workbookViewId="0">
      <selection activeCell="B1" sqref="B1:G78"/>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22</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18" t="str">
        <f>+IF($B$13="","",INDEX(DESCRIP_ITEM,MATCH($B$13,ITEM,0)))</f>
        <v>Instalación de conector tipo codo o de terminal premoldeado tipo interior con conector de compresión de 35kV para cable de 1x400 mm2 XLPE, 35 kV. Incluye el alistamiento del cable y montaje del premoldeado, torqueado según especifación del fabricante,  la conexión a la celda de MT, suministro de elementos de sujección del cable dentro de la celda, figuración técnica del cable, incluye el suministro y marquilla del cable y del termoencogible en el color establecido para cada fase y nivel de tensión según RETIE.</v>
      </c>
      <c r="C16" s="619"/>
      <c r="D16" s="619"/>
      <c r="E16" s="619"/>
      <c r="F16" s="619"/>
      <c r="G16" s="620"/>
    </row>
    <row r="17" spans="2:16" ht="75.599999999999994" customHeight="1" thickBot="1" x14ac:dyDescent="0.35">
      <c r="B17" s="621"/>
      <c r="C17" s="622"/>
      <c r="D17" s="622"/>
      <c r="E17" s="622"/>
      <c r="F17" s="622"/>
      <c r="G17" s="623"/>
    </row>
    <row r="18" spans="2:16" ht="17.25" thickBot="1" x14ac:dyDescent="0.35">
      <c r="B18" s="591"/>
      <c r="C18" s="579"/>
      <c r="D18" s="579"/>
      <c r="E18" s="579"/>
      <c r="G18" s="11"/>
    </row>
    <row r="19" spans="2:16" ht="17.25" thickBot="1" x14ac:dyDescent="0.35">
      <c r="B19" s="592"/>
      <c r="C19" s="593"/>
      <c r="D19" s="593"/>
      <c r="E19" s="593"/>
      <c r="F19" s="54" t="s">
        <v>89</v>
      </c>
      <c r="G19" s="25" t="str">
        <f>+IF(B13="","",INDEX(U_ITEM,MATCH(B13,ITEM,0)))</f>
        <v>UN</v>
      </c>
    </row>
    <row r="20" spans="2:16" ht="17.25" thickBot="1" x14ac:dyDescent="0.35">
      <c r="B20" s="592"/>
      <c r="C20" s="593"/>
      <c r="D20" s="593"/>
      <c r="E20" s="593"/>
      <c r="F20" s="55" t="s">
        <v>90</v>
      </c>
      <c r="G20" s="56">
        <v>0.87</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c r="C23" s="3" t="str">
        <f>+IF(B23="","",INDEX(U_MAQUINARIA,MATCH(B23,LISTA_MAQUINARIA,0)))</f>
        <v/>
      </c>
      <c r="D23" s="30"/>
      <c r="E23" s="23" t="str">
        <f>+IF(B23="","",INDEX(V_MAQUINARIA,MATCH(B23,LISTA_MAQUINARIA,0)))</f>
        <v/>
      </c>
      <c r="F23" s="3">
        <f>$G$20</f>
        <v>0.87</v>
      </c>
      <c r="G23" s="26" t="str">
        <f>+IF(B23="","",(D23*E23)/F23)</f>
        <v/>
      </c>
      <c r="K23" s="9"/>
      <c r="L23" s="23" t="str">
        <f>IF(B23="","",INDEX(V_COMBUSTIBLE_H,MATCH(B23,LISTA_MAQUINARIA,0)))</f>
        <v/>
      </c>
      <c r="M23" s="23" t="str">
        <f>+IF(L23="","",(L23*D23)/F23)</f>
        <v/>
      </c>
      <c r="N23" s="23" t="str">
        <f>IF(G23="","",G23-M23)</f>
        <v/>
      </c>
      <c r="P23" s="11"/>
    </row>
    <row r="24" spans="2:16" x14ac:dyDescent="0.3">
      <c r="B24" s="27"/>
      <c r="C24" s="3" t="str">
        <f>+IF(B24="","",INDEX(U_MAQUINARIA,MATCH(B24,LISTA_MAQUINARIA,0)))</f>
        <v/>
      </c>
      <c r="D24" s="30"/>
      <c r="E24" s="23" t="str">
        <f>+IF(B24="","",INDEX(V_MAQUINARIA,MATCH(B24,LISTA_MAQUINARIA,0)))</f>
        <v/>
      </c>
      <c r="F24" s="3">
        <f>$G$20</f>
        <v>0.87</v>
      </c>
      <c r="G24" s="26" t="str">
        <f>+IF(B24="","",(D24*E24)/F24)</f>
        <v/>
      </c>
      <c r="K24" s="9"/>
      <c r="L24" s="3" t="str">
        <f>IF(B24="","",INDEX(V_COMBUSTIBLE_H,MATCH(B24,LISTA_MAQUINARIA,0)))</f>
        <v/>
      </c>
      <c r="M24" s="3" t="str">
        <f>+IF(L24="","",(L24*D24)/F24)</f>
        <v/>
      </c>
      <c r="N24" s="3" t="str">
        <f>IF(G24="","",G24-M24)</f>
        <v/>
      </c>
      <c r="P24" s="11"/>
    </row>
    <row r="25" spans="2:16" x14ac:dyDescent="0.3">
      <c r="B25" s="27"/>
      <c r="C25" s="3" t="str">
        <f>+IF(B25="","",INDEX(U_MAQUINARIA,MATCH(B25,LISTA_MAQUINARIA,0)))</f>
        <v/>
      </c>
      <c r="D25" s="30"/>
      <c r="E25" s="23" t="str">
        <f>+IF(B25="","",INDEX(V_MAQUINARIA,MATCH(B25,LISTA_MAQUINARIA,0)))</f>
        <v/>
      </c>
      <c r="F25" s="3">
        <f>$G$20</f>
        <v>0.87</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0.87</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0.87</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0</v>
      </c>
      <c r="K28" s="9"/>
      <c r="M28" s="24">
        <f>SUM(M23:M27)</f>
        <v>0</v>
      </c>
      <c r="N28" s="24">
        <f>SUM(N23:N27)</f>
        <v>0</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t="s">
        <v>364</v>
      </c>
      <c r="C31" s="3" t="str">
        <f t="shared" ref="C31:C38" si="0">+IF(B31="","",INDEX(U_MATERIAL,MATCH(B31,L_MATERIALES,0)))</f>
        <v>UND</v>
      </c>
      <c r="D31" s="30">
        <v>1</v>
      </c>
      <c r="E31" s="23">
        <f t="shared" ref="E31:E38" si="1">+IF(B31="","",INDEX(V_UNITARIOMATERIAL,MATCH(B31,L_MATERIALES,0)))</f>
        <v>1250000</v>
      </c>
      <c r="F31" s="30">
        <v>30</v>
      </c>
      <c r="G31" s="26">
        <f>IF(D31="","",(E31*D31)/F31)</f>
        <v>41666.666666666664</v>
      </c>
      <c r="K31" s="9"/>
      <c r="L31" t="str">
        <f>+IF(B31="","",B31)</f>
        <v>TORQUIMETRO DIGITAL - ACREDITACION---</v>
      </c>
      <c r="M31">
        <f t="shared" ref="M31:M38" si="2">IF(D31="","",(D31/F31)*INDEX(CANT_PROYECTO,MATCH($B$13,ITEM,0)))</f>
        <v>1.4</v>
      </c>
      <c r="N31" s="1"/>
      <c r="P31" s="11"/>
    </row>
    <row r="32" spans="2:16" x14ac:dyDescent="0.3">
      <c r="B32" s="27" t="s">
        <v>361</v>
      </c>
      <c r="C32" s="3" t="str">
        <f t="shared" si="0"/>
        <v>UND</v>
      </c>
      <c r="D32" s="30">
        <v>1</v>
      </c>
      <c r="E32" s="23">
        <f t="shared" si="1"/>
        <v>340000</v>
      </c>
      <c r="F32" s="30">
        <v>25</v>
      </c>
      <c r="G32" s="26">
        <f t="shared" ref="G32:G38" si="3">IF(D32="","",(E32*D32)/F32)</f>
        <v>13600</v>
      </c>
      <c r="K32" s="9"/>
      <c r="L32" t="str">
        <f t="shared" ref="L32:L38" si="4">+IF(B32="","",B32)</f>
        <v>HERRAMIENTA MENOR---</v>
      </c>
      <c r="M32">
        <f t="shared" si="2"/>
        <v>1.68</v>
      </c>
      <c r="N32" s="1"/>
      <c r="P32" s="11"/>
    </row>
    <row r="33" spans="2:16" x14ac:dyDescent="0.3">
      <c r="B33" s="27" t="s">
        <v>530</v>
      </c>
      <c r="C33" s="3" t="str">
        <f t="shared" si="0"/>
        <v>und</v>
      </c>
      <c r="D33" s="30">
        <v>1</v>
      </c>
      <c r="E33" s="23">
        <f t="shared" si="1"/>
        <v>6695</v>
      </c>
      <c r="F33" s="30">
        <v>1</v>
      </c>
      <c r="G33" s="26">
        <f t="shared" si="3"/>
        <v>6695</v>
      </c>
      <c r="K33" s="9"/>
      <c r="L33" t="str">
        <f t="shared" si="4"/>
        <v>Termocontraible---</v>
      </c>
      <c r="M33">
        <f t="shared" si="2"/>
        <v>42</v>
      </c>
      <c r="N33" s="1"/>
      <c r="P33" s="11"/>
    </row>
    <row r="34" spans="2:16" x14ac:dyDescent="0.3">
      <c r="B34" s="27" t="s">
        <v>398</v>
      </c>
      <c r="C34" s="3" t="str">
        <f t="shared" si="0"/>
        <v>UND</v>
      </c>
      <c r="D34" s="30">
        <v>1</v>
      </c>
      <c r="E34" s="23">
        <f t="shared" si="1"/>
        <v>13458</v>
      </c>
      <c r="F34" s="30">
        <v>1</v>
      </c>
      <c r="G34" s="26">
        <f t="shared" si="3"/>
        <v>13458</v>
      </c>
      <c r="K34" s="9"/>
      <c r="L34" t="str">
        <f t="shared" si="4"/>
        <v>ETIQUETA PLASTICA---</v>
      </c>
      <c r="M34">
        <f t="shared" si="2"/>
        <v>42</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75419.666666666657</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t="s">
        <v>368</v>
      </c>
      <c r="C42" s="3" t="str">
        <f>+IF(B42="","",INDEX(U_MAQUINARIA,MATCH(B42,LISTA_MAQUINARIA,0)))</f>
        <v>VALOR / HORA</v>
      </c>
      <c r="D42" s="30">
        <v>1</v>
      </c>
      <c r="E42" s="23">
        <f>+IF(B42="","",INDEX(V_MAQUINARIA,MATCH(B42,LISTA_MAQUINARIA,0)))</f>
        <v>58531.818181818184</v>
      </c>
      <c r="F42" s="3">
        <f>+$G$20</f>
        <v>0.87</v>
      </c>
      <c r="G42" s="26">
        <f>IF(D42="","",(E42*D42)/F42)</f>
        <v>67277.95193312435</v>
      </c>
      <c r="K42" s="9"/>
      <c r="L42" s="23">
        <f>IF(B42="","",INDEX(V_COMBUSTIBLE_H,MATCH(B42,LISTA_MAQUINARIA,0)))</f>
        <v>21600</v>
      </c>
      <c r="M42" s="23">
        <f>+IF(L42="","",(L42*D42)/F42)</f>
        <v>24827.586206896551</v>
      </c>
      <c r="N42" s="23">
        <f>IF(G42="","",G42-M42)</f>
        <v>42450.365726227799</v>
      </c>
      <c r="P42" s="11"/>
    </row>
    <row r="43" spans="2:16" x14ac:dyDescent="0.3">
      <c r="B43" s="27"/>
      <c r="C43" s="3" t="str">
        <f>+IF(B43="","",INDEX(U_MAQUINARIA,MATCH(B43,LISTA_MAQUINARIA,0)))</f>
        <v/>
      </c>
      <c r="D43" s="30"/>
      <c r="E43" s="23" t="str">
        <f>+IF(B43="","",INDEX(V_MAQUINARIA,MATCH(B43,LISTA_MAQUINARIA,0)))</f>
        <v/>
      </c>
      <c r="F43" s="3">
        <f>+$G$20</f>
        <v>0.87</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0.87</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0.87</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0.87</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67277.95193312435</v>
      </c>
      <c r="K47" s="9"/>
      <c r="M47" s="24">
        <f>SUM(M42:M46)</f>
        <v>24827.586206896551</v>
      </c>
      <c r="N47" s="24">
        <f>SUM(N42:N46)</f>
        <v>42450.365726227799</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t="s">
        <v>306</v>
      </c>
      <c r="C50" s="30">
        <v>4</v>
      </c>
      <c r="D50" s="22">
        <f>+IF(B50="","",INDEX(F_PRESTACIONAL,MATCH(B50,L_PERSONAL,)))</f>
        <v>2.3170181818181819</v>
      </c>
      <c r="E50" s="23">
        <f>+IF(B50="","",INDEX(V_H_MANODEOBRA,MATCH(B50,L_PERSONAL,0)))</f>
        <v>46340.36363636364</v>
      </c>
      <c r="F50" s="3">
        <f>+$G$20</f>
        <v>0.87</v>
      </c>
      <c r="G50" s="26">
        <f>+IF(C50="","",(E50*C50)/F50)</f>
        <v>213059.14315569491</v>
      </c>
    </row>
    <row r="51" spans="2:7" x14ac:dyDescent="0.3">
      <c r="B51" s="27" t="s">
        <v>302</v>
      </c>
      <c r="C51" s="30">
        <v>1</v>
      </c>
      <c r="D51" s="22">
        <f>+IF(B51="","",INDEX(F_PRESTACIONAL,MATCH(B51,L_PERSONAL,)))</f>
        <v>2.0102000000000002</v>
      </c>
      <c r="E51" s="23">
        <f>+IF(B51="","",INDEX(V_H_MANODEOBRA,MATCH(B51,L_PERSONAL,0)))</f>
        <v>73098.181818181823</v>
      </c>
      <c r="F51" s="3">
        <f>+$G$20</f>
        <v>0.87</v>
      </c>
      <c r="G51" s="26">
        <f>+IF(C51="","",(E51*C51)/F51)</f>
        <v>84020.898641588297</v>
      </c>
    </row>
    <row r="52" spans="2:7" x14ac:dyDescent="0.3">
      <c r="B52" s="27"/>
      <c r="C52" s="30"/>
      <c r="D52" s="22" t="str">
        <f>+IF(B52="","",INDEX(F_PRESTACIONAL,MATCH(B52,L_PERSONAL,)))</f>
        <v/>
      </c>
      <c r="E52" s="23" t="str">
        <f>+IF(B52="","",INDEX(V_H_MANODEOBRA,MATCH(B52,L_PERSONAL,0)))</f>
        <v/>
      </c>
      <c r="F52" s="3">
        <f>+$G$20</f>
        <v>0.87</v>
      </c>
      <c r="G52" s="26" t="str">
        <f>+IF(C52="","",(E52*C52)/F52)</f>
        <v/>
      </c>
    </row>
    <row r="53" spans="2:7" x14ac:dyDescent="0.3">
      <c r="B53" s="27"/>
      <c r="C53" s="30"/>
      <c r="D53" s="22" t="str">
        <f>+IF(B53="","",INDEX(F_PRESTACIONAL,MATCH(B53,L_PERSONAL,)))</f>
        <v/>
      </c>
      <c r="E53" s="23" t="str">
        <f>+IF(B53="","",INDEX(V_H_MANODEOBRA,MATCH(B53,L_PERSONAL,0)))</f>
        <v/>
      </c>
      <c r="F53" s="3">
        <f>+$G$20</f>
        <v>0.87</v>
      </c>
      <c r="G53" s="26" t="str">
        <f>+IF(C53="","",(E53*C53)/F53)</f>
        <v/>
      </c>
    </row>
    <row r="54" spans="2:7" x14ac:dyDescent="0.3">
      <c r="B54" s="27"/>
      <c r="C54" s="30"/>
      <c r="D54" s="22" t="str">
        <f>+IF(B54="","",INDEX(F_PRESTACIONAL,MATCH(B54,L_PERSONAL,)))</f>
        <v/>
      </c>
      <c r="E54" s="23" t="str">
        <f>+IF(B54="","",INDEX(V_H_MANODEOBRA,MATCH(B54,L_PERSONAL,0)))</f>
        <v/>
      </c>
      <c r="F54" s="3">
        <f>+$G$20</f>
        <v>0.87</v>
      </c>
      <c r="G54" s="26" t="str">
        <f>+IF(C54="","",(E54*C54)/F54)</f>
        <v/>
      </c>
    </row>
    <row r="55" spans="2:7" x14ac:dyDescent="0.3">
      <c r="B55" s="9"/>
      <c r="G55" s="26">
        <f>SUM(G50:G54)</f>
        <v>297080.04179728322</v>
      </c>
    </row>
    <row r="56" spans="2:7" ht="17.25" thickBot="1" x14ac:dyDescent="0.35">
      <c r="B56" s="9"/>
      <c r="G56" s="11"/>
    </row>
    <row r="57" spans="2:7" ht="17.25" thickBot="1" x14ac:dyDescent="0.35">
      <c r="B57" s="610" t="s">
        <v>98</v>
      </c>
      <c r="C57" s="611"/>
      <c r="D57" s="611"/>
      <c r="E57" s="611"/>
      <c r="F57" s="612"/>
      <c r="G57" s="66">
        <f>+G55+G47+G39+G28</f>
        <v>439777.66039707419</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52773.319247648898</v>
      </c>
    </row>
    <row r="61" spans="2:7" x14ac:dyDescent="0.3">
      <c r="B61" s="613" t="s">
        <v>86</v>
      </c>
      <c r="C61" s="614"/>
      <c r="D61" s="614"/>
      <c r="E61" s="614"/>
      <c r="F61" s="22">
        <f>+IMPREVISTOS</f>
        <v>0.03</v>
      </c>
      <c r="G61" s="26">
        <f>+$G$57*F61</f>
        <v>13193.329811912225</v>
      </c>
    </row>
    <row r="62" spans="2:7" x14ac:dyDescent="0.3">
      <c r="B62" s="613" t="s">
        <v>87</v>
      </c>
      <c r="C62" s="614"/>
      <c r="D62" s="614"/>
      <c r="E62" s="614"/>
      <c r="F62" s="22">
        <f>+UTILIDAD</f>
        <v>0.05</v>
      </c>
      <c r="G62" s="26">
        <f>+$G$57*F62</f>
        <v>21988.883019853711</v>
      </c>
    </row>
    <row r="63" spans="2:7" x14ac:dyDescent="0.3">
      <c r="B63" s="596" t="s">
        <v>100</v>
      </c>
      <c r="C63" s="597"/>
      <c r="D63" s="597"/>
      <c r="E63" s="597"/>
      <c r="F63" s="597"/>
      <c r="G63" s="53">
        <f>SUM(G60:G62)</f>
        <v>87955.532079414843</v>
      </c>
    </row>
    <row r="64" spans="2:7" ht="17.25" thickBot="1" x14ac:dyDescent="0.35">
      <c r="B64" s="9"/>
      <c r="G64" s="44"/>
    </row>
    <row r="65" spans="2:7" ht="17.25" thickBot="1" x14ac:dyDescent="0.35">
      <c r="B65" s="598" t="s">
        <v>101</v>
      </c>
      <c r="C65" s="599"/>
      <c r="D65" s="599"/>
      <c r="E65" s="599"/>
      <c r="F65" s="600"/>
      <c r="G65" s="65">
        <f>+G63+G57</f>
        <v>527733.192476489</v>
      </c>
    </row>
    <row r="66" spans="2:7" x14ac:dyDescent="0.3">
      <c r="B66" s="6"/>
      <c r="C66" s="7"/>
      <c r="D66" s="7"/>
      <c r="E66" s="7"/>
      <c r="F66" s="7"/>
      <c r="G66" s="8"/>
    </row>
    <row r="67" spans="2:7" x14ac:dyDescent="0.3">
      <c r="B67" s="9"/>
      <c r="G67" s="11"/>
    </row>
    <row r="68" spans="2:7" x14ac:dyDescent="0.3">
      <c r="B68" s="69" t="s">
        <v>123</v>
      </c>
      <c r="C68" s="67"/>
      <c r="D68" s="67"/>
      <c r="E68" s="67"/>
      <c r="F68" s="67"/>
      <c r="G68" s="70"/>
    </row>
    <row r="69" spans="2:7" x14ac:dyDescent="0.3">
      <c r="B69" s="71"/>
      <c r="C69" s="67"/>
      <c r="D69" s="67"/>
      <c r="E69" s="67"/>
      <c r="F69" s="67"/>
      <c r="G69" s="70"/>
    </row>
    <row r="70" spans="2:7" x14ac:dyDescent="0.3">
      <c r="B70" s="72"/>
      <c r="C70" s="68"/>
      <c r="D70" s="68"/>
      <c r="E70" s="68"/>
      <c r="F70" s="68"/>
      <c r="G70" s="73"/>
    </row>
    <row r="71" spans="2:7" x14ac:dyDescent="0.3">
      <c r="B71" s="71"/>
      <c r="C71" s="67"/>
      <c r="D71" s="67"/>
      <c r="E71" s="67"/>
      <c r="F71" s="67"/>
      <c r="G71" s="70"/>
    </row>
    <row r="72" spans="2:7" ht="17.25" thickBot="1" x14ac:dyDescent="0.35">
      <c r="B72" s="15"/>
      <c r="C72" s="13"/>
      <c r="D72" s="13"/>
      <c r="E72" s="13"/>
      <c r="F72" s="13"/>
      <c r="G72" s="14"/>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count="5">
    <dataValidation type="list" allowBlank="1" showInputMessage="1" showErrorMessage="1" sqref="E102" xr:uid="{99A84DCB-FD8F-4C19-97D9-2829212E8BE9}">
      <formula1>$A$103:$A$105</formula1>
    </dataValidation>
    <dataValidation type="list" allowBlank="1" showInputMessage="1" showErrorMessage="1" sqref="B13" xr:uid="{18873449-CD94-4B8C-9AF4-181D0034EA7F}">
      <formula1>ITEM</formula1>
    </dataValidation>
    <dataValidation type="list" allowBlank="1" showInputMessage="1" showErrorMessage="1" sqref="B50:B54" xr:uid="{99C28B99-3C5A-4C09-94EE-221593825D1F}">
      <formula1>L_PERSONAL</formula1>
    </dataValidation>
    <dataValidation type="list" allowBlank="1" showInputMessage="1" showErrorMessage="1" sqref="B31:B38" xr:uid="{BA34C7F2-8D6E-4EF1-98C1-9DBD909461D4}">
      <formula1>L_MATERIALES</formula1>
    </dataValidation>
    <dataValidation type="list" allowBlank="1" showInputMessage="1" showErrorMessage="1" sqref="B23:B27 B42:B46" xr:uid="{9F843A4D-4D62-4107-AC8C-4C25AE8F3D02}">
      <formula1>LISTA_MAQUINARIA</formula1>
    </dataValidation>
  </dataValidations>
  <pageMargins left="1.6141732283464567" right="0.70866141732283472" top="0.74803149606299213" bottom="0.74803149606299213" header="0.31496062992125984" footer="0.31496062992125984"/>
  <pageSetup scale="50" orientation="portrait" r:id="rId1"/>
  <rowBreaks count="1" manualBreakCount="1">
    <brk id="78" max="16383" man="1"/>
  </rowBreaks>
  <colBreaks count="1" manualBreakCount="1">
    <brk id="7" max="1048575" man="1"/>
  </colBreaks>
  <drawing r:id="rId2"/>
  <tableParts count="1">
    <tablePart r:id="rId3"/>
  </tablePar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F19E34-1AA0-4FB5-B9F2-E3FF9044F86F}">
  <sheetPr codeName="Hoja34"/>
  <dimension ref="A1:P105"/>
  <sheetViews>
    <sheetView showGridLines="0" view="pageBreakPreview" zoomScale="52" zoomScaleNormal="60" workbookViewId="0">
      <selection activeCell="B51" sqref="B51"/>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23</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18" t="str">
        <f>+IF($B$13="","",INDEX(DESCRIP_ITEM,MATCH($B$13,ITEM,0)))</f>
        <v>Instalación de conector tipo codo o de terminal premoldeado tipo interior con conector de compresión de 35kV para cable de 1x630 mm2 XLPE, 35 kV. Incluye el alistamiento del cable y montaje del premoldeado, torqueado según especifación del fabricante,  la conexión a la celda de MT, suministro de elementos de sujección del cable dentro de la celda, figuración técnica del cable, incluye el suministro y marquilla del cable y del termoencogible en el color establecido para cada fase y nivel de tensión según RETIE.</v>
      </c>
      <c r="C16" s="619"/>
      <c r="D16" s="619"/>
      <c r="E16" s="619"/>
      <c r="F16" s="619"/>
      <c r="G16" s="620"/>
    </row>
    <row r="17" spans="2:16" ht="88.9" customHeight="1" thickBot="1" x14ac:dyDescent="0.35">
      <c r="B17" s="621"/>
      <c r="C17" s="622"/>
      <c r="D17" s="622"/>
      <c r="E17" s="622"/>
      <c r="F17" s="622"/>
      <c r="G17" s="623"/>
    </row>
    <row r="18" spans="2:16" ht="17.25" thickBot="1" x14ac:dyDescent="0.35">
      <c r="B18" s="591"/>
      <c r="C18" s="579"/>
      <c r="D18" s="579"/>
      <c r="E18" s="579"/>
      <c r="G18" s="11"/>
    </row>
    <row r="19" spans="2:16" ht="17.25" thickBot="1" x14ac:dyDescent="0.35">
      <c r="B19" s="592"/>
      <c r="C19" s="593"/>
      <c r="D19" s="593"/>
      <c r="E19" s="593"/>
      <c r="F19" s="54" t="s">
        <v>89</v>
      </c>
      <c r="G19" s="25" t="str">
        <f>+IF(B13="","",INDEX(U_ITEM,MATCH(B13,ITEM,0)))</f>
        <v>UN</v>
      </c>
    </row>
    <row r="20" spans="2:16" ht="17.25" thickBot="1" x14ac:dyDescent="0.35">
      <c r="B20" s="592"/>
      <c r="C20" s="593"/>
      <c r="D20" s="593"/>
      <c r="E20" s="593"/>
      <c r="F20" s="55" t="s">
        <v>90</v>
      </c>
      <c r="G20" s="56">
        <v>0.77</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c r="C23" s="3" t="str">
        <f>+IF(B23="","",INDEX(U_MAQUINARIA,MATCH(B23,LISTA_MAQUINARIA,0)))</f>
        <v/>
      </c>
      <c r="D23" s="30"/>
      <c r="E23" s="23" t="str">
        <f>+IF(B23="","",INDEX(V_MAQUINARIA,MATCH(B23,LISTA_MAQUINARIA,0)))</f>
        <v/>
      </c>
      <c r="F23" s="3">
        <f>$G$20</f>
        <v>0.77</v>
      </c>
      <c r="G23" s="26" t="str">
        <f>+IF(B23="","",(D23*E23)/F23)</f>
        <v/>
      </c>
      <c r="K23" s="9"/>
      <c r="L23" s="23" t="str">
        <f>IF(B23="","",INDEX(V_COMBUSTIBLE_H,MATCH(B23,LISTA_MAQUINARIA,0)))</f>
        <v/>
      </c>
      <c r="M23" s="23" t="str">
        <f>+IF(L23="","",(L23*D23)/F23)</f>
        <v/>
      </c>
      <c r="N23" s="23" t="str">
        <f>IF(G23="","",G23-M23)</f>
        <v/>
      </c>
      <c r="P23" s="11"/>
    </row>
    <row r="24" spans="2:16" x14ac:dyDescent="0.3">
      <c r="B24" s="27"/>
      <c r="C24" s="3" t="str">
        <f>+IF(B24="","",INDEX(U_MAQUINARIA,MATCH(B24,LISTA_MAQUINARIA,0)))</f>
        <v/>
      </c>
      <c r="D24" s="30"/>
      <c r="E24" s="23" t="str">
        <f>+IF(B24="","",INDEX(V_MAQUINARIA,MATCH(B24,LISTA_MAQUINARIA,0)))</f>
        <v/>
      </c>
      <c r="F24" s="3">
        <f>$G$20</f>
        <v>0.77</v>
      </c>
      <c r="G24" s="26" t="str">
        <f>+IF(B24="","",(D24*E24)/F24)</f>
        <v/>
      </c>
      <c r="K24" s="9"/>
      <c r="L24" s="3" t="str">
        <f>IF(B24="","",INDEX(V_COMBUSTIBLE_H,MATCH(B24,LISTA_MAQUINARIA,0)))</f>
        <v/>
      </c>
      <c r="M24" s="3" t="str">
        <f>+IF(L24="","",(L24*D24)/F24)</f>
        <v/>
      </c>
      <c r="N24" s="3" t="str">
        <f>IF(G24="","",G24-M24)</f>
        <v/>
      </c>
      <c r="P24" s="11"/>
    </row>
    <row r="25" spans="2:16" x14ac:dyDescent="0.3">
      <c r="B25" s="27"/>
      <c r="C25" s="3" t="str">
        <f>+IF(B25="","",INDEX(U_MAQUINARIA,MATCH(B25,LISTA_MAQUINARIA,0)))</f>
        <v/>
      </c>
      <c r="D25" s="30"/>
      <c r="E25" s="23" t="str">
        <f>+IF(B25="","",INDEX(V_MAQUINARIA,MATCH(B25,LISTA_MAQUINARIA,0)))</f>
        <v/>
      </c>
      <c r="F25" s="3">
        <f>$G$20</f>
        <v>0.77</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0.77</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0.77</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0</v>
      </c>
      <c r="K28" s="9"/>
      <c r="M28" s="24">
        <f>SUM(M23:M27)</f>
        <v>0</v>
      </c>
      <c r="N28" s="24">
        <f>SUM(N23:N27)</f>
        <v>0</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t="s">
        <v>364</v>
      </c>
      <c r="C31" s="3" t="str">
        <f t="shared" ref="C31:C38" si="0">+IF(B31="","",INDEX(U_MATERIAL,MATCH(B31,L_MATERIALES,0)))</f>
        <v>UND</v>
      </c>
      <c r="D31" s="30">
        <v>1</v>
      </c>
      <c r="E31" s="23">
        <f t="shared" ref="E31:E38" si="1">+IF(B31="","",INDEX(V_UNITARIOMATERIAL,MATCH(B31,L_MATERIALES,0)))</f>
        <v>1250000</v>
      </c>
      <c r="F31" s="30">
        <v>30</v>
      </c>
      <c r="G31" s="26">
        <f>IF(D31="","",(E31*D31)/F31)</f>
        <v>41666.666666666664</v>
      </c>
      <c r="K31" s="9"/>
      <c r="L31" t="str">
        <f>+IF(B31="","",B31)</f>
        <v>TORQUIMETRO DIGITAL - ACREDITACION---</v>
      </c>
      <c r="M31" s="170">
        <f t="shared" ref="M31:M38" si="2">IF(D31="","",(D31/F31)*INDEX(CANT_PROYECTO,MATCH($B$13,ITEM,0)))</f>
        <v>1</v>
      </c>
      <c r="N31" s="1"/>
      <c r="P31" s="11"/>
    </row>
    <row r="32" spans="2:16" x14ac:dyDescent="0.3">
      <c r="B32" s="27" t="s">
        <v>361</v>
      </c>
      <c r="C32" s="3" t="str">
        <f t="shared" si="0"/>
        <v>UND</v>
      </c>
      <c r="D32" s="30">
        <v>1</v>
      </c>
      <c r="E32" s="23">
        <f t="shared" si="1"/>
        <v>340000</v>
      </c>
      <c r="F32" s="30">
        <v>25</v>
      </c>
      <c r="G32" s="26">
        <f t="shared" ref="G32:G38" si="3">IF(D32="","",(E32*D32)/F32)</f>
        <v>13600</v>
      </c>
      <c r="K32" s="9"/>
      <c r="L32" t="str">
        <f t="shared" ref="L32:L38" si="4">+IF(B32="","",B32)</f>
        <v>HERRAMIENTA MENOR---</v>
      </c>
      <c r="M32">
        <f t="shared" si="2"/>
        <v>1.2</v>
      </c>
      <c r="N32" s="1"/>
      <c r="P32" s="11"/>
    </row>
    <row r="33" spans="2:16" x14ac:dyDescent="0.3">
      <c r="B33" s="27" t="s">
        <v>530</v>
      </c>
      <c r="C33" s="3" t="str">
        <f t="shared" si="0"/>
        <v>und</v>
      </c>
      <c r="D33" s="30">
        <v>1</v>
      </c>
      <c r="E33" s="23">
        <f t="shared" si="1"/>
        <v>6695</v>
      </c>
      <c r="F33" s="30">
        <v>1</v>
      </c>
      <c r="G33" s="26">
        <f t="shared" si="3"/>
        <v>6695</v>
      </c>
      <c r="K33" s="9"/>
      <c r="L33" t="str">
        <f t="shared" si="4"/>
        <v>Termocontraible---</v>
      </c>
      <c r="M33">
        <f t="shared" si="2"/>
        <v>30</v>
      </c>
      <c r="N33" s="1"/>
      <c r="P33" s="11"/>
    </row>
    <row r="34" spans="2:16" x14ac:dyDescent="0.3">
      <c r="B34" s="27" t="s">
        <v>398</v>
      </c>
      <c r="C34" s="3" t="str">
        <f t="shared" si="0"/>
        <v>UND</v>
      </c>
      <c r="D34" s="30">
        <v>1</v>
      </c>
      <c r="E34" s="23">
        <f t="shared" si="1"/>
        <v>13458</v>
      </c>
      <c r="F34" s="30">
        <v>1</v>
      </c>
      <c r="G34" s="26">
        <f t="shared" si="3"/>
        <v>13458</v>
      </c>
      <c r="K34" s="9"/>
      <c r="L34" t="str">
        <f t="shared" si="4"/>
        <v>ETIQUETA PLASTICA---</v>
      </c>
      <c r="M34">
        <f t="shared" si="2"/>
        <v>30</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75419.666666666657</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t="s">
        <v>368</v>
      </c>
      <c r="C42" s="3" t="str">
        <f>+IF(B42="","",INDEX(U_MAQUINARIA,MATCH(B42,LISTA_MAQUINARIA,0)))</f>
        <v>VALOR / HORA</v>
      </c>
      <c r="D42" s="30">
        <v>1</v>
      </c>
      <c r="E42" s="23">
        <f>+IF(B42="","",INDEX(V_MAQUINARIA,MATCH(B42,LISTA_MAQUINARIA,0)))</f>
        <v>58531.818181818184</v>
      </c>
      <c r="F42" s="3">
        <f>+$G$20</f>
        <v>0.77</v>
      </c>
      <c r="G42" s="26">
        <f>IF(D42="","",(E42*D42)/F42)</f>
        <v>76015.348288075562</v>
      </c>
      <c r="K42" s="9"/>
      <c r="L42" s="23">
        <f>IF(B42="","",INDEX(V_COMBUSTIBLE_H,MATCH(B42,LISTA_MAQUINARIA,0)))</f>
        <v>21600</v>
      </c>
      <c r="M42" s="23">
        <f>+IF(L42="","",(L42*D42)/F42)</f>
        <v>28051.948051948053</v>
      </c>
      <c r="N42" s="23">
        <f>IF(G42="","",G42-M42)</f>
        <v>47963.400236127505</v>
      </c>
      <c r="P42" s="11"/>
    </row>
    <row r="43" spans="2:16" x14ac:dyDescent="0.3">
      <c r="B43" s="27"/>
      <c r="C43" s="3" t="str">
        <f>+IF(B43="","",INDEX(U_MAQUINARIA,MATCH(B43,LISTA_MAQUINARIA,0)))</f>
        <v/>
      </c>
      <c r="D43" s="30"/>
      <c r="E43" s="23" t="str">
        <f>+IF(B43="","",INDEX(V_MAQUINARIA,MATCH(B43,LISTA_MAQUINARIA,0)))</f>
        <v/>
      </c>
      <c r="F43" s="3">
        <f>+$G$20</f>
        <v>0.77</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0.77</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0.77</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0.77</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76015.348288075562</v>
      </c>
      <c r="K47" s="9"/>
      <c r="M47" s="24">
        <f>SUM(M42:M46)</f>
        <v>28051.948051948053</v>
      </c>
      <c r="N47" s="24">
        <f>SUM(N42:N46)</f>
        <v>47963.400236127505</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t="s">
        <v>306</v>
      </c>
      <c r="C50" s="30">
        <v>4</v>
      </c>
      <c r="D50" s="22">
        <f>+IF(B50="","",INDEX(F_PRESTACIONAL,MATCH(B50,L_PERSONAL,)))</f>
        <v>2.3170181818181819</v>
      </c>
      <c r="E50" s="23">
        <f>+IF(B50="","",INDEX(V_H_MANODEOBRA,MATCH(B50,L_PERSONAL,0)))</f>
        <v>46340.36363636364</v>
      </c>
      <c r="F50" s="3">
        <f>+$G$20</f>
        <v>0.77</v>
      </c>
      <c r="G50" s="26">
        <f>+IF(C50="","",(E50*C50)/F50)</f>
        <v>240729.16174734358</v>
      </c>
    </row>
    <row r="51" spans="2:7" x14ac:dyDescent="0.3">
      <c r="B51" s="27" t="s">
        <v>302</v>
      </c>
      <c r="C51" s="30">
        <v>1</v>
      </c>
      <c r="D51" s="22">
        <f>+IF(B51="","",INDEX(F_PRESTACIONAL,MATCH(B51,L_PERSONAL,)))</f>
        <v>2.0102000000000002</v>
      </c>
      <c r="E51" s="23">
        <f>+IF(B51="","",INDEX(V_H_MANODEOBRA,MATCH(B51,L_PERSONAL,0)))</f>
        <v>73098.181818181823</v>
      </c>
      <c r="F51" s="3">
        <f>+$G$20</f>
        <v>0.77</v>
      </c>
      <c r="G51" s="26">
        <f>+IF(C51="","",(E51*C51)/F51)</f>
        <v>94932.703659976396</v>
      </c>
    </row>
    <row r="52" spans="2:7" x14ac:dyDescent="0.3">
      <c r="B52" s="27"/>
      <c r="C52" s="30"/>
      <c r="D52" s="22" t="str">
        <f>+IF(B52="","",INDEX(F_PRESTACIONAL,MATCH(B52,L_PERSONAL,)))</f>
        <v/>
      </c>
      <c r="E52" s="23" t="str">
        <f>+IF(B52="","",INDEX(V_H_MANODEOBRA,MATCH(B52,L_PERSONAL,0)))</f>
        <v/>
      </c>
      <c r="F52" s="3">
        <f>+$G$20</f>
        <v>0.77</v>
      </c>
      <c r="G52" s="26" t="str">
        <f>+IF(C52="","",(E52*C52)/F52)</f>
        <v/>
      </c>
    </row>
    <row r="53" spans="2:7" x14ac:dyDescent="0.3">
      <c r="B53" s="27"/>
      <c r="C53" s="30"/>
      <c r="D53" s="22" t="str">
        <f>+IF(B53="","",INDEX(F_PRESTACIONAL,MATCH(B53,L_PERSONAL,)))</f>
        <v/>
      </c>
      <c r="E53" s="23" t="str">
        <f>+IF(B53="","",INDEX(V_H_MANODEOBRA,MATCH(B53,L_PERSONAL,0)))</f>
        <v/>
      </c>
      <c r="F53" s="3">
        <f>+$G$20</f>
        <v>0.77</v>
      </c>
      <c r="G53" s="26" t="str">
        <f>+IF(C53="","",(E53*C53)/F53)</f>
        <v/>
      </c>
    </row>
    <row r="54" spans="2:7" x14ac:dyDescent="0.3">
      <c r="B54" s="27"/>
      <c r="C54" s="30"/>
      <c r="D54" s="22" t="str">
        <f>+IF(B54="","",INDEX(F_PRESTACIONAL,MATCH(B54,L_PERSONAL,)))</f>
        <v/>
      </c>
      <c r="E54" s="23" t="str">
        <f>+IF(B54="","",INDEX(V_H_MANODEOBRA,MATCH(B54,L_PERSONAL,0)))</f>
        <v/>
      </c>
      <c r="F54" s="3">
        <f>+$G$20</f>
        <v>0.77</v>
      </c>
      <c r="G54" s="26" t="str">
        <f>+IF(C54="","",(E54*C54)/F54)</f>
        <v/>
      </c>
    </row>
    <row r="55" spans="2:7" x14ac:dyDescent="0.3">
      <c r="B55" s="9"/>
      <c r="G55" s="26">
        <f>SUM(G50:G54)</f>
        <v>335661.86540731997</v>
      </c>
    </row>
    <row r="56" spans="2:7" ht="17.25" thickBot="1" x14ac:dyDescent="0.35">
      <c r="B56" s="9"/>
      <c r="G56" s="11"/>
    </row>
    <row r="57" spans="2:7" ht="17.25" thickBot="1" x14ac:dyDescent="0.35">
      <c r="B57" s="610" t="s">
        <v>98</v>
      </c>
      <c r="C57" s="611"/>
      <c r="D57" s="611"/>
      <c r="E57" s="611"/>
      <c r="F57" s="612"/>
      <c r="G57" s="66">
        <f>+G55+G47+G39+G28</f>
        <v>487096.88036206213</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58451.625643447456</v>
      </c>
    </row>
    <row r="61" spans="2:7" x14ac:dyDescent="0.3">
      <c r="B61" s="613" t="s">
        <v>86</v>
      </c>
      <c r="C61" s="614"/>
      <c r="D61" s="614"/>
      <c r="E61" s="614"/>
      <c r="F61" s="22">
        <f>+IMPREVISTOS</f>
        <v>0.03</v>
      </c>
      <c r="G61" s="26">
        <f>+$G$57*F61</f>
        <v>14612.906410861864</v>
      </c>
    </row>
    <row r="62" spans="2:7" x14ac:dyDescent="0.3">
      <c r="B62" s="613" t="s">
        <v>87</v>
      </c>
      <c r="C62" s="614"/>
      <c r="D62" s="614"/>
      <c r="E62" s="614"/>
      <c r="F62" s="22">
        <f>+UTILIDAD</f>
        <v>0.05</v>
      </c>
      <c r="G62" s="26">
        <f>+$G$57*F62</f>
        <v>24354.844018103107</v>
      </c>
    </row>
    <row r="63" spans="2:7" x14ac:dyDescent="0.3">
      <c r="B63" s="596" t="s">
        <v>100</v>
      </c>
      <c r="C63" s="597"/>
      <c r="D63" s="597"/>
      <c r="E63" s="597"/>
      <c r="F63" s="597"/>
      <c r="G63" s="53">
        <f>SUM(G60:G62)</f>
        <v>97419.376072412429</v>
      </c>
    </row>
    <row r="64" spans="2:7" ht="17.25" thickBot="1" x14ac:dyDescent="0.35">
      <c r="B64" s="9"/>
      <c r="G64" s="44"/>
    </row>
    <row r="65" spans="2:7" ht="17.25" thickBot="1" x14ac:dyDescent="0.35">
      <c r="B65" s="598" t="s">
        <v>101</v>
      </c>
      <c r="C65" s="599"/>
      <c r="D65" s="599"/>
      <c r="E65" s="599"/>
      <c r="F65" s="600"/>
      <c r="G65" s="65">
        <f>+G63+G57</f>
        <v>584516.25643447461</v>
      </c>
    </row>
    <row r="66" spans="2:7" x14ac:dyDescent="0.3">
      <c r="B66" s="6"/>
      <c r="C66" s="7"/>
      <c r="D66" s="7"/>
      <c r="E66" s="7"/>
      <c r="F66" s="7"/>
      <c r="G66" s="8"/>
    </row>
    <row r="67" spans="2:7" x14ac:dyDescent="0.3">
      <c r="B67" s="9"/>
      <c r="G67" s="11"/>
    </row>
    <row r="68" spans="2:7" x14ac:dyDescent="0.3">
      <c r="B68" s="69" t="s">
        <v>123</v>
      </c>
      <c r="C68" s="67"/>
      <c r="D68" s="67"/>
      <c r="E68" s="67"/>
      <c r="F68" s="67"/>
      <c r="G68" s="70"/>
    </row>
    <row r="69" spans="2:7" x14ac:dyDescent="0.3">
      <c r="B69" s="71"/>
      <c r="C69" s="67"/>
      <c r="D69" s="67"/>
      <c r="E69" s="67"/>
      <c r="F69" s="67"/>
      <c r="G69" s="70"/>
    </row>
    <row r="70" spans="2:7" x14ac:dyDescent="0.3">
      <c r="B70" s="72"/>
      <c r="C70" s="68"/>
      <c r="D70" s="68"/>
      <c r="E70" s="68"/>
      <c r="F70" s="68"/>
      <c r="G70" s="73"/>
    </row>
    <row r="71" spans="2:7" x14ac:dyDescent="0.3">
      <c r="B71" s="71"/>
      <c r="C71" s="67"/>
      <c r="D71" s="67"/>
      <c r="E71" s="67"/>
      <c r="F71" s="67"/>
      <c r="G71" s="70"/>
    </row>
    <row r="72" spans="2:7" ht="17.25" thickBot="1" x14ac:dyDescent="0.35">
      <c r="B72" s="15"/>
      <c r="C72" s="13"/>
      <c r="D72" s="13"/>
      <c r="E72" s="13"/>
      <c r="F72" s="13"/>
      <c r="G72" s="14"/>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count="5">
    <dataValidation type="list" allowBlank="1" showInputMessage="1" showErrorMessage="1" sqref="E102" xr:uid="{BA6AAB4C-AD1D-47CE-8B42-8C65AA8C05E5}">
      <formula1>$A$103:$A$105</formula1>
    </dataValidation>
    <dataValidation type="list" allowBlank="1" showInputMessage="1" showErrorMessage="1" sqref="B13" xr:uid="{BD9B93C6-8FC4-47D7-B598-0E7426E61F34}">
      <formula1>ITEM</formula1>
    </dataValidation>
    <dataValidation type="list" allowBlank="1" showInputMessage="1" showErrorMessage="1" sqref="B50:B54" xr:uid="{200DFD01-76FD-4033-9DAF-96B671073047}">
      <formula1>L_PERSONAL</formula1>
    </dataValidation>
    <dataValidation type="list" allowBlank="1" showInputMessage="1" showErrorMessage="1" sqref="B31:B38" xr:uid="{EA8A1502-BE2C-4EC1-BFFB-1BE825004854}">
      <formula1>L_MATERIALES</formula1>
    </dataValidation>
    <dataValidation type="list" allowBlank="1" showInputMessage="1" showErrorMessage="1" sqref="B23:B27 B42:B46" xr:uid="{302A4E28-B057-4B56-9F79-1B5AD15FF1BB}">
      <formula1>LISTA_MAQUINARIA</formula1>
    </dataValidation>
  </dataValidations>
  <pageMargins left="1.6141732283464567" right="0.70866141732283472" top="0.74803149606299213" bottom="0.74803149606299213" header="0.31496062992125984" footer="0.31496062992125984"/>
  <pageSetup scale="50" orientation="portrait" r:id="rId1"/>
  <rowBreaks count="1" manualBreakCount="1">
    <brk id="78" max="16383" man="1"/>
  </rowBreaks>
  <colBreaks count="1" manualBreakCount="1">
    <brk id="7" max="1048575" man="1"/>
  </colBreaks>
  <drawing r:id="rId2"/>
  <tableParts count="1">
    <tablePart r:id="rId3"/>
  </tablePar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5C5B45-1E5D-4850-B316-ACCEEF19C25D}">
  <sheetPr codeName="Hoja35"/>
  <dimension ref="A1:P105"/>
  <sheetViews>
    <sheetView showGridLines="0" view="pageBreakPreview" topLeftCell="E7" zoomScale="115" zoomScaleNormal="60" zoomScaleSheetLayoutView="115" workbookViewId="0">
      <selection activeCell="B1" sqref="B1:G78"/>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24</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18" t="str">
        <f>+IF($B$13="","",INDEX(DESCRIP_ITEM,MATCH($B$13,ITEM,0)))</f>
        <v>Elaboración de Empalme para cable de 1x400 mm2 - XLPE - 35 KV según RETIE. Incluye la preparación del cable, la disponibilidad de las herramientas adecuadas, el montaje del empalme según las especificaciones dadas por el fabricante, la figuración del cable dentro de la caja de paso o arqueta conservando la distancia del diametro de curvatura del cable dada por el fabricante.</v>
      </c>
      <c r="C16" s="619"/>
      <c r="D16" s="619"/>
      <c r="E16" s="619"/>
      <c r="F16" s="619"/>
      <c r="G16" s="620"/>
    </row>
    <row r="17" spans="2:16" ht="44.25" customHeight="1" thickBot="1" x14ac:dyDescent="0.35">
      <c r="B17" s="621"/>
      <c r="C17" s="622"/>
      <c r="D17" s="622"/>
      <c r="E17" s="622"/>
      <c r="F17" s="622"/>
      <c r="G17" s="623"/>
    </row>
    <row r="18" spans="2:16" ht="17.25" thickBot="1" x14ac:dyDescent="0.35">
      <c r="B18" s="591"/>
      <c r="C18" s="579"/>
      <c r="D18" s="579"/>
      <c r="E18" s="579"/>
      <c r="G18" s="11"/>
    </row>
    <row r="19" spans="2:16" ht="17.25" thickBot="1" x14ac:dyDescent="0.35">
      <c r="B19" s="592"/>
      <c r="C19" s="593"/>
      <c r="D19" s="593"/>
      <c r="E19" s="593"/>
      <c r="F19" s="54" t="s">
        <v>89</v>
      </c>
      <c r="G19" s="25" t="str">
        <f>+IF(B13="","",INDEX(U_ITEM,MATCH(B13,ITEM,0)))</f>
        <v>UN</v>
      </c>
    </row>
    <row r="20" spans="2:16" ht="17.25" thickBot="1" x14ac:dyDescent="0.35">
      <c r="B20" s="592"/>
      <c r="C20" s="593"/>
      <c r="D20" s="593"/>
      <c r="E20" s="593"/>
      <c r="F20" s="55" t="s">
        <v>90</v>
      </c>
      <c r="G20" s="56">
        <v>0.9</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c r="C23" s="3" t="str">
        <f>+IF(B23="","",INDEX(U_MAQUINARIA,MATCH(B23,LISTA_MAQUINARIA,0)))</f>
        <v/>
      </c>
      <c r="D23" s="30"/>
      <c r="E23" s="23" t="str">
        <f>+IF(B23="","",INDEX(V_MAQUINARIA,MATCH(B23,LISTA_MAQUINARIA,0)))</f>
        <v/>
      </c>
      <c r="F23" s="3">
        <f>$G$20</f>
        <v>0.9</v>
      </c>
      <c r="G23" s="26" t="str">
        <f>+IF(B23="","",(D23*E23)/F23)</f>
        <v/>
      </c>
      <c r="K23" s="9"/>
      <c r="L23" s="23" t="str">
        <f>IF(B23="","",INDEX(V_COMBUSTIBLE_H,MATCH(B23,LISTA_MAQUINARIA,0)))</f>
        <v/>
      </c>
      <c r="M23" s="23" t="str">
        <f>+IF(L23="","",(L23*D23)/F23)</f>
        <v/>
      </c>
      <c r="N23" s="23" t="str">
        <f>IF(G23="","",G23-M23)</f>
        <v/>
      </c>
      <c r="P23" s="11"/>
    </row>
    <row r="24" spans="2:16" x14ac:dyDescent="0.3">
      <c r="B24" s="27"/>
      <c r="C24" s="3" t="str">
        <f>+IF(B24="","",INDEX(U_MAQUINARIA,MATCH(B24,LISTA_MAQUINARIA,0)))</f>
        <v/>
      </c>
      <c r="D24" s="30"/>
      <c r="E24" s="23" t="str">
        <f>+IF(B24="","",INDEX(V_MAQUINARIA,MATCH(B24,LISTA_MAQUINARIA,0)))</f>
        <v/>
      </c>
      <c r="F24" s="3">
        <f>$G$20</f>
        <v>0.9</v>
      </c>
      <c r="G24" s="26" t="str">
        <f>+IF(B24="","",(D24*E24)/F24)</f>
        <v/>
      </c>
      <c r="K24" s="9"/>
      <c r="L24" s="3" t="str">
        <f>IF(B24="","",INDEX(V_COMBUSTIBLE_H,MATCH(B24,LISTA_MAQUINARIA,0)))</f>
        <v/>
      </c>
      <c r="M24" s="3" t="str">
        <f>+IF(L24="","",(L24*D24)/F24)</f>
        <v/>
      </c>
      <c r="N24" s="3" t="str">
        <f>IF(G24="","",G24-M24)</f>
        <v/>
      </c>
      <c r="P24" s="11"/>
    </row>
    <row r="25" spans="2:16" x14ac:dyDescent="0.3">
      <c r="B25" s="27"/>
      <c r="C25" s="3" t="str">
        <f>+IF(B25="","",INDEX(U_MAQUINARIA,MATCH(B25,LISTA_MAQUINARIA,0)))</f>
        <v/>
      </c>
      <c r="D25" s="30"/>
      <c r="E25" s="23" t="str">
        <f>+IF(B25="","",INDEX(V_MAQUINARIA,MATCH(B25,LISTA_MAQUINARIA,0)))</f>
        <v/>
      </c>
      <c r="F25" s="3">
        <f>$G$20</f>
        <v>0.9</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0.9</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0.9</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0</v>
      </c>
      <c r="K28" s="9"/>
      <c r="M28" s="24">
        <f>SUM(M23:M27)</f>
        <v>0</v>
      </c>
      <c r="N28" s="24">
        <f>SUM(N23:N27)</f>
        <v>0</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t="s">
        <v>402</v>
      </c>
      <c r="C31" s="3" t="str">
        <f t="shared" ref="C31:C38" si="0">+IF(B31="","",INDEX(U_MATERIAL,MATCH(B31,L_MATERIALES,0)))</f>
        <v>UND</v>
      </c>
      <c r="D31" s="30">
        <v>1</v>
      </c>
      <c r="E31" s="23">
        <f t="shared" ref="E31:E38" si="1">+IF(B31="","",INDEX(V_UNITARIOMATERIAL,MATCH(B31,L_MATERIALES,0)))</f>
        <v>2300000</v>
      </c>
      <c r="F31" s="30">
        <v>1</v>
      </c>
      <c r="G31" s="26">
        <f>IF(D31="","",(E31*D31)/F31)</f>
        <v>2300000</v>
      </c>
      <c r="K31" s="9"/>
      <c r="L31" t="str">
        <f>+IF(B31="","",B31)</f>
        <v>EMPALME MEDIA TENSION---</v>
      </c>
      <c r="M31">
        <f t="shared" ref="M31:M38" si="2">IF(D31="","",(D31/F31)*INDEX(CANT_PROYECTO,MATCH($B$13,ITEM,0)))</f>
        <v>3</v>
      </c>
      <c r="N31" s="1"/>
      <c r="P31" s="11"/>
    </row>
    <row r="32" spans="2:16" x14ac:dyDescent="0.3">
      <c r="B32" s="27" t="s">
        <v>361</v>
      </c>
      <c r="C32" s="3" t="str">
        <f t="shared" si="0"/>
        <v>UND</v>
      </c>
      <c r="D32" s="30">
        <v>1</v>
      </c>
      <c r="E32" s="23">
        <f t="shared" si="1"/>
        <v>340000</v>
      </c>
      <c r="F32" s="30">
        <v>50</v>
      </c>
      <c r="G32" s="26">
        <f t="shared" ref="G32:G38" si="3">IF(D32="","",(E32*D32)/F32)</f>
        <v>6800</v>
      </c>
      <c r="K32" s="9"/>
      <c r="L32" t="str">
        <f t="shared" ref="L32:L38" si="4">+IF(B32="","",B32)</f>
        <v>HERRAMIENTA MENOR---</v>
      </c>
      <c r="M32">
        <f t="shared" si="2"/>
        <v>0.06</v>
      </c>
      <c r="N32" s="1"/>
      <c r="P32" s="11"/>
    </row>
    <row r="33" spans="2:16" x14ac:dyDescent="0.3">
      <c r="B33" s="27"/>
      <c r="C33" s="3" t="str">
        <f t="shared" si="0"/>
        <v/>
      </c>
      <c r="D33" s="30"/>
      <c r="E33" s="23" t="str">
        <f t="shared" si="1"/>
        <v/>
      </c>
      <c r="F33" s="30"/>
      <c r="G33" s="26" t="str">
        <f t="shared" si="3"/>
        <v/>
      </c>
      <c r="K33" s="9"/>
      <c r="L33" t="str">
        <f t="shared" si="4"/>
        <v/>
      </c>
      <c r="M33" t="str">
        <f t="shared" si="2"/>
        <v/>
      </c>
      <c r="N33" s="1"/>
      <c r="P33" s="11"/>
    </row>
    <row r="34" spans="2:16" x14ac:dyDescent="0.3">
      <c r="B34" s="27"/>
      <c r="C34" s="3" t="str">
        <f t="shared" si="0"/>
        <v/>
      </c>
      <c r="D34" s="30"/>
      <c r="E34" s="23" t="str">
        <f t="shared" si="1"/>
        <v/>
      </c>
      <c r="F34" s="30"/>
      <c r="G34" s="26" t="str">
        <f t="shared" si="3"/>
        <v/>
      </c>
      <c r="K34" s="9"/>
      <c r="L34" t="str">
        <f t="shared" si="4"/>
        <v/>
      </c>
      <c r="M34" t="str">
        <f t="shared" si="2"/>
        <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2306800</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t="s">
        <v>368</v>
      </c>
      <c r="C42" s="3" t="str">
        <f>+IF(B42="","",INDEX(U_MAQUINARIA,MATCH(B42,LISTA_MAQUINARIA,0)))</f>
        <v>VALOR / HORA</v>
      </c>
      <c r="D42" s="30">
        <v>1</v>
      </c>
      <c r="E42" s="23">
        <f>+IF(B42="","",INDEX(V_MAQUINARIA,MATCH(B42,LISTA_MAQUINARIA,0)))</f>
        <v>58531.818181818184</v>
      </c>
      <c r="F42" s="3">
        <f>$G$20</f>
        <v>0.9</v>
      </c>
      <c r="G42" s="26">
        <f>IF(D42="","",(E42*D42)/F42)</f>
        <v>65035.353535353534</v>
      </c>
      <c r="K42" s="9"/>
      <c r="L42" s="23">
        <f>IF(B42="","",INDEX(V_COMBUSTIBLE_H,MATCH(B42,LISTA_MAQUINARIA,0)))</f>
        <v>21600</v>
      </c>
      <c r="M42" s="23">
        <f>+IF(L42="","",(L42*D42)/F42)</f>
        <v>24000</v>
      </c>
      <c r="N42" s="23">
        <f>IF(G42="","",G42-M42)</f>
        <v>41035.353535353534</v>
      </c>
      <c r="P42" s="11"/>
    </row>
    <row r="43" spans="2:16" x14ac:dyDescent="0.3">
      <c r="B43" s="27"/>
      <c r="C43" s="3" t="str">
        <f>+IF(B43="","",INDEX(U_MAQUINARIA,MATCH(B43,LISTA_MAQUINARIA,0)))</f>
        <v/>
      </c>
      <c r="D43" s="30"/>
      <c r="E43" s="23" t="str">
        <f>+IF(B43="","",INDEX(V_MAQUINARIA,MATCH(B43,LISTA_MAQUINARIA,0)))</f>
        <v/>
      </c>
      <c r="F43" s="3">
        <f>+$G$20</f>
        <v>0.9</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0.9</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0.9</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0.9</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65035.353535353534</v>
      </c>
      <c r="K47" s="9"/>
      <c r="M47" s="24">
        <f>SUM(M42:M46)</f>
        <v>24000</v>
      </c>
      <c r="N47" s="24">
        <f>SUM(N42:N46)</f>
        <v>41035.353535353534</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t="s">
        <v>306</v>
      </c>
      <c r="C50" s="30">
        <v>2</v>
      </c>
      <c r="D50" s="22">
        <f>+IF(B50="","",INDEX(F_PRESTACIONAL,MATCH(B50,L_PERSONAL,)))</f>
        <v>2.3170181818181819</v>
      </c>
      <c r="E50" s="23">
        <f>+IF(B50="","",INDEX(V_H_MANODEOBRA,MATCH(B50,L_PERSONAL,0)))</f>
        <v>46340.36363636364</v>
      </c>
      <c r="F50" s="3">
        <f>+$G$20</f>
        <v>0.9</v>
      </c>
      <c r="G50" s="26">
        <f>+IF(C50="","",(E50*C50)/F50)</f>
        <v>102978.58585858587</v>
      </c>
    </row>
    <row r="51" spans="2:7" x14ac:dyDescent="0.3">
      <c r="B51" s="27"/>
      <c r="C51" s="30"/>
      <c r="D51" s="22" t="str">
        <f>+IF(B51="","",INDEX(F_PRESTACIONAL,MATCH(B51,L_PERSONAL,)))</f>
        <v/>
      </c>
      <c r="E51" s="23" t="str">
        <f>+IF(B51="","",INDEX(V_H_MANODEOBRA,MATCH(B51,L_PERSONAL,0)))</f>
        <v/>
      </c>
      <c r="F51" s="3">
        <f>+$G$20</f>
        <v>0.9</v>
      </c>
      <c r="G51" s="26" t="str">
        <f>+IF(C51="","",(E51*C51)/F51)</f>
        <v/>
      </c>
    </row>
    <row r="52" spans="2:7" x14ac:dyDescent="0.3">
      <c r="B52" s="27"/>
      <c r="C52" s="30"/>
      <c r="D52" s="22" t="str">
        <f>+IF(B52="","",INDEX(F_PRESTACIONAL,MATCH(B52,L_PERSONAL,)))</f>
        <v/>
      </c>
      <c r="E52" s="23" t="str">
        <f>+IF(B52="","",INDEX(V_H_MANODEOBRA,MATCH(B52,L_PERSONAL,0)))</f>
        <v/>
      </c>
      <c r="F52" s="3">
        <f>+$G$20</f>
        <v>0.9</v>
      </c>
      <c r="G52" s="26" t="str">
        <f>+IF(C52="","",(E52*C52)/F52)</f>
        <v/>
      </c>
    </row>
    <row r="53" spans="2:7" x14ac:dyDescent="0.3">
      <c r="B53" s="27"/>
      <c r="C53" s="30"/>
      <c r="D53" s="22" t="str">
        <f>+IF(B53="","",INDEX(F_PRESTACIONAL,MATCH(B53,L_PERSONAL,)))</f>
        <v/>
      </c>
      <c r="E53" s="23" t="str">
        <f>+IF(B53="","",INDEX(V_H_MANODEOBRA,MATCH(B53,L_PERSONAL,0)))</f>
        <v/>
      </c>
      <c r="F53" s="3">
        <f>+$G$20</f>
        <v>0.9</v>
      </c>
      <c r="G53" s="26" t="str">
        <f>+IF(C53="","",(E53*C53)/F53)</f>
        <v/>
      </c>
    </row>
    <row r="54" spans="2:7" x14ac:dyDescent="0.3">
      <c r="B54" s="27"/>
      <c r="C54" s="30"/>
      <c r="D54" s="22" t="str">
        <f>+IF(B54="","",INDEX(F_PRESTACIONAL,MATCH(B54,L_PERSONAL,)))</f>
        <v/>
      </c>
      <c r="E54" s="23" t="str">
        <f>+IF(B54="","",INDEX(V_H_MANODEOBRA,MATCH(B54,L_PERSONAL,0)))</f>
        <v/>
      </c>
      <c r="F54" s="3">
        <f>+$G$20</f>
        <v>0.9</v>
      </c>
      <c r="G54" s="26" t="str">
        <f>+IF(C54="","",(E54*C54)/F54)</f>
        <v/>
      </c>
    </row>
    <row r="55" spans="2:7" x14ac:dyDescent="0.3">
      <c r="B55" s="9"/>
      <c r="G55" s="26">
        <f>SUM(G50:G54)</f>
        <v>102978.58585858587</v>
      </c>
    </row>
    <row r="56" spans="2:7" ht="17.25" thickBot="1" x14ac:dyDescent="0.35">
      <c r="B56" s="9"/>
      <c r="G56" s="11"/>
    </row>
    <row r="57" spans="2:7" ht="17.25" thickBot="1" x14ac:dyDescent="0.35">
      <c r="B57" s="610" t="s">
        <v>98</v>
      </c>
      <c r="C57" s="611"/>
      <c r="D57" s="611"/>
      <c r="E57" s="611"/>
      <c r="F57" s="612"/>
      <c r="G57" s="66">
        <f>+G55+G47+G39+G28</f>
        <v>2474813.9393939395</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296977.67272727273</v>
      </c>
    </row>
    <row r="61" spans="2:7" x14ac:dyDescent="0.3">
      <c r="B61" s="613" t="s">
        <v>86</v>
      </c>
      <c r="C61" s="614"/>
      <c r="D61" s="614"/>
      <c r="E61" s="614"/>
      <c r="F61" s="22">
        <f>+IMPREVISTOS</f>
        <v>0.03</v>
      </c>
      <c r="G61" s="26">
        <f>+$G$57*F61</f>
        <v>74244.418181818182</v>
      </c>
    </row>
    <row r="62" spans="2:7" x14ac:dyDescent="0.3">
      <c r="B62" s="613" t="s">
        <v>87</v>
      </c>
      <c r="C62" s="614"/>
      <c r="D62" s="614"/>
      <c r="E62" s="614"/>
      <c r="F62" s="22">
        <f>+UTILIDAD</f>
        <v>0.05</v>
      </c>
      <c r="G62" s="26">
        <f>+$G$57*F62</f>
        <v>123740.69696969698</v>
      </c>
    </row>
    <row r="63" spans="2:7" x14ac:dyDescent="0.3">
      <c r="B63" s="596" t="s">
        <v>100</v>
      </c>
      <c r="C63" s="597"/>
      <c r="D63" s="597"/>
      <c r="E63" s="597"/>
      <c r="F63" s="597"/>
      <c r="G63" s="53">
        <f>SUM(G60:G62)</f>
        <v>494962.7878787879</v>
      </c>
    </row>
    <row r="64" spans="2:7" ht="17.25" thickBot="1" x14ac:dyDescent="0.35">
      <c r="B64" s="9"/>
      <c r="G64" s="44"/>
    </row>
    <row r="65" spans="2:7" ht="17.25" thickBot="1" x14ac:dyDescent="0.35">
      <c r="B65" s="598" t="s">
        <v>101</v>
      </c>
      <c r="C65" s="599"/>
      <c r="D65" s="599"/>
      <c r="E65" s="599"/>
      <c r="F65" s="600"/>
      <c r="G65" s="65">
        <f>+G63+G57</f>
        <v>2969776.7272727275</v>
      </c>
    </row>
    <row r="66" spans="2:7" x14ac:dyDescent="0.3">
      <c r="B66" s="6"/>
      <c r="C66" s="7"/>
      <c r="D66" s="7"/>
      <c r="E66" s="7"/>
      <c r="F66" s="7"/>
      <c r="G66" s="8"/>
    </row>
    <row r="67" spans="2:7" x14ac:dyDescent="0.3">
      <c r="B67" s="9"/>
      <c r="G67" s="11"/>
    </row>
    <row r="68" spans="2:7" x14ac:dyDescent="0.3">
      <c r="B68" s="69" t="s">
        <v>123</v>
      </c>
      <c r="C68" s="67"/>
      <c r="D68" s="67"/>
      <c r="E68" s="67"/>
      <c r="F68" s="67"/>
      <c r="G68" s="70"/>
    </row>
    <row r="69" spans="2:7" x14ac:dyDescent="0.3">
      <c r="B69" s="71"/>
      <c r="C69" s="67"/>
      <c r="D69" s="67"/>
      <c r="E69" s="67"/>
      <c r="F69" s="67"/>
      <c r="G69" s="70"/>
    </row>
    <row r="70" spans="2:7" x14ac:dyDescent="0.3">
      <c r="B70" s="72"/>
      <c r="C70" s="68"/>
      <c r="D70" s="68"/>
      <c r="E70" s="68"/>
      <c r="F70" s="68"/>
      <c r="G70" s="73"/>
    </row>
    <row r="71" spans="2:7" x14ac:dyDescent="0.3">
      <c r="B71" s="71"/>
      <c r="C71" s="67"/>
      <c r="D71" s="67"/>
      <c r="E71" s="67"/>
      <c r="F71" s="67"/>
      <c r="G71" s="70"/>
    </row>
    <row r="72" spans="2:7" ht="17.25" thickBot="1" x14ac:dyDescent="0.35">
      <c r="B72" s="15"/>
      <c r="C72" s="13"/>
      <c r="D72" s="13"/>
      <c r="E72" s="13"/>
      <c r="F72" s="13"/>
      <c r="G72" s="14"/>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count="5">
    <dataValidation type="list" allowBlank="1" showInputMessage="1" showErrorMessage="1" sqref="E102" xr:uid="{D6CFED1A-04B6-474B-BFB9-0B086B57FDA0}">
      <formula1>$A$103:$A$105</formula1>
    </dataValidation>
    <dataValidation type="list" allowBlank="1" showInputMessage="1" showErrorMessage="1" sqref="B13" xr:uid="{2C20992F-B1DA-45E0-8B2D-8BC2CA7268DB}">
      <formula1>ITEM</formula1>
    </dataValidation>
    <dataValidation type="list" allowBlank="1" showInputMessage="1" showErrorMessage="1" sqref="B50:B54" xr:uid="{DB21F915-C0BE-43F0-ADCA-E13AD125B997}">
      <formula1>L_PERSONAL</formula1>
    </dataValidation>
    <dataValidation type="list" allowBlank="1" showInputMessage="1" showErrorMessage="1" sqref="B31:B38" xr:uid="{DDA4EB50-ADC8-471A-B5DC-30911B81D98E}">
      <formula1>L_MATERIALES</formula1>
    </dataValidation>
    <dataValidation type="list" allowBlank="1" showInputMessage="1" showErrorMessage="1" sqref="B23:B27 B42:B46" xr:uid="{7B942772-6DC7-42C2-84A3-84E7E81AB24A}">
      <formula1>LISTA_MAQUINARIA</formula1>
    </dataValidation>
  </dataValidations>
  <pageMargins left="1.6141732283464567" right="0.70866141732283472" top="0.74803149606299213" bottom="0.74803149606299213" header="0.31496062992125984" footer="0.31496062992125984"/>
  <pageSetup scale="50" orientation="portrait" r:id="rId1"/>
  <rowBreaks count="1" manualBreakCount="1">
    <brk id="78" max="16383" man="1"/>
  </rowBreaks>
  <colBreaks count="1" manualBreakCount="1">
    <brk id="7" max="1048575" man="1"/>
  </colBreaks>
  <drawing r:id="rId2"/>
  <tableParts count="1">
    <tablePart r:id="rId3"/>
  </tablePart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E6FBF6-D1F8-4FB1-8915-0B4FFD242536}">
  <sheetPr codeName="Hoja36"/>
  <dimension ref="A1:P105"/>
  <sheetViews>
    <sheetView showGridLines="0" view="pageBreakPreview" zoomScale="68" zoomScaleNormal="60" zoomScaleSheetLayoutView="25" workbookViewId="0">
      <selection activeCell="B1" sqref="B1:G78"/>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25</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18" t="str">
        <f>+IF($B$13="","",INDEX(DESCRIP_ITEM,MATCH($B$13,ITEM,0)))</f>
        <v>Elaboración de Empalme para cable de 1x630 mm2 - XLPE - 18/30 KV según RETIE. Incluye la preparación del cable, la disponibilidad de las herramientas adecuadas, el montaje del empalme según las especificaciones dadas por el fabricante, la figuración del cable dentro de la caja de paso o arqueta conservando la distancia del diametro de curvatura del cable dada por el fabricante.</v>
      </c>
      <c r="C16" s="619"/>
      <c r="D16" s="619"/>
      <c r="E16" s="619"/>
      <c r="F16" s="619"/>
      <c r="G16" s="620"/>
    </row>
    <row r="17" spans="2:16" ht="61.15" customHeight="1" thickBot="1" x14ac:dyDescent="0.35">
      <c r="B17" s="621"/>
      <c r="C17" s="622"/>
      <c r="D17" s="622"/>
      <c r="E17" s="622"/>
      <c r="F17" s="622"/>
      <c r="G17" s="623"/>
    </row>
    <row r="18" spans="2:16" ht="17.25" thickBot="1" x14ac:dyDescent="0.35">
      <c r="B18" s="591"/>
      <c r="C18" s="579"/>
      <c r="D18" s="579"/>
      <c r="E18" s="579"/>
      <c r="G18" s="11"/>
    </row>
    <row r="19" spans="2:16" ht="17.25" thickBot="1" x14ac:dyDescent="0.35">
      <c r="B19" s="592"/>
      <c r="C19" s="593"/>
      <c r="D19" s="593"/>
      <c r="E19" s="593"/>
      <c r="F19" s="54" t="s">
        <v>89</v>
      </c>
      <c r="G19" s="25" t="str">
        <f>+IF(B13="","",INDEX(U_ITEM,MATCH(B13,ITEM,0)))</f>
        <v>UN</v>
      </c>
    </row>
    <row r="20" spans="2:16" ht="17.25" thickBot="1" x14ac:dyDescent="0.35">
      <c r="B20" s="592"/>
      <c r="C20" s="593"/>
      <c r="D20" s="593"/>
      <c r="E20" s="593"/>
      <c r="F20" s="55" t="s">
        <v>90</v>
      </c>
      <c r="G20" s="56">
        <v>0.9</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c r="C23" s="3" t="str">
        <f>+IF(B23="","",INDEX(U_MAQUINARIA,MATCH(B23,LISTA_MAQUINARIA,0)))</f>
        <v/>
      </c>
      <c r="D23" s="30"/>
      <c r="E23" s="23" t="str">
        <f>+IF(B23="","",INDEX(V_MAQUINARIA,MATCH(B23,LISTA_MAQUINARIA,0)))</f>
        <v/>
      </c>
      <c r="F23" s="3">
        <f>$G$20</f>
        <v>0.9</v>
      </c>
      <c r="G23" s="26" t="str">
        <f>+IF(B23="","",(D23*E23)/F23)</f>
        <v/>
      </c>
      <c r="K23" s="9"/>
      <c r="L23" s="23" t="str">
        <f>IF(B23="","",INDEX(V_COMBUSTIBLE_H,MATCH(B23,LISTA_MAQUINARIA,0)))</f>
        <v/>
      </c>
      <c r="M23" s="23" t="str">
        <f>+IF(L23="","",(L23*D23)/F23)</f>
        <v/>
      </c>
      <c r="N23" s="23" t="str">
        <f>IF(G23="","",G23-M23)</f>
        <v/>
      </c>
      <c r="P23" s="11"/>
    </row>
    <row r="24" spans="2:16" x14ac:dyDescent="0.3">
      <c r="B24" s="27"/>
      <c r="C24" s="3" t="str">
        <f>+IF(B24="","",INDEX(U_MAQUINARIA,MATCH(B24,LISTA_MAQUINARIA,0)))</f>
        <v/>
      </c>
      <c r="D24" s="30"/>
      <c r="E24" s="23" t="str">
        <f>+IF(B24="","",INDEX(V_MAQUINARIA,MATCH(B24,LISTA_MAQUINARIA,0)))</f>
        <v/>
      </c>
      <c r="F24" s="3">
        <f>$G$20</f>
        <v>0.9</v>
      </c>
      <c r="G24" s="26" t="str">
        <f>+IF(B24="","",(D24*E24)/F24)</f>
        <v/>
      </c>
      <c r="K24" s="9"/>
      <c r="L24" s="3" t="str">
        <f>IF(B24="","",INDEX(V_COMBUSTIBLE_H,MATCH(B24,LISTA_MAQUINARIA,0)))</f>
        <v/>
      </c>
      <c r="M24" s="3" t="str">
        <f>+IF(L24="","",(L24*D24)/F24)</f>
        <v/>
      </c>
      <c r="N24" s="3" t="str">
        <f>IF(G24="","",G24-M24)</f>
        <v/>
      </c>
      <c r="P24" s="11"/>
    </row>
    <row r="25" spans="2:16" x14ac:dyDescent="0.3">
      <c r="B25" s="27"/>
      <c r="C25" s="3" t="str">
        <f>+IF(B25="","",INDEX(U_MAQUINARIA,MATCH(B25,LISTA_MAQUINARIA,0)))</f>
        <v/>
      </c>
      <c r="D25" s="30"/>
      <c r="E25" s="23" t="str">
        <f>+IF(B25="","",INDEX(V_MAQUINARIA,MATCH(B25,LISTA_MAQUINARIA,0)))</f>
        <v/>
      </c>
      <c r="F25" s="3">
        <f>$G$20</f>
        <v>0.9</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0.9</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0.9</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0</v>
      </c>
      <c r="K28" s="9"/>
      <c r="M28" s="24">
        <f>SUM(M23:M27)</f>
        <v>0</v>
      </c>
      <c r="N28" s="24">
        <f>SUM(N23:N27)</f>
        <v>0</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t="s">
        <v>402</v>
      </c>
      <c r="C31" s="3" t="str">
        <f t="shared" ref="C31:C38" si="0">+IF(B31="","",INDEX(U_MATERIAL,MATCH(B31,L_MATERIALES,0)))</f>
        <v>UND</v>
      </c>
      <c r="D31" s="30">
        <v>1</v>
      </c>
      <c r="E31" s="23">
        <f t="shared" ref="E31:E38" si="1">+IF(B31="","",INDEX(V_UNITARIOMATERIAL,MATCH(B31,L_MATERIALES,0)))</f>
        <v>2300000</v>
      </c>
      <c r="F31" s="30">
        <v>1</v>
      </c>
      <c r="G31" s="26">
        <f>IF(D31="","",(E31*D31)/F31)</f>
        <v>2300000</v>
      </c>
      <c r="K31" s="9"/>
      <c r="L31" t="str">
        <f>+IF(B31="","",B31)</f>
        <v>EMPALME MEDIA TENSION---</v>
      </c>
      <c r="M31">
        <f t="shared" ref="M31:M38" si="2">IF(D31="","",(D31/F31)*INDEX(CANT_PROYECTO,MATCH($B$13,ITEM,0)))</f>
        <v>9</v>
      </c>
      <c r="N31" s="1"/>
      <c r="P31" s="11"/>
    </row>
    <row r="32" spans="2:16" x14ac:dyDescent="0.3">
      <c r="B32" s="27" t="s">
        <v>361</v>
      </c>
      <c r="C32" s="3" t="str">
        <f t="shared" si="0"/>
        <v>UND</v>
      </c>
      <c r="D32" s="30">
        <v>1</v>
      </c>
      <c r="E32" s="23">
        <f t="shared" si="1"/>
        <v>340000</v>
      </c>
      <c r="F32" s="30">
        <v>50</v>
      </c>
      <c r="G32" s="26">
        <f t="shared" ref="G32:G38" si="3">IF(D32="","",(E32*D32)/F32)</f>
        <v>6800</v>
      </c>
      <c r="K32" s="9"/>
      <c r="L32" t="str">
        <f t="shared" ref="L32:L38" si="4">+IF(B32="","",B32)</f>
        <v>HERRAMIENTA MENOR---</v>
      </c>
      <c r="M32">
        <f t="shared" si="2"/>
        <v>0.18</v>
      </c>
      <c r="N32" s="1"/>
      <c r="P32" s="11"/>
    </row>
    <row r="33" spans="2:16" x14ac:dyDescent="0.3">
      <c r="B33" s="27"/>
      <c r="C33" s="3" t="str">
        <f t="shared" si="0"/>
        <v/>
      </c>
      <c r="D33" s="30"/>
      <c r="E33" s="23" t="str">
        <f t="shared" si="1"/>
        <v/>
      </c>
      <c r="F33" s="30"/>
      <c r="G33" s="26" t="str">
        <f t="shared" si="3"/>
        <v/>
      </c>
      <c r="K33" s="9"/>
      <c r="L33" t="str">
        <f t="shared" si="4"/>
        <v/>
      </c>
      <c r="M33" t="str">
        <f t="shared" si="2"/>
        <v/>
      </c>
      <c r="N33" s="1"/>
      <c r="P33" s="11"/>
    </row>
    <row r="34" spans="2:16" x14ac:dyDescent="0.3">
      <c r="B34" s="27"/>
      <c r="C34" s="3" t="str">
        <f t="shared" si="0"/>
        <v/>
      </c>
      <c r="D34" s="30"/>
      <c r="E34" s="23" t="str">
        <f t="shared" si="1"/>
        <v/>
      </c>
      <c r="F34" s="30"/>
      <c r="G34" s="26" t="str">
        <f t="shared" si="3"/>
        <v/>
      </c>
      <c r="K34" s="9"/>
      <c r="L34" t="str">
        <f t="shared" si="4"/>
        <v/>
      </c>
      <c r="M34" t="str">
        <f t="shared" si="2"/>
        <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2306800</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t="s">
        <v>368</v>
      </c>
      <c r="C42" s="3" t="str">
        <f>+IF(B42="","",INDEX(U_MAQUINARIA,MATCH(B42,LISTA_MAQUINARIA,0)))</f>
        <v>VALOR / HORA</v>
      </c>
      <c r="D42" s="30">
        <v>1</v>
      </c>
      <c r="E42" s="23">
        <f>+IF(B42="","",INDEX(V_MAQUINARIA,MATCH(B42,LISTA_MAQUINARIA,0)))</f>
        <v>58531.818181818184</v>
      </c>
      <c r="F42" s="3">
        <f>$G$20</f>
        <v>0.9</v>
      </c>
      <c r="G42" s="26">
        <f>IF(D42="","",(E42*D42)/F42)</f>
        <v>65035.353535353534</v>
      </c>
      <c r="K42" s="9"/>
      <c r="L42" s="23">
        <f>IF(B42="","",INDEX(V_COMBUSTIBLE_H,MATCH(B42,LISTA_MAQUINARIA,0)))</f>
        <v>21600</v>
      </c>
      <c r="M42" s="23">
        <f>+IF(L42="","",(L42*D42)/F42)</f>
        <v>24000</v>
      </c>
      <c r="N42" s="23">
        <f>IF(G42="","",G42-M42)</f>
        <v>41035.353535353534</v>
      </c>
      <c r="P42" s="11"/>
    </row>
    <row r="43" spans="2:16" x14ac:dyDescent="0.3">
      <c r="B43" s="27"/>
      <c r="C43" s="3" t="str">
        <f>+IF(B43="","",INDEX(U_MAQUINARIA,MATCH(B43,LISTA_MAQUINARIA,0)))</f>
        <v/>
      </c>
      <c r="D43" s="30"/>
      <c r="E43" s="23" t="str">
        <f>+IF(B43="","",INDEX(V_MAQUINARIA,MATCH(B43,LISTA_MAQUINARIA,0)))</f>
        <v/>
      </c>
      <c r="F43" s="3">
        <f>+$G$20</f>
        <v>0.9</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0.9</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0.9</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0.9</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65035.353535353534</v>
      </c>
      <c r="K47" s="9"/>
      <c r="M47" s="24">
        <f>SUM(M42:M46)</f>
        <v>24000</v>
      </c>
      <c r="N47" s="24">
        <f>SUM(N42:N46)</f>
        <v>41035.353535353534</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t="s">
        <v>306</v>
      </c>
      <c r="C50" s="30">
        <v>2</v>
      </c>
      <c r="D50" s="22">
        <f>+IF(B50="","",INDEX(F_PRESTACIONAL,MATCH(B50,L_PERSONAL,)))</f>
        <v>2.3170181818181819</v>
      </c>
      <c r="E50" s="23">
        <f>+IF(B50="","",INDEX(V_H_MANODEOBRA,MATCH(B50,L_PERSONAL,0)))</f>
        <v>46340.36363636364</v>
      </c>
      <c r="F50" s="3">
        <f>+$G$20</f>
        <v>0.9</v>
      </c>
      <c r="G50" s="26">
        <f>+IF(C50="","",(E50*C50)/F50)</f>
        <v>102978.58585858587</v>
      </c>
    </row>
    <row r="51" spans="2:7" x14ac:dyDescent="0.3">
      <c r="B51" s="27"/>
      <c r="C51" s="30"/>
      <c r="D51" s="22" t="str">
        <f>+IF(B51="","",INDEX(F_PRESTACIONAL,MATCH(B51,L_PERSONAL,)))</f>
        <v/>
      </c>
      <c r="E51" s="23" t="str">
        <f>+IF(B51="","",INDEX(V_H_MANODEOBRA,MATCH(B51,L_PERSONAL,0)))</f>
        <v/>
      </c>
      <c r="F51" s="3">
        <f>+$G$20</f>
        <v>0.9</v>
      </c>
      <c r="G51" s="26" t="str">
        <f>+IF(C51="","",(E51*C51)/F51)</f>
        <v/>
      </c>
    </row>
    <row r="52" spans="2:7" x14ac:dyDescent="0.3">
      <c r="B52" s="27"/>
      <c r="C52" s="30"/>
      <c r="D52" s="22" t="str">
        <f>+IF(B52="","",INDEX(F_PRESTACIONAL,MATCH(B52,L_PERSONAL,)))</f>
        <v/>
      </c>
      <c r="E52" s="23" t="str">
        <f>+IF(B52="","",INDEX(V_H_MANODEOBRA,MATCH(B52,L_PERSONAL,0)))</f>
        <v/>
      </c>
      <c r="F52" s="3">
        <f>+$G$20</f>
        <v>0.9</v>
      </c>
      <c r="G52" s="26" t="str">
        <f>+IF(C52="","",(E52*C52)/F52)</f>
        <v/>
      </c>
    </row>
    <row r="53" spans="2:7" x14ac:dyDescent="0.3">
      <c r="B53" s="27"/>
      <c r="C53" s="30"/>
      <c r="D53" s="22" t="str">
        <f>+IF(B53="","",INDEX(F_PRESTACIONAL,MATCH(B53,L_PERSONAL,)))</f>
        <v/>
      </c>
      <c r="E53" s="23" t="str">
        <f>+IF(B53="","",INDEX(V_H_MANODEOBRA,MATCH(B53,L_PERSONAL,0)))</f>
        <v/>
      </c>
      <c r="F53" s="3">
        <f>+$G$20</f>
        <v>0.9</v>
      </c>
      <c r="G53" s="26" t="str">
        <f>+IF(C53="","",(E53*C53)/F53)</f>
        <v/>
      </c>
    </row>
    <row r="54" spans="2:7" x14ac:dyDescent="0.3">
      <c r="B54" s="27"/>
      <c r="C54" s="30"/>
      <c r="D54" s="22" t="str">
        <f>+IF(B54="","",INDEX(F_PRESTACIONAL,MATCH(B54,L_PERSONAL,)))</f>
        <v/>
      </c>
      <c r="E54" s="23" t="str">
        <f>+IF(B54="","",INDEX(V_H_MANODEOBRA,MATCH(B54,L_PERSONAL,0)))</f>
        <v/>
      </c>
      <c r="F54" s="3">
        <f>+$G$20</f>
        <v>0.9</v>
      </c>
      <c r="G54" s="26" t="str">
        <f>+IF(C54="","",(E54*C54)/F54)</f>
        <v/>
      </c>
    </row>
    <row r="55" spans="2:7" x14ac:dyDescent="0.3">
      <c r="B55" s="9"/>
      <c r="G55" s="26">
        <f>SUM(G50:G54)</f>
        <v>102978.58585858587</v>
      </c>
    </row>
    <row r="56" spans="2:7" ht="17.25" thickBot="1" x14ac:dyDescent="0.35">
      <c r="B56" s="9"/>
      <c r="G56" s="11"/>
    </row>
    <row r="57" spans="2:7" ht="17.25" thickBot="1" x14ac:dyDescent="0.35">
      <c r="B57" s="610" t="s">
        <v>98</v>
      </c>
      <c r="C57" s="611"/>
      <c r="D57" s="611"/>
      <c r="E57" s="611"/>
      <c r="F57" s="612"/>
      <c r="G57" s="66">
        <f>+G55+G47+G39+G28</f>
        <v>2474813.9393939395</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296977.67272727273</v>
      </c>
    </row>
    <row r="61" spans="2:7" x14ac:dyDescent="0.3">
      <c r="B61" s="613" t="s">
        <v>86</v>
      </c>
      <c r="C61" s="614"/>
      <c r="D61" s="614"/>
      <c r="E61" s="614"/>
      <c r="F61" s="22">
        <f>+IMPREVISTOS</f>
        <v>0.03</v>
      </c>
      <c r="G61" s="26">
        <f>+$G$57*F61</f>
        <v>74244.418181818182</v>
      </c>
    </row>
    <row r="62" spans="2:7" x14ac:dyDescent="0.3">
      <c r="B62" s="613" t="s">
        <v>87</v>
      </c>
      <c r="C62" s="614"/>
      <c r="D62" s="614"/>
      <c r="E62" s="614"/>
      <c r="F62" s="22">
        <f>+UTILIDAD</f>
        <v>0.05</v>
      </c>
      <c r="G62" s="26">
        <f>+$G$57*F62</f>
        <v>123740.69696969698</v>
      </c>
    </row>
    <row r="63" spans="2:7" x14ac:dyDescent="0.3">
      <c r="B63" s="596" t="s">
        <v>100</v>
      </c>
      <c r="C63" s="597"/>
      <c r="D63" s="597"/>
      <c r="E63" s="597"/>
      <c r="F63" s="597"/>
      <c r="G63" s="53">
        <f>SUM(G60:G62)</f>
        <v>494962.7878787879</v>
      </c>
    </row>
    <row r="64" spans="2:7" ht="17.25" thickBot="1" x14ac:dyDescent="0.35">
      <c r="B64" s="9"/>
      <c r="G64" s="44"/>
    </row>
    <row r="65" spans="2:7" ht="17.25" thickBot="1" x14ac:dyDescent="0.35">
      <c r="B65" s="598" t="s">
        <v>101</v>
      </c>
      <c r="C65" s="599"/>
      <c r="D65" s="599"/>
      <c r="E65" s="599"/>
      <c r="F65" s="600"/>
      <c r="G65" s="65">
        <f>+G63+G57</f>
        <v>2969776.7272727275</v>
      </c>
    </row>
    <row r="66" spans="2:7" x14ac:dyDescent="0.3">
      <c r="B66" s="6"/>
      <c r="C66" s="7"/>
      <c r="D66" s="7"/>
      <c r="E66" s="7"/>
      <c r="F66" s="7"/>
      <c r="G66" s="8"/>
    </row>
    <row r="67" spans="2:7" x14ac:dyDescent="0.3">
      <c r="B67" s="9"/>
      <c r="G67" s="11"/>
    </row>
    <row r="68" spans="2:7" x14ac:dyDescent="0.3">
      <c r="B68" s="69" t="s">
        <v>123</v>
      </c>
      <c r="C68" s="67"/>
      <c r="D68" s="67"/>
      <c r="E68" s="67"/>
      <c r="F68" s="67"/>
      <c r="G68" s="70"/>
    </row>
    <row r="69" spans="2:7" x14ac:dyDescent="0.3">
      <c r="B69" s="71"/>
      <c r="C69" s="67"/>
      <c r="D69" s="67"/>
      <c r="E69" s="67"/>
      <c r="F69" s="67"/>
      <c r="G69" s="70"/>
    </row>
    <row r="70" spans="2:7" x14ac:dyDescent="0.3">
      <c r="B70" s="72"/>
      <c r="C70" s="68"/>
      <c r="D70" s="68"/>
      <c r="E70" s="68"/>
      <c r="F70" s="68"/>
      <c r="G70" s="73"/>
    </row>
    <row r="71" spans="2:7" x14ac:dyDescent="0.3">
      <c r="B71" s="71"/>
      <c r="C71" s="67"/>
      <c r="D71" s="67"/>
      <c r="E71" s="67"/>
      <c r="F71" s="67"/>
      <c r="G71" s="70"/>
    </row>
    <row r="72" spans="2:7" ht="17.25" thickBot="1" x14ac:dyDescent="0.35">
      <c r="B72" s="15"/>
      <c r="C72" s="13"/>
      <c r="D72" s="13"/>
      <c r="E72" s="13"/>
      <c r="F72" s="13"/>
      <c r="G72" s="14"/>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count="5">
    <dataValidation type="list" allowBlank="1" showInputMessage="1" showErrorMessage="1" sqref="E102" xr:uid="{26E089CC-C656-4BD2-BA12-E6282BE13A12}">
      <formula1>$A$103:$A$105</formula1>
    </dataValidation>
    <dataValidation type="list" allowBlank="1" showInputMessage="1" showErrorMessage="1" sqref="B13" xr:uid="{F7B0E2EF-EB0C-44FF-A498-5530E39F8304}">
      <formula1>ITEM</formula1>
    </dataValidation>
    <dataValidation type="list" allowBlank="1" showInputMessage="1" showErrorMessage="1" sqref="B50:B54" xr:uid="{A6ABD254-52DA-437E-8753-DE5EE20738E5}">
      <formula1>L_PERSONAL</formula1>
    </dataValidation>
    <dataValidation type="list" allowBlank="1" showInputMessage="1" showErrorMessage="1" sqref="B31:B38" xr:uid="{9AC394AC-984A-4B12-B8BA-1EC5ABB38EBA}">
      <formula1>L_MATERIALES</formula1>
    </dataValidation>
    <dataValidation type="list" allowBlank="1" showInputMessage="1" showErrorMessage="1" sqref="B23:B27 B42:B46" xr:uid="{B8171B42-5D1A-4AF0-BED6-01058F864752}">
      <formula1>LISTA_MAQUINARIA</formula1>
    </dataValidation>
  </dataValidations>
  <pageMargins left="1.6141732283464567" right="0.70866141732283472" top="0.74803149606299213" bottom="0.74803149606299213" header="0.31496062992125984" footer="0.31496062992125984"/>
  <pageSetup scale="50" orientation="portrait" r:id="rId1"/>
  <rowBreaks count="1" manualBreakCount="1">
    <brk id="78" max="16383" man="1"/>
  </rowBreaks>
  <colBreaks count="1" manualBreakCount="1">
    <brk id="7" max="1048575" man="1"/>
  </colBreaks>
  <drawing r:id="rId2"/>
  <tableParts count="1">
    <tablePart r:id="rId3"/>
  </tablePar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24850F-A1E6-4288-8793-BB583B443BDF}">
  <sheetPr codeName="Hoja37"/>
  <dimension ref="A1:P105"/>
  <sheetViews>
    <sheetView showGridLines="0" view="pageBreakPreview" zoomScale="59" zoomScaleNormal="60" workbookViewId="0">
      <selection activeCell="B1" sqref="B1:G78"/>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26</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18" t="str">
        <f>+IF($B$13="","",INDEX(DESCRIP_ITEM,MATCH($B$13,ITEM,0)))</f>
        <v>Fabricación de caja de inspección o arqueta en concreto de 3000 psi de 2x2x1,6 m con tapas en concreto según diseño.  Incluye excavación y terminado, suministro e instalación de las campanas en PVC de 6", sellado de ductos electricos despues del tendido en espuma epoxica, fabricación y montaje de las placas de identificación de la caja (numero de caja, nivel de tensión, riesgo eléctrico).  Cumplimiento norma técnica constructiva CHEC</v>
      </c>
      <c r="C16" s="619"/>
      <c r="D16" s="619"/>
      <c r="E16" s="619"/>
      <c r="F16" s="619"/>
      <c r="G16" s="620"/>
    </row>
    <row r="17" spans="2:16" ht="89.45" customHeight="1" thickBot="1" x14ac:dyDescent="0.35">
      <c r="B17" s="621"/>
      <c r="C17" s="622"/>
      <c r="D17" s="622"/>
      <c r="E17" s="622"/>
      <c r="F17" s="622"/>
      <c r="G17" s="623"/>
    </row>
    <row r="18" spans="2:16" ht="17.25" thickBot="1" x14ac:dyDescent="0.35">
      <c r="B18" s="591"/>
      <c r="C18" s="579"/>
      <c r="D18" s="579"/>
      <c r="E18" s="579"/>
      <c r="G18" s="11"/>
    </row>
    <row r="19" spans="2:16" ht="17.25" thickBot="1" x14ac:dyDescent="0.35">
      <c r="B19" s="592"/>
      <c r="C19" s="593"/>
      <c r="D19" s="593"/>
      <c r="E19" s="593"/>
      <c r="F19" s="54" t="s">
        <v>89</v>
      </c>
      <c r="G19" s="25" t="str">
        <f>+IF(B13="","",INDEX(U_ITEM,MATCH(B13,ITEM,0)))</f>
        <v>UN</v>
      </c>
    </row>
    <row r="20" spans="2:16" ht="17.25" thickBot="1" x14ac:dyDescent="0.35">
      <c r="B20" s="592"/>
      <c r="C20" s="593"/>
      <c r="D20" s="593"/>
      <c r="E20" s="593"/>
      <c r="F20" s="55" t="s">
        <v>90</v>
      </c>
      <c r="G20" s="56">
        <f>1/12.34</f>
        <v>8.1037277147487846E-2</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c r="C23" s="3" t="str">
        <f>+IF(B23="","",INDEX(U_MAQUINARIA,MATCH(B23,LISTA_MAQUINARIA,0)))</f>
        <v/>
      </c>
      <c r="D23" s="30"/>
      <c r="E23" s="23" t="str">
        <f>+IF(B23="","",INDEX(V_MAQUINARIA,MATCH(B23,LISTA_MAQUINARIA,0)))</f>
        <v/>
      </c>
      <c r="F23" s="3">
        <f>$G$20</f>
        <v>8.1037277147487846E-2</v>
      </c>
      <c r="G23" s="26" t="str">
        <f>+IF(B23="","",(D23*E23)/F23)</f>
        <v/>
      </c>
      <c r="K23" s="9"/>
      <c r="L23" s="23" t="str">
        <f>IF(B23="","",INDEX(V_COMBUSTIBLE_H,MATCH(B23,LISTA_MAQUINARIA,0)))</f>
        <v/>
      </c>
      <c r="M23" s="23" t="str">
        <f>+IF(L23="","",(L23*D23)/F23)</f>
        <v/>
      </c>
      <c r="N23" s="23" t="str">
        <f>IF(G23="","",G23-M23)</f>
        <v/>
      </c>
      <c r="P23" s="11"/>
    </row>
    <row r="24" spans="2:16" x14ac:dyDescent="0.3">
      <c r="B24" s="27"/>
      <c r="C24" s="3" t="str">
        <f>+IF(B24="","",INDEX(U_MAQUINARIA,MATCH(B24,LISTA_MAQUINARIA,0)))</f>
        <v/>
      </c>
      <c r="D24" s="30"/>
      <c r="E24" s="23" t="str">
        <f>+IF(B24="","",INDEX(V_MAQUINARIA,MATCH(B24,LISTA_MAQUINARIA,0)))</f>
        <v/>
      </c>
      <c r="F24" s="3">
        <f>$G$20</f>
        <v>8.1037277147487846E-2</v>
      </c>
      <c r="G24" s="26" t="str">
        <f>+IF(B24="","",(D24*E24)/F24)</f>
        <v/>
      </c>
      <c r="K24" s="9"/>
      <c r="L24" s="3" t="str">
        <f>IF(B24="","",INDEX(V_COMBUSTIBLE_H,MATCH(B24,LISTA_MAQUINARIA,0)))</f>
        <v/>
      </c>
      <c r="M24" s="3" t="str">
        <f>+IF(L24="","",(L24*D24)/F24)</f>
        <v/>
      </c>
      <c r="N24" s="3" t="str">
        <f>IF(G24="","",G24-M24)</f>
        <v/>
      </c>
      <c r="P24" s="11"/>
    </row>
    <row r="25" spans="2:16" x14ac:dyDescent="0.3">
      <c r="B25" s="27"/>
      <c r="C25" s="3" t="str">
        <f>+IF(B25="","",INDEX(U_MAQUINARIA,MATCH(B25,LISTA_MAQUINARIA,0)))</f>
        <v/>
      </c>
      <c r="D25" s="30"/>
      <c r="E25" s="23" t="str">
        <f>+IF(B25="","",INDEX(V_MAQUINARIA,MATCH(B25,LISTA_MAQUINARIA,0)))</f>
        <v/>
      </c>
      <c r="F25" s="3">
        <f>$G$20</f>
        <v>8.1037277147487846E-2</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8.1037277147487846E-2</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8.1037277147487846E-2</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0</v>
      </c>
      <c r="K28" s="9"/>
      <c r="M28" s="24">
        <f>SUM(M23:M27)</f>
        <v>0</v>
      </c>
      <c r="N28" s="24">
        <f>SUM(N23:N27)</f>
        <v>0</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t="s">
        <v>361</v>
      </c>
      <c r="C31" s="3" t="str">
        <f t="shared" ref="C31:C38" si="0">+IF(B31="","",INDEX(U_MATERIAL,MATCH(B31,L_MATERIALES,0)))</f>
        <v>UND</v>
      </c>
      <c r="D31" s="30">
        <v>2</v>
      </c>
      <c r="E31" s="23">
        <f t="shared" ref="E31:E38" si="1">+IF(B31="","",INDEX(V_UNITARIOMATERIAL,MATCH(B31,L_MATERIALES,0)))</f>
        <v>340000</v>
      </c>
      <c r="F31" s="30">
        <v>1</v>
      </c>
      <c r="G31" s="26">
        <f>IF(D31="","",(E31*D31)/F31)</f>
        <v>680000</v>
      </c>
      <c r="K31" s="9"/>
      <c r="L31" t="str">
        <f>+IF(B31="","",B31)</f>
        <v>HERRAMIENTA MENOR---</v>
      </c>
      <c r="M31">
        <f t="shared" ref="M31:M38" si="2">IF(D31="","",(D31/F31)*INDEX(CANT_PROYECTO,MATCH($B$13,ITEM,0)))</f>
        <v>40</v>
      </c>
      <c r="N31" s="1"/>
      <c r="P31" s="11"/>
    </row>
    <row r="32" spans="2:16" x14ac:dyDescent="0.3">
      <c r="B32" s="27"/>
      <c r="C32" s="3" t="str">
        <f t="shared" si="0"/>
        <v/>
      </c>
      <c r="D32" s="30"/>
      <c r="E32" s="23" t="str">
        <f t="shared" si="1"/>
        <v/>
      </c>
      <c r="F32" s="30"/>
      <c r="G32" s="26" t="str">
        <f t="shared" ref="G32:G38" si="3">IF(D32="","",(E32*D32)/F32)</f>
        <v/>
      </c>
      <c r="K32" s="9"/>
      <c r="L32" t="str">
        <f t="shared" ref="L32:L38" si="4">+IF(B32="","",B32)</f>
        <v/>
      </c>
      <c r="M32" t="str">
        <f t="shared" si="2"/>
        <v/>
      </c>
      <c r="N32" s="1"/>
      <c r="P32" s="11"/>
    </row>
    <row r="33" spans="2:16" x14ac:dyDescent="0.3">
      <c r="B33" s="27"/>
      <c r="C33" s="3" t="str">
        <f t="shared" si="0"/>
        <v/>
      </c>
      <c r="D33" s="30"/>
      <c r="E33" s="23" t="str">
        <f t="shared" si="1"/>
        <v/>
      </c>
      <c r="F33" s="30"/>
      <c r="G33" s="26" t="str">
        <f t="shared" si="3"/>
        <v/>
      </c>
      <c r="K33" s="9"/>
      <c r="L33" t="str">
        <f t="shared" si="4"/>
        <v/>
      </c>
      <c r="M33" t="str">
        <f t="shared" si="2"/>
        <v/>
      </c>
      <c r="N33" s="1"/>
      <c r="P33" s="11"/>
    </row>
    <row r="34" spans="2:16" x14ac:dyDescent="0.3">
      <c r="B34" s="27"/>
      <c r="C34" s="3" t="str">
        <f t="shared" si="0"/>
        <v/>
      </c>
      <c r="D34" s="30"/>
      <c r="E34" s="23" t="str">
        <f t="shared" si="1"/>
        <v/>
      </c>
      <c r="F34" s="30"/>
      <c r="G34" s="26" t="str">
        <f t="shared" si="3"/>
        <v/>
      </c>
      <c r="K34" s="9"/>
      <c r="L34" t="str">
        <f t="shared" si="4"/>
        <v/>
      </c>
      <c r="M34" t="str">
        <f t="shared" si="2"/>
        <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680000</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t="s">
        <v>368</v>
      </c>
      <c r="C42" s="3" t="str">
        <f>+IF(B42="","",INDEX(U_MAQUINARIA,MATCH(B42,LISTA_MAQUINARIA,0)))</f>
        <v>VALOR / HORA</v>
      </c>
      <c r="D42" s="30">
        <v>1</v>
      </c>
      <c r="E42" s="23">
        <f>+IF(B42="","",INDEX(V_MAQUINARIA,MATCH(B42,LISTA_MAQUINARIA,0)))</f>
        <v>58531.818181818184</v>
      </c>
      <c r="F42" s="3">
        <f>$G$20</f>
        <v>8.1037277147487846E-2</v>
      </c>
      <c r="G42" s="26">
        <f>IF(D42="","",(E42*D42)/F42)</f>
        <v>722282.63636363635</v>
      </c>
      <c r="K42" s="9"/>
      <c r="L42" s="23">
        <f>IF(B42="","",INDEX(V_COMBUSTIBLE_H,MATCH(B42,LISTA_MAQUINARIA,0)))</f>
        <v>21600</v>
      </c>
      <c r="M42" s="23">
        <f>+IF(L42="","",(L42*D42)/F42)</f>
        <v>266544</v>
      </c>
      <c r="N42" s="23">
        <f>IF(G42="","",G42-M42)</f>
        <v>455738.63636363635</v>
      </c>
      <c r="P42" s="11"/>
    </row>
    <row r="43" spans="2:16" x14ac:dyDescent="0.3">
      <c r="B43" s="27"/>
      <c r="C43" s="3" t="str">
        <f>+IF(B43="","",INDEX(U_MAQUINARIA,MATCH(B43,LISTA_MAQUINARIA,0)))</f>
        <v/>
      </c>
      <c r="D43" s="30"/>
      <c r="E43" s="23" t="str">
        <f>+IF(B43="","",INDEX(V_MAQUINARIA,MATCH(B43,LISTA_MAQUINARIA,0)))</f>
        <v/>
      </c>
      <c r="F43" s="3">
        <f>+$G$20</f>
        <v>8.1037277147487846E-2</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8.1037277147487846E-2</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8.1037277147487846E-2</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8.1037277147487846E-2</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722282.63636363635</v>
      </c>
      <c r="K47" s="9"/>
      <c r="M47" s="24">
        <f>SUM(M42:M46)</f>
        <v>266544</v>
      </c>
      <c r="N47" s="24">
        <f>SUM(N42:N46)</f>
        <v>455738.63636363635</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t="s">
        <v>304</v>
      </c>
      <c r="C50" s="30">
        <v>5</v>
      </c>
      <c r="D50" s="22">
        <f>+IF(B50="","",INDEX(F_PRESTACIONAL,MATCH(B50,L_PERSONAL,)))</f>
        <v>1.6352</v>
      </c>
      <c r="E50" s="23">
        <f>+IF(B50="","",INDEX(V_H_MANODEOBRA,MATCH(B50,L_PERSONAL,0)))</f>
        <v>24658.815999999999</v>
      </c>
      <c r="F50" s="3">
        <f>+$G$20</f>
        <v>8.1037277147487846E-2</v>
      </c>
      <c r="G50" s="26">
        <f>+IF(C50="","",(E50*C50)/F50)</f>
        <v>1521448.9471999998</v>
      </c>
    </row>
    <row r="51" spans="2:7" x14ac:dyDescent="0.3">
      <c r="B51" s="27" t="s">
        <v>298</v>
      </c>
      <c r="C51" s="30">
        <v>1</v>
      </c>
      <c r="D51" s="22">
        <f>+IF(B51="","",INDEX(F_PRESTACIONAL,MATCH(B51,L_PERSONAL,)))</f>
        <v>1.6352</v>
      </c>
      <c r="E51" s="23">
        <f>+IF(B51="","",INDEX(V_H_MANODEOBRA,MATCH(B51,L_PERSONAL,0)))</f>
        <v>40136.727272727272</v>
      </c>
      <c r="F51" s="3">
        <f>+$G$20</f>
        <v>8.1037277147487846E-2</v>
      </c>
      <c r="G51" s="26">
        <f>+IF(C51="","",(E51*C51)/F51)</f>
        <v>495287.21454545454</v>
      </c>
    </row>
    <row r="52" spans="2:7" x14ac:dyDescent="0.3">
      <c r="B52" s="27" t="s">
        <v>306</v>
      </c>
      <c r="C52" s="30">
        <v>1</v>
      </c>
      <c r="D52" s="22">
        <f>+IF(B52="","",INDEX(F_PRESTACIONAL,MATCH(B52,L_PERSONAL,)))</f>
        <v>2.3170181818181819</v>
      </c>
      <c r="E52" s="23">
        <f>+IF(B52="","",INDEX(V_H_MANODEOBRA,MATCH(B52,L_PERSONAL,0)))</f>
        <v>46340.36363636364</v>
      </c>
      <c r="F52" s="3">
        <f>+$G$20</f>
        <v>8.1037277147487846E-2</v>
      </c>
      <c r="G52" s="26">
        <f>+IF(C52="","",(E52*C52)/F52)</f>
        <v>571840.08727272728</v>
      </c>
    </row>
    <row r="53" spans="2:7" x14ac:dyDescent="0.3">
      <c r="B53" s="27"/>
      <c r="C53" s="30"/>
      <c r="D53" s="22" t="str">
        <f>+IF(B53="","",INDEX(F_PRESTACIONAL,MATCH(B53,L_PERSONAL,)))</f>
        <v/>
      </c>
      <c r="E53" s="23" t="str">
        <f>+IF(B53="","",INDEX(V_H_MANODEOBRA,MATCH(B53,L_PERSONAL,0)))</f>
        <v/>
      </c>
      <c r="F53" s="3">
        <f>+$G$20</f>
        <v>8.1037277147487846E-2</v>
      </c>
      <c r="G53" s="26" t="str">
        <f>+IF(C53="","",(E53*C53)/F53)</f>
        <v/>
      </c>
    </row>
    <row r="54" spans="2:7" x14ac:dyDescent="0.3">
      <c r="B54" s="27"/>
      <c r="C54" s="30"/>
      <c r="D54" s="22" t="str">
        <f>+IF(B54="","",INDEX(F_PRESTACIONAL,MATCH(B54,L_PERSONAL,)))</f>
        <v/>
      </c>
      <c r="E54" s="23" t="str">
        <f>+IF(B54="","",INDEX(V_H_MANODEOBRA,MATCH(B54,L_PERSONAL,0)))</f>
        <v/>
      </c>
      <c r="F54" s="3">
        <f>+$G$20</f>
        <v>8.1037277147487846E-2</v>
      </c>
      <c r="G54" s="26" t="str">
        <f>+IF(C54="","",(E54*C54)/F54)</f>
        <v/>
      </c>
    </row>
    <row r="55" spans="2:7" x14ac:dyDescent="0.3">
      <c r="B55" s="9"/>
      <c r="G55" s="26">
        <f>SUM(G50:G54)</f>
        <v>2588576.2490181816</v>
      </c>
    </row>
    <row r="56" spans="2:7" ht="17.25" thickBot="1" x14ac:dyDescent="0.35">
      <c r="B56" s="9"/>
      <c r="G56" s="11"/>
    </row>
    <row r="57" spans="2:7" ht="17.25" thickBot="1" x14ac:dyDescent="0.35">
      <c r="B57" s="610" t="s">
        <v>98</v>
      </c>
      <c r="C57" s="611"/>
      <c r="D57" s="611"/>
      <c r="E57" s="611"/>
      <c r="F57" s="612"/>
      <c r="G57" s="66">
        <f>+G55+G47+G39+G28</f>
        <v>3990858.8853818178</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478903.0662458181</v>
      </c>
    </row>
    <row r="61" spans="2:7" x14ac:dyDescent="0.3">
      <c r="B61" s="613" t="s">
        <v>86</v>
      </c>
      <c r="C61" s="614"/>
      <c r="D61" s="614"/>
      <c r="E61" s="614"/>
      <c r="F61" s="22">
        <f>+IMPREVISTOS</f>
        <v>0.03</v>
      </c>
      <c r="G61" s="26">
        <f>+$G$57*F61</f>
        <v>119725.76656145453</v>
      </c>
    </row>
    <row r="62" spans="2:7" x14ac:dyDescent="0.3">
      <c r="B62" s="613" t="s">
        <v>87</v>
      </c>
      <c r="C62" s="614"/>
      <c r="D62" s="614"/>
      <c r="E62" s="614"/>
      <c r="F62" s="22">
        <f>+UTILIDAD</f>
        <v>0.05</v>
      </c>
      <c r="G62" s="26">
        <f>+$G$57*F62</f>
        <v>199542.94426909089</v>
      </c>
    </row>
    <row r="63" spans="2:7" x14ac:dyDescent="0.3">
      <c r="B63" s="596" t="s">
        <v>100</v>
      </c>
      <c r="C63" s="597"/>
      <c r="D63" s="597"/>
      <c r="E63" s="597"/>
      <c r="F63" s="597"/>
      <c r="G63" s="53">
        <f>SUM(G60:G62)</f>
        <v>798171.77707636356</v>
      </c>
    </row>
    <row r="64" spans="2:7" ht="17.25" thickBot="1" x14ac:dyDescent="0.35">
      <c r="B64" s="9"/>
      <c r="G64" s="44"/>
    </row>
    <row r="65" spans="2:7" ht="17.25" thickBot="1" x14ac:dyDescent="0.35">
      <c r="B65" s="598" t="s">
        <v>101</v>
      </c>
      <c r="C65" s="599"/>
      <c r="D65" s="599"/>
      <c r="E65" s="599"/>
      <c r="F65" s="600"/>
      <c r="G65" s="65">
        <f>+G63+G57</f>
        <v>4789030.6624581814</v>
      </c>
    </row>
    <row r="66" spans="2:7" x14ac:dyDescent="0.3">
      <c r="B66" s="6"/>
      <c r="C66" s="7"/>
      <c r="D66" s="7"/>
      <c r="E66" s="7"/>
      <c r="F66" s="7"/>
      <c r="G66" s="8"/>
    </row>
    <row r="67" spans="2:7" x14ac:dyDescent="0.3">
      <c r="B67" s="9"/>
      <c r="G67" s="11"/>
    </row>
    <row r="68" spans="2:7" x14ac:dyDescent="0.3">
      <c r="B68" s="69" t="s">
        <v>123</v>
      </c>
      <c r="C68" s="67"/>
      <c r="D68" s="67"/>
      <c r="E68" s="67"/>
      <c r="F68" s="67"/>
      <c r="G68" s="70"/>
    </row>
    <row r="69" spans="2:7" x14ac:dyDescent="0.3">
      <c r="B69" s="71"/>
      <c r="C69" s="67"/>
      <c r="D69" s="67"/>
      <c r="E69" s="67"/>
      <c r="F69" s="67"/>
      <c r="G69" s="70"/>
    </row>
    <row r="70" spans="2:7" x14ac:dyDescent="0.3">
      <c r="B70" s="72"/>
      <c r="C70" s="68"/>
      <c r="D70" s="68"/>
      <c r="E70" s="68"/>
      <c r="F70" s="68"/>
      <c r="G70" s="73"/>
    </row>
    <row r="71" spans="2:7" x14ac:dyDescent="0.3">
      <c r="B71" s="71"/>
      <c r="C71" s="67"/>
      <c r="D71" s="67"/>
      <c r="E71" s="67"/>
      <c r="F71" s="67"/>
      <c r="G71" s="70"/>
    </row>
    <row r="72" spans="2:7" ht="17.25" thickBot="1" x14ac:dyDescent="0.35">
      <c r="B72" s="15"/>
      <c r="C72" s="13"/>
      <c r="D72" s="13"/>
      <c r="E72" s="13"/>
      <c r="F72" s="13"/>
      <c r="G72" s="14"/>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count="5">
    <dataValidation type="list" allowBlank="1" showInputMessage="1" showErrorMessage="1" sqref="E102" xr:uid="{C1F3A716-660A-4593-9E66-C4E63AE4F174}">
      <formula1>$A$103:$A$105</formula1>
    </dataValidation>
    <dataValidation type="list" allowBlank="1" showInputMessage="1" showErrorMessage="1" sqref="B13" xr:uid="{B0A36034-132A-433F-B3FA-82C896055BD4}">
      <formula1>ITEM</formula1>
    </dataValidation>
    <dataValidation type="list" allowBlank="1" showInputMessage="1" showErrorMessage="1" sqref="B50:B54" xr:uid="{1F591CFB-5E84-43FA-9E99-8440F9126C27}">
      <formula1>L_PERSONAL</formula1>
    </dataValidation>
    <dataValidation type="list" allowBlank="1" showInputMessage="1" showErrorMessage="1" sqref="B31:B38" xr:uid="{F19C8AF2-A986-4AA9-9860-4BFC170AD4A7}">
      <formula1>L_MATERIALES</formula1>
    </dataValidation>
    <dataValidation type="list" allowBlank="1" showInputMessage="1" showErrorMessage="1" sqref="B23:B27 B42:B46" xr:uid="{759D1F3D-3CA0-4AB6-97AD-866E80251EF0}">
      <formula1>LISTA_MAQUINARIA</formula1>
    </dataValidation>
  </dataValidations>
  <pageMargins left="1.6141732283464567" right="0.70866141732283472" top="0.74803149606299213" bottom="0.74803149606299213" header="0.31496062992125984" footer="0.31496062992125984"/>
  <pageSetup scale="50" orientation="portrait" r:id="rId1"/>
  <rowBreaks count="1" manualBreakCount="1">
    <brk id="78" max="16383" man="1"/>
  </rowBreaks>
  <colBreaks count="1" manualBreakCount="1">
    <brk id="7" max="1048575" man="1"/>
  </colBreaks>
  <drawing r:id="rId2"/>
  <tableParts count="1">
    <tablePart r:id="rId3"/>
  </tablePart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115B9F-1D8E-452C-9049-6C57710CDCB6}">
  <sheetPr codeName="Hoja38"/>
  <dimension ref="A1:P105"/>
  <sheetViews>
    <sheetView showGridLines="0" view="pageBreakPreview" zoomScale="53" zoomScaleNormal="60" workbookViewId="0">
      <selection activeCell="B1" sqref="B1:G78"/>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27</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18" t="str">
        <f>+IF($B$13="","",INDEX(DESCRIP_ITEM,MATCH($B$13,ITEM,0)))</f>
        <v>Instalación del inversor SUN2000-330KTL-H1, incluye el transporte desde el punto de acopio del parque hasta el sitio de montaje, anclaje a estructura metálica, suministro e instalación de la transición de tubo PVC (enterrada) con tubería metálica IMC (exterior) con sus accesorios de acople, aplicación de sellado de conductos eléctricos con espuma epoxica, , Incluye la placa de identificación, nivel de tensión, riesgo eléctrico del inversor, suministro y conexión del cable de cobre aislado de tierra No. 2 AWG del inversor al soporte metálico, Suminsitro de grapa de aterrizamiento de hinca. Adicionalmente disponer el empaque del inversor en sitio autorizado. Notas: a) No incluye la instalación de la estructura metálica de soporte (hincas). b) El contratante sólo suministrará el inversor y la estructura, lo demas elementos de la instalación deben ser suministrados por el contratista.</v>
      </c>
      <c r="C16" s="619"/>
      <c r="D16" s="619"/>
      <c r="E16" s="619"/>
      <c r="F16" s="619"/>
      <c r="G16" s="620"/>
    </row>
    <row r="17" spans="2:16" ht="125.45" customHeight="1" thickBot="1" x14ac:dyDescent="0.35">
      <c r="B17" s="621"/>
      <c r="C17" s="622"/>
      <c r="D17" s="622"/>
      <c r="E17" s="622"/>
      <c r="F17" s="622"/>
      <c r="G17" s="623"/>
    </row>
    <row r="18" spans="2:16" ht="17.25" thickBot="1" x14ac:dyDescent="0.35">
      <c r="B18" s="591"/>
      <c r="C18" s="579"/>
      <c r="D18" s="579"/>
      <c r="E18" s="579"/>
      <c r="G18" s="11"/>
    </row>
    <row r="19" spans="2:16" ht="17.25" thickBot="1" x14ac:dyDescent="0.35">
      <c r="B19" s="592"/>
      <c r="C19" s="593"/>
      <c r="D19" s="593"/>
      <c r="E19" s="593"/>
      <c r="F19" s="54" t="s">
        <v>89</v>
      </c>
      <c r="G19" s="25" t="str">
        <f>+IF(B13="","",INDEX(U_ITEM,MATCH(B13,ITEM,0)))</f>
        <v>UN</v>
      </c>
    </row>
    <row r="20" spans="2:16" ht="17.25" thickBot="1" x14ac:dyDescent="0.35">
      <c r="B20" s="592"/>
      <c r="C20" s="593"/>
      <c r="D20" s="593"/>
      <c r="E20" s="593"/>
      <c r="F20" s="55" t="s">
        <v>90</v>
      </c>
      <c r="G20" s="56">
        <v>0.39</v>
      </c>
      <c r="H20">
        <f>+G20*8</f>
        <v>3.12</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c r="C23" s="3" t="str">
        <f>+IF(B23="","",INDEX(U_MAQUINARIA,MATCH(B23,LISTA_MAQUINARIA,0)))</f>
        <v/>
      </c>
      <c r="D23" s="30"/>
      <c r="E23" s="23" t="str">
        <f>+IF(B23="","",INDEX(V_MAQUINARIA,MATCH(B23,LISTA_MAQUINARIA,0)))</f>
        <v/>
      </c>
      <c r="F23" s="3">
        <f>$G$20</f>
        <v>0.39</v>
      </c>
      <c r="G23" s="26" t="str">
        <f>+IF(B23="","",(D23*E23)/F23)</f>
        <v/>
      </c>
      <c r="K23" s="9"/>
      <c r="L23" s="23" t="str">
        <f>IF(B23="","",INDEX(V_COMBUSTIBLE_H,MATCH(B23,LISTA_MAQUINARIA,0)))</f>
        <v/>
      </c>
      <c r="M23" s="23" t="str">
        <f>+IF(L23="","",(L23*D23)/F23)</f>
        <v/>
      </c>
      <c r="N23" s="23" t="str">
        <f>IF(G23="","",G23-M23)</f>
        <v/>
      </c>
      <c r="P23" s="11"/>
    </row>
    <row r="24" spans="2:16" x14ac:dyDescent="0.3">
      <c r="B24" s="27"/>
      <c r="C24" s="3" t="str">
        <f>+IF(B24="","",INDEX(U_MAQUINARIA,MATCH(B24,LISTA_MAQUINARIA,0)))</f>
        <v/>
      </c>
      <c r="D24" s="30"/>
      <c r="E24" s="23" t="str">
        <f>+IF(B24="","",INDEX(V_MAQUINARIA,MATCH(B24,LISTA_MAQUINARIA,0)))</f>
        <v/>
      </c>
      <c r="F24" s="3">
        <f>$G$20</f>
        <v>0.39</v>
      </c>
      <c r="G24" s="26" t="str">
        <f>+IF(B24="","",(D24*E24)/F24)</f>
        <v/>
      </c>
      <c r="K24" s="9"/>
      <c r="L24" s="3" t="str">
        <f>IF(B24="","",INDEX(V_COMBUSTIBLE_H,MATCH(B24,LISTA_MAQUINARIA,0)))</f>
        <v/>
      </c>
      <c r="M24" s="3" t="str">
        <f>+IF(L24="","",(L24*D24)/F24)</f>
        <v/>
      </c>
      <c r="N24" s="3" t="str">
        <f>IF(G24="","",G24-M24)</f>
        <v/>
      </c>
      <c r="P24" s="11"/>
    </row>
    <row r="25" spans="2:16" x14ac:dyDescent="0.3">
      <c r="B25" s="27"/>
      <c r="C25" s="3" t="str">
        <f>+IF(B25="","",INDEX(U_MAQUINARIA,MATCH(B25,LISTA_MAQUINARIA,0)))</f>
        <v/>
      </c>
      <c r="D25" s="30"/>
      <c r="E25" s="23" t="str">
        <f>+IF(B25="","",INDEX(V_MAQUINARIA,MATCH(B25,LISTA_MAQUINARIA,0)))</f>
        <v/>
      </c>
      <c r="F25" s="3">
        <f>$G$20</f>
        <v>0.39</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0.39</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0.39</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0</v>
      </c>
      <c r="K28" s="9"/>
      <c r="M28" s="24">
        <f>SUM(M23:M27)</f>
        <v>0</v>
      </c>
      <c r="N28" s="24">
        <f>SUM(N23:N27)</f>
        <v>0</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t="s">
        <v>361</v>
      </c>
      <c r="C31" s="3" t="str">
        <f t="shared" ref="C31:C38" si="0">+IF(B31="","",INDEX(U_MATERIAL,MATCH(B31,L_MATERIALES,0)))</f>
        <v>UND</v>
      </c>
      <c r="D31" s="30">
        <v>1</v>
      </c>
      <c r="E31" s="23">
        <f t="shared" ref="E31:E38" si="1">+IF(B31="","",INDEX(V_UNITARIOMATERIAL,MATCH(B31,L_MATERIALES,0)))</f>
        <v>340000</v>
      </c>
      <c r="F31" s="30">
        <v>30</v>
      </c>
      <c r="G31" s="26">
        <f>IF(D31="","",(E31*D31)/F31)</f>
        <v>11333.333333333334</v>
      </c>
      <c r="K31" s="9"/>
      <c r="L31" t="str">
        <f>+IF(B31="","",B31)</f>
        <v>HERRAMIENTA MENOR---</v>
      </c>
      <c r="M31">
        <f t="shared" ref="M31:M38" si="2">IF(D31="","",(D31/F31)*INDEX(CANT_PROYECTO,MATCH($B$13,ITEM,0)))</f>
        <v>10.666666666666666</v>
      </c>
      <c r="N31" s="1"/>
      <c r="P31" s="11"/>
    </row>
    <row r="32" spans="2:16" x14ac:dyDescent="0.3">
      <c r="B32" s="27" t="s">
        <v>364</v>
      </c>
      <c r="C32" s="3" t="str">
        <f t="shared" si="0"/>
        <v>UND</v>
      </c>
      <c r="D32" s="30">
        <v>2</v>
      </c>
      <c r="E32" s="23">
        <f t="shared" si="1"/>
        <v>1250000</v>
      </c>
      <c r="F32" s="30">
        <v>50</v>
      </c>
      <c r="G32" s="26">
        <f t="shared" ref="G32:G38" si="3">IF(D32="","",(E32*D32)/F32)</f>
        <v>50000</v>
      </c>
      <c r="K32" s="9"/>
      <c r="L32" t="str">
        <f t="shared" ref="L32:L38" si="4">+IF(B32="","",B32)</f>
        <v>TORQUIMETRO DIGITAL - ACREDITACION---</v>
      </c>
      <c r="M32">
        <f t="shared" si="2"/>
        <v>12.8</v>
      </c>
      <c r="N32" s="1"/>
      <c r="P32" s="11"/>
    </row>
    <row r="33" spans="2:16" x14ac:dyDescent="0.3">
      <c r="B33" s="27" t="s">
        <v>429</v>
      </c>
      <c r="C33" s="3" t="str">
        <f t="shared" si="0"/>
        <v>und</v>
      </c>
      <c r="D33" s="30">
        <v>4</v>
      </c>
      <c r="E33" s="23">
        <f t="shared" si="1"/>
        <v>8900</v>
      </c>
      <c r="F33" s="30">
        <v>1</v>
      </c>
      <c r="G33" s="26">
        <f t="shared" si="3"/>
        <v>35600</v>
      </c>
      <c r="K33" s="9"/>
      <c r="L33" t="str">
        <f t="shared" si="4"/>
        <v>Perno + arandela---</v>
      </c>
      <c r="M33">
        <f t="shared" si="2"/>
        <v>1280</v>
      </c>
      <c r="N33" s="1"/>
      <c r="P33" s="11"/>
    </row>
    <row r="34" spans="2:16" x14ac:dyDescent="0.3">
      <c r="B34" s="27"/>
      <c r="C34" s="3" t="str">
        <f t="shared" si="0"/>
        <v/>
      </c>
      <c r="D34" s="30"/>
      <c r="E34" s="23" t="str">
        <f t="shared" si="1"/>
        <v/>
      </c>
      <c r="F34" s="30"/>
      <c r="G34" s="26" t="str">
        <f t="shared" si="3"/>
        <v/>
      </c>
      <c r="K34" s="9"/>
      <c r="L34" t="str">
        <f t="shared" si="4"/>
        <v/>
      </c>
      <c r="M34" t="str">
        <f t="shared" si="2"/>
        <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96933.333333333343</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t="s">
        <v>368</v>
      </c>
      <c r="C42" s="3" t="str">
        <f>+IF(B42="","",INDEX(U_MAQUINARIA,MATCH(B42,LISTA_MAQUINARIA,0)))</f>
        <v>VALOR / HORA</v>
      </c>
      <c r="D42" s="30">
        <v>1</v>
      </c>
      <c r="E42" s="23">
        <f>+IF(B42="","",INDEX(V_MAQUINARIA,MATCH(B42,LISTA_MAQUINARIA,0)))</f>
        <v>58531.818181818184</v>
      </c>
      <c r="F42" s="3">
        <f>$G$20</f>
        <v>0.39</v>
      </c>
      <c r="G42" s="26">
        <f>IF(D42="","",(E42*D42)/F42)</f>
        <v>150081.58508158507</v>
      </c>
      <c r="K42" s="9"/>
      <c r="L42" s="23">
        <f>IF(B42="","",INDEX(V_COMBUSTIBLE_H,MATCH(B42,LISTA_MAQUINARIA,0)))</f>
        <v>21600</v>
      </c>
      <c r="M42" s="23">
        <f>+IF(L42="","",(L42*D42)/F42)</f>
        <v>55384.615384615383</v>
      </c>
      <c r="N42" s="23">
        <f>IF(G42="","",G42-M42)</f>
        <v>94696.969696969696</v>
      </c>
      <c r="P42" s="11"/>
    </row>
    <row r="43" spans="2:16" x14ac:dyDescent="0.3">
      <c r="B43" s="27"/>
      <c r="C43" s="3" t="str">
        <f>+IF(B43="","",INDEX(U_MAQUINARIA,MATCH(B43,LISTA_MAQUINARIA,0)))</f>
        <v/>
      </c>
      <c r="D43" s="30"/>
      <c r="E43" s="23" t="str">
        <f>+IF(B43="","",INDEX(V_MAQUINARIA,MATCH(B43,LISTA_MAQUINARIA,0)))</f>
        <v/>
      </c>
      <c r="F43" s="3">
        <f>+$G$20</f>
        <v>0.39</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0.39</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0.39</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0.39</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150081.58508158507</v>
      </c>
      <c r="K47" s="9"/>
      <c r="M47" s="24">
        <f>SUM(M42:M46)</f>
        <v>55384.615384615383</v>
      </c>
      <c r="N47" s="24">
        <f>SUM(N42:N46)</f>
        <v>94696.969696969696</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t="s">
        <v>304</v>
      </c>
      <c r="C50" s="30">
        <v>4</v>
      </c>
      <c r="D50" s="22">
        <f>+IF(B50="","",INDEX(F_PRESTACIONAL,MATCH(B50,L_PERSONAL,)))</f>
        <v>1.6352</v>
      </c>
      <c r="E50" s="23">
        <f>+IF(B50="","",INDEX(V_H_MANODEOBRA,MATCH(B50,L_PERSONAL,0)))</f>
        <v>24658.815999999999</v>
      </c>
      <c r="F50" s="3">
        <f>+$G$20</f>
        <v>0.39</v>
      </c>
      <c r="G50" s="26">
        <f>+IF(C50="","",(E50*C50)/F50)</f>
        <v>252910.93333333332</v>
      </c>
    </row>
    <row r="51" spans="2:7" x14ac:dyDescent="0.3">
      <c r="B51" s="27" t="s">
        <v>298</v>
      </c>
      <c r="C51" s="30">
        <v>1</v>
      </c>
      <c r="D51" s="22">
        <f>+IF(B51="","",INDEX(F_PRESTACIONAL,MATCH(B51,L_PERSONAL,)))</f>
        <v>1.6352</v>
      </c>
      <c r="E51" s="23">
        <f>+IF(B51="","",INDEX(V_H_MANODEOBRA,MATCH(B51,L_PERSONAL,0)))</f>
        <v>40136.727272727272</v>
      </c>
      <c r="F51" s="3">
        <f>+$G$20</f>
        <v>0.39</v>
      </c>
      <c r="G51" s="26">
        <f>+IF(C51="","",(E51*C51)/F51)</f>
        <v>102914.68531468531</v>
      </c>
    </row>
    <row r="52" spans="2:7" x14ac:dyDescent="0.3">
      <c r="B52" s="27"/>
      <c r="C52" s="30"/>
      <c r="D52" s="22" t="str">
        <f>+IF(B52="","",INDEX(F_PRESTACIONAL,MATCH(B52,L_PERSONAL,)))</f>
        <v/>
      </c>
      <c r="E52" s="23" t="str">
        <f>+IF(B52="","",INDEX(V_H_MANODEOBRA,MATCH(B52,L_PERSONAL,0)))</f>
        <v/>
      </c>
      <c r="F52" s="3">
        <f>+$G$20</f>
        <v>0.39</v>
      </c>
      <c r="G52" s="26" t="str">
        <f>+IF(C52="","",(E52*C52)/F52)</f>
        <v/>
      </c>
    </row>
    <row r="53" spans="2:7" x14ac:dyDescent="0.3">
      <c r="B53" s="27"/>
      <c r="C53" s="30"/>
      <c r="D53" s="22" t="str">
        <f>+IF(B53="","",INDEX(F_PRESTACIONAL,MATCH(B53,L_PERSONAL,)))</f>
        <v/>
      </c>
      <c r="E53" s="23" t="str">
        <f>+IF(B53="","",INDEX(V_H_MANODEOBRA,MATCH(B53,L_PERSONAL,0)))</f>
        <v/>
      </c>
      <c r="F53" s="3">
        <f>+$G$20</f>
        <v>0.39</v>
      </c>
      <c r="G53" s="26" t="str">
        <f>+IF(C53="","",(E53*C53)/F53)</f>
        <v/>
      </c>
    </row>
    <row r="54" spans="2:7" x14ac:dyDescent="0.3">
      <c r="B54" s="27"/>
      <c r="C54" s="30"/>
      <c r="D54" s="22" t="str">
        <f>+IF(B54="","",INDEX(F_PRESTACIONAL,MATCH(B54,L_PERSONAL,)))</f>
        <v/>
      </c>
      <c r="E54" s="23" t="str">
        <f>+IF(B54="","",INDEX(V_H_MANODEOBRA,MATCH(B54,L_PERSONAL,0)))</f>
        <v/>
      </c>
      <c r="F54" s="3">
        <f>+$G$20</f>
        <v>0.39</v>
      </c>
      <c r="G54" s="26" t="str">
        <f>+IF(C54="","",(E54*C54)/F54)</f>
        <v/>
      </c>
    </row>
    <row r="55" spans="2:7" x14ac:dyDescent="0.3">
      <c r="B55" s="9"/>
      <c r="G55" s="26">
        <f>SUM(G50:G54)</f>
        <v>355825.61864801863</v>
      </c>
    </row>
    <row r="56" spans="2:7" ht="17.25" thickBot="1" x14ac:dyDescent="0.35">
      <c r="B56" s="9"/>
      <c r="G56" s="11"/>
    </row>
    <row r="57" spans="2:7" ht="17.25" thickBot="1" x14ac:dyDescent="0.35">
      <c r="B57" s="610" t="s">
        <v>98</v>
      </c>
      <c r="C57" s="611"/>
      <c r="D57" s="611"/>
      <c r="E57" s="611"/>
      <c r="F57" s="612"/>
      <c r="G57" s="66">
        <f>+G55+G47+G39+G28</f>
        <v>602840.53706293704</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72340.864447552449</v>
      </c>
    </row>
    <row r="61" spans="2:7" x14ac:dyDescent="0.3">
      <c r="B61" s="613" t="s">
        <v>86</v>
      </c>
      <c r="C61" s="614"/>
      <c r="D61" s="614"/>
      <c r="E61" s="614"/>
      <c r="F61" s="22">
        <f>+IMPREVISTOS</f>
        <v>0.03</v>
      </c>
      <c r="G61" s="26">
        <f>+$G$57*F61</f>
        <v>18085.216111888112</v>
      </c>
    </row>
    <row r="62" spans="2:7" x14ac:dyDescent="0.3">
      <c r="B62" s="613" t="s">
        <v>87</v>
      </c>
      <c r="C62" s="614"/>
      <c r="D62" s="614"/>
      <c r="E62" s="614"/>
      <c r="F62" s="22">
        <f>+UTILIDAD</f>
        <v>0.05</v>
      </c>
      <c r="G62" s="26">
        <f>+$G$57*F62</f>
        <v>30142.026853146854</v>
      </c>
    </row>
    <row r="63" spans="2:7" x14ac:dyDescent="0.3">
      <c r="B63" s="596" t="s">
        <v>100</v>
      </c>
      <c r="C63" s="597"/>
      <c r="D63" s="597"/>
      <c r="E63" s="597"/>
      <c r="F63" s="597"/>
      <c r="G63" s="53">
        <f>SUM(G60:G62)</f>
        <v>120568.10741258741</v>
      </c>
    </row>
    <row r="64" spans="2:7" ht="17.25" thickBot="1" x14ac:dyDescent="0.35">
      <c r="B64" s="9"/>
      <c r="G64" s="44"/>
    </row>
    <row r="65" spans="2:7" ht="17.25" thickBot="1" x14ac:dyDescent="0.35">
      <c r="B65" s="598" t="s">
        <v>101</v>
      </c>
      <c r="C65" s="599"/>
      <c r="D65" s="599"/>
      <c r="E65" s="599"/>
      <c r="F65" s="600"/>
      <c r="G65" s="65">
        <f>+G63+G57</f>
        <v>723408.64447552443</v>
      </c>
    </row>
    <row r="66" spans="2:7" x14ac:dyDescent="0.3">
      <c r="B66" s="6"/>
      <c r="C66" s="7"/>
      <c r="D66" s="7"/>
      <c r="E66" s="7"/>
      <c r="F66" s="7"/>
      <c r="G66" s="8"/>
    </row>
    <row r="67" spans="2:7" x14ac:dyDescent="0.3">
      <c r="B67" s="9"/>
      <c r="G67" s="11"/>
    </row>
    <row r="68" spans="2:7" x14ac:dyDescent="0.3">
      <c r="B68" s="69" t="s">
        <v>123</v>
      </c>
      <c r="C68" s="67"/>
      <c r="D68" s="67"/>
      <c r="E68" s="67"/>
      <c r="F68" s="67"/>
      <c r="G68" s="70"/>
    </row>
    <row r="69" spans="2:7" x14ac:dyDescent="0.3">
      <c r="B69" s="71"/>
      <c r="C69" s="67"/>
      <c r="D69" s="67"/>
      <c r="E69" s="67"/>
      <c r="F69" s="67"/>
      <c r="G69" s="70"/>
    </row>
    <row r="70" spans="2:7" x14ac:dyDescent="0.3">
      <c r="B70" s="72"/>
      <c r="C70" s="68"/>
      <c r="D70" s="68"/>
      <c r="E70" s="68"/>
      <c r="F70" s="68"/>
      <c r="G70" s="73"/>
    </row>
    <row r="71" spans="2:7" x14ac:dyDescent="0.3">
      <c r="B71" s="71"/>
      <c r="C71" s="67"/>
      <c r="D71" s="67"/>
      <c r="E71" s="67"/>
      <c r="F71" s="67"/>
      <c r="G71" s="70"/>
    </row>
    <row r="72" spans="2:7" ht="17.25" thickBot="1" x14ac:dyDescent="0.35">
      <c r="B72" s="15"/>
      <c r="C72" s="13"/>
      <c r="D72" s="13"/>
      <c r="E72" s="13"/>
      <c r="F72" s="13"/>
      <c r="G72" s="14"/>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count="5">
    <dataValidation type="list" allowBlank="1" showInputMessage="1" showErrorMessage="1" sqref="E102" xr:uid="{209484AC-F166-47E5-8427-2BE357E35DC2}">
      <formula1>$A$103:$A$105</formula1>
    </dataValidation>
    <dataValidation type="list" allowBlank="1" showInputMessage="1" showErrorMessage="1" sqref="B13" xr:uid="{04DC0EC5-6327-4843-97AB-DCDEF810536F}">
      <formula1>ITEM</formula1>
    </dataValidation>
    <dataValidation type="list" allowBlank="1" showInputMessage="1" showErrorMessage="1" sqref="B50:B54" xr:uid="{51C65578-1903-4B6A-B2F1-4BCFD830905F}">
      <formula1>L_PERSONAL</formula1>
    </dataValidation>
    <dataValidation type="list" allowBlank="1" showInputMessage="1" showErrorMessage="1" sqref="B31:B38" xr:uid="{7657EA54-91EF-4D06-9C02-BDC8FA268B32}">
      <formula1>L_MATERIALES</formula1>
    </dataValidation>
    <dataValidation type="list" allowBlank="1" showInputMessage="1" showErrorMessage="1" sqref="B23:B27 B42:B46" xr:uid="{B362B8C2-C9C6-4440-80A3-0B634B62DCB2}">
      <formula1>LISTA_MAQUINARIA</formula1>
    </dataValidation>
  </dataValidations>
  <pageMargins left="1.6141732283464567" right="0.70866141732283472" top="0.74803149606299213" bottom="0.74803149606299213" header="0.31496062992125984" footer="0.31496062992125984"/>
  <pageSetup scale="50" orientation="portrait" r:id="rId1"/>
  <rowBreaks count="1" manualBreakCount="1">
    <brk id="78" max="16383" man="1"/>
  </rowBreaks>
  <colBreaks count="1" manualBreakCount="1">
    <brk id="7" max="1048575" man="1"/>
  </colBreaks>
  <drawing r:id="rId2"/>
  <tableParts count="1">
    <tablePart r:id="rId3"/>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13D177-23C2-4515-9ACC-AB6292F0C475}">
  <sheetPr codeName="Hoja39"/>
  <dimension ref="A1:P105"/>
  <sheetViews>
    <sheetView showGridLines="0" view="pageBreakPreview" zoomScale="62" zoomScaleNormal="60" workbookViewId="0">
      <selection activeCell="B1" sqref="B1:G78"/>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28</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18" t="str">
        <f>+IF($B$13="","",INDEX(DESCRIP_ITEM,MATCH($B$13,ITEM,0)))</f>
        <v>Instalación de la power station JUPITER-6000K-H1, incluye cargue desde el tractocamión y descargue sobre la cimentación correspondiente,  mediante el uso de maquina tipo grua de gran tonelaje, la disponibilidad del palomier, eslingas y demás accesorios de izaje según el diseño y el plan de izaje especificado por el contratista y aprobado por Powerchina. Incluye material de fijación tipo soldadura en todas las partes definidas por el fabricante, limpieza con epoxico y aplicación de pintura anticorrosiva y galvanizado en los puntos de soldadura, y todo lo necesario para su correcta instalación.</v>
      </c>
      <c r="C16" s="619"/>
      <c r="D16" s="619"/>
      <c r="E16" s="619"/>
      <c r="F16" s="619"/>
      <c r="G16" s="620"/>
    </row>
    <row r="17" spans="2:16" ht="105" customHeight="1" thickBot="1" x14ac:dyDescent="0.35">
      <c r="B17" s="621"/>
      <c r="C17" s="622"/>
      <c r="D17" s="622"/>
      <c r="E17" s="622"/>
      <c r="F17" s="622"/>
      <c r="G17" s="623"/>
    </row>
    <row r="18" spans="2:16" ht="17.25" thickBot="1" x14ac:dyDescent="0.35">
      <c r="B18" s="591"/>
      <c r="C18" s="579"/>
      <c r="D18" s="579"/>
      <c r="E18" s="579"/>
      <c r="G18" s="11"/>
    </row>
    <row r="19" spans="2:16" ht="17.25" thickBot="1" x14ac:dyDescent="0.35">
      <c r="B19" s="592"/>
      <c r="C19" s="593"/>
      <c r="D19" s="593"/>
      <c r="E19" s="593"/>
      <c r="F19" s="54" t="s">
        <v>89</v>
      </c>
      <c r="G19" s="25" t="str">
        <f>+IF(B13="","",INDEX(U_ITEM,MATCH(B13,ITEM,0)))</f>
        <v>UN</v>
      </c>
    </row>
    <row r="20" spans="2:16" ht="17.25" thickBot="1" x14ac:dyDescent="0.35">
      <c r="B20" s="592"/>
      <c r="C20" s="593"/>
      <c r="D20" s="593"/>
      <c r="E20" s="593"/>
      <c r="F20" s="55" t="s">
        <v>90</v>
      </c>
      <c r="G20" s="56">
        <f>1/5.22</f>
        <v>0.19157088122605365</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c r="C23" s="3" t="str">
        <f>+IF(B23="","",INDEX(U_MAQUINARIA,MATCH(B23,LISTA_MAQUINARIA,0)))</f>
        <v/>
      </c>
      <c r="D23" s="30"/>
      <c r="E23" s="23" t="str">
        <f>+IF(B23="","",INDEX(V_MAQUINARIA,MATCH(B23,LISTA_MAQUINARIA,0)))</f>
        <v/>
      </c>
      <c r="F23" s="3">
        <f>$G$20</f>
        <v>0.19157088122605365</v>
      </c>
      <c r="G23" s="26" t="str">
        <f>+IF(B23="","",(D23*E23)/F23)</f>
        <v/>
      </c>
      <c r="K23" s="9"/>
      <c r="L23" s="23" t="str">
        <f>IF(B23="","",INDEX(V_COMBUSTIBLE_H,MATCH(B23,LISTA_MAQUINARIA,0)))</f>
        <v/>
      </c>
      <c r="M23" s="23" t="str">
        <f>+IF(L23="","",(L23*D23)/F23)</f>
        <v/>
      </c>
      <c r="N23" s="23" t="str">
        <f>IF(G23="","",G23-M23)</f>
        <v/>
      </c>
      <c r="P23" s="11"/>
    </row>
    <row r="24" spans="2:16" x14ac:dyDescent="0.3">
      <c r="B24" s="27"/>
      <c r="C24" s="3" t="str">
        <f>+IF(B24="","",INDEX(U_MAQUINARIA,MATCH(B24,LISTA_MAQUINARIA,0)))</f>
        <v/>
      </c>
      <c r="D24" s="30"/>
      <c r="E24" s="23" t="str">
        <f>+IF(B24="","",INDEX(V_MAQUINARIA,MATCH(B24,LISTA_MAQUINARIA,0)))</f>
        <v/>
      </c>
      <c r="F24" s="3">
        <f>$G$20</f>
        <v>0.19157088122605365</v>
      </c>
      <c r="G24" s="26" t="str">
        <f>+IF(B24="","",(D24*E24)/F24)</f>
        <v/>
      </c>
      <c r="K24" s="9"/>
      <c r="L24" s="3" t="str">
        <f>IF(B24="","",INDEX(V_COMBUSTIBLE_H,MATCH(B24,LISTA_MAQUINARIA,0)))</f>
        <v/>
      </c>
      <c r="M24" s="3" t="str">
        <f>+IF(L24="","",(L24*D24)/F24)</f>
        <v/>
      </c>
      <c r="N24" s="3" t="str">
        <f>IF(G24="","",G24-M24)</f>
        <v/>
      </c>
      <c r="P24" s="11"/>
    </row>
    <row r="25" spans="2:16" x14ac:dyDescent="0.3">
      <c r="B25" s="27"/>
      <c r="C25" s="3" t="str">
        <f>+IF(B25="","",INDEX(U_MAQUINARIA,MATCH(B25,LISTA_MAQUINARIA,0)))</f>
        <v/>
      </c>
      <c r="D25" s="30"/>
      <c r="E25" s="23" t="str">
        <f>+IF(B25="","",INDEX(V_MAQUINARIA,MATCH(B25,LISTA_MAQUINARIA,0)))</f>
        <v/>
      </c>
      <c r="F25" s="3">
        <f>$G$20</f>
        <v>0.19157088122605365</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0.19157088122605365</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0.19157088122605365</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0</v>
      </c>
      <c r="K28" s="9"/>
      <c r="M28" s="24">
        <f>SUM(M23:M27)</f>
        <v>0</v>
      </c>
      <c r="N28" s="24">
        <f>SUM(N23:N27)</f>
        <v>0</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t="s">
        <v>361</v>
      </c>
      <c r="C31" s="3" t="str">
        <f t="shared" ref="C31:C38" si="0">+IF(B31="","",INDEX(U_MATERIAL,MATCH(B31,L_MATERIALES,0)))</f>
        <v>UND</v>
      </c>
      <c r="D31" s="30">
        <v>2</v>
      </c>
      <c r="E31" s="23">
        <f t="shared" ref="E31:E38" si="1">+IF(B31="","",INDEX(V_UNITARIOMATERIAL,MATCH(B31,L_MATERIALES,0)))</f>
        <v>340000</v>
      </c>
      <c r="F31" s="30">
        <v>1</v>
      </c>
      <c r="G31" s="26">
        <f>IF(D31="","",(E31*D31)/F31)</f>
        <v>680000</v>
      </c>
      <c r="K31" s="9"/>
      <c r="L31" t="str">
        <f>+IF(B31="","",B31)</f>
        <v>HERRAMIENTA MENOR---</v>
      </c>
      <c r="M31">
        <f t="shared" ref="M31:M38" si="2">IF(D31="","",(D31/F31)*INDEX(CANT_PROYECTO,MATCH($B$13,ITEM,0)))</f>
        <v>32</v>
      </c>
      <c r="N31" s="1"/>
      <c r="P31" s="11"/>
    </row>
    <row r="32" spans="2:16" x14ac:dyDescent="0.3">
      <c r="B32" s="27" t="s">
        <v>364</v>
      </c>
      <c r="C32" s="3" t="str">
        <f t="shared" si="0"/>
        <v>UND</v>
      </c>
      <c r="D32" s="30">
        <v>1</v>
      </c>
      <c r="E32" s="23">
        <f t="shared" si="1"/>
        <v>1250000</v>
      </c>
      <c r="F32" s="30">
        <v>1</v>
      </c>
      <c r="G32" s="26">
        <f t="shared" ref="G32:G38" si="3">IF(D32="","",(E32*D32)/F32)</f>
        <v>1250000</v>
      </c>
      <c r="K32" s="9"/>
      <c r="L32" t="str">
        <f t="shared" ref="L32:L38" si="4">+IF(B32="","",B32)</f>
        <v>TORQUIMETRO DIGITAL - ACREDITACION---</v>
      </c>
      <c r="M32">
        <f t="shared" si="2"/>
        <v>16</v>
      </c>
      <c r="N32" s="1"/>
      <c r="P32" s="11"/>
    </row>
    <row r="33" spans="2:16" x14ac:dyDescent="0.3">
      <c r="B33" s="27" t="s">
        <v>366</v>
      </c>
      <c r="C33" s="3" t="str">
        <f t="shared" si="0"/>
        <v>UND</v>
      </c>
      <c r="D33" s="30"/>
      <c r="E33" s="23">
        <f t="shared" si="1"/>
        <v>870000</v>
      </c>
      <c r="F33" s="30"/>
      <c r="G33" s="26" t="str">
        <f t="shared" si="3"/>
        <v/>
      </c>
      <c r="K33" s="9"/>
      <c r="L33" t="str">
        <f t="shared" si="4"/>
        <v>HERRAMIENTA TORQUE HILTI---</v>
      </c>
      <c r="M33" t="str">
        <f t="shared" si="2"/>
        <v/>
      </c>
      <c r="N33" s="1"/>
      <c r="P33" s="11"/>
    </row>
    <row r="34" spans="2:16" x14ac:dyDescent="0.3">
      <c r="B34" s="27"/>
      <c r="C34" s="3" t="str">
        <f t="shared" si="0"/>
        <v/>
      </c>
      <c r="D34" s="30"/>
      <c r="E34" s="23" t="str">
        <f t="shared" si="1"/>
        <v/>
      </c>
      <c r="F34" s="30"/>
      <c r="G34" s="26" t="str">
        <f t="shared" si="3"/>
        <v/>
      </c>
      <c r="K34" s="9"/>
      <c r="L34" t="str">
        <f t="shared" si="4"/>
        <v/>
      </c>
      <c r="M34" t="str">
        <f t="shared" si="2"/>
        <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1930000</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t="s">
        <v>368</v>
      </c>
      <c r="C42" s="3" t="str">
        <f>+IF(B42="","",INDEX(U_MAQUINARIA,MATCH(B42,LISTA_MAQUINARIA,0)))</f>
        <v>VALOR / HORA</v>
      </c>
      <c r="D42" s="30">
        <v>1</v>
      </c>
      <c r="E42" s="23">
        <f>+IF(B42="","",INDEX(V_MAQUINARIA,MATCH(B42,LISTA_MAQUINARIA,0)))</f>
        <v>58531.818181818184</v>
      </c>
      <c r="F42" s="3">
        <f>$G$20</f>
        <v>0.19157088122605365</v>
      </c>
      <c r="G42" s="26">
        <f>IF(D42="","",(E42*D42)/F42)</f>
        <v>305536.09090909088</v>
      </c>
      <c r="K42" s="9"/>
      <c r="L42" s="23">
        <f>IF(B42="","",INDEX(V_COMBUSTIBLE_H,MATCH(B42,LISTA_MAQUINARIA,0)))</f>
        <v>21600</v>
      </c>
      <c r="M42" s="23">
        <f>+IF(L42="","",(L42*D42)/F42)</f>
        <v>112752</v>
      </c>
      <c r="N42" s="23">
        <f>IF(G42="","",G42-M42)</f>
        <v>192784.09090909088</v>
      </c>
      <c r="P42" s="11"/>
    </row>
    <row r="43" spans="2:16" x14ac:dyDescent="0.3">
      <c r="B43" s="27"/>
      <c r="C43" s="3" t="str">
        <f>+IF(B43="","",INDEX(U_MAQUINARIA,MATCH(B43,LISTA_MAQUINARIA,0)))</f>
        <v/>
      </c>
      <c r="D43" s="30"/>
      <c r="E43" s="23" t="str">
        <f>+IF(B43="","",INDEX(V_MAQUINARIA,MATCH(B43,LISTA_MAQUINARIA,0)))</f>
        <v/>
      </c>
      <c r="F43" s="3">
        <f>+$G$20</f>
        <v>0.19157088122605365</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0.19157088122605365</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0.19157088122605365</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0.19157088122605365</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305536.09090909088</v>
      </c>
      <c r="K47" s="9"/>
      <c r="M47" s="24">
        <f>SUM(M42:M46)</f>
        <v>112752</v>
      </c>
      <c r="N47" s="24">
        <f>SUM(N42:N46)</f>
        <v>192784.09090909088</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t="s">
        <v>357</v>
      </c>
      <c r="C50" s="30">
        <v>2</v>
      </c>
      <c r="D50" s="22">
        <f>+IF(B50="","",INDEX(F_PRESTACIONAL,MATCH(B50,L_PERSONAL,)))</f>
        <v>1.6352</v>
      </c>
      <c r="E50" s="23">
        <f>+IF(B50="","",INDEX(V_H_MANODEOBRA,MATCH(B50,L_PERSONAL,0)))</f>
        <v>24658.815999999999</v>
      </c>
      <c r="F50" s="3">
        <f>+$G$20</f>
        <v>0.19157088122605365</v>
      </c>
      <c r="G50" s="26">
        <f>+IF(C50="","",(E50*C50)/F50)</f>
        <v>257438.03903999997</v>
      </c>
    </row>
    <row r="51" spans="2:7" x14ac:dyDescent="0.3">
      <c r="B51" s="27" t="s">
        <v>306</v>
      </c>
      <c r="C51" s="30">
        <v>2</v>
      </c>
      <c r="D51" s="22">
        <f>+IF(B51="","",INDEX(F_PRESTACIONAL,MATCH(B51,L_PERSONAL,)))</f>
        <v>2.3170181818181819</v>
      </c>
      <c r="E51" s="23">
        <f>+IF(B51="","",INDEX(V_H_MANODEOBRA,MATCH(B51,L_PERSONAL,0)))</f>
        <v>46340.36363636364</v>
      </c>
      <c r="F51" s="3">
        <f>+$G$20</f>
        <v>0.19157088122605365</v>
      </c>
      <c r="G51" s="26">
        <f>+IF(C51="","",(E51*C51)/F51)</f>
        <v>483793.39636363636</v>
      </c>
    </row>
    <row r="52" spans="2:7" x14ac:dyDescent="0.3">
      <c r="B52" s="27" t="s">
        <v>304</v>
      </c>
      <c r="C52" s="30">
        <v>2</v>
      </c>
      <c r="D52" s="22">
        <f>+IF(B52="","",INDEX(F_PRESTACIONAL,MATCH(B52,L_PERSONAL,)))</f>
        <v>1.6352</v>
      </c>
      <c r="E52" s="23">
        <f>+IF(B52="","",INDEX(V_H_MANODEOBRA,MATCH(B52,L_PERSONAL,0)))</f>
        <v>24658.815999999999</v>
      </c>
      <c r="F52" s="3">
        <f>+$G$20</f>
        <v>0.19157088122605365</v>
      </c>
      <c r="G52" s="26">
        <f>+IF(C52="","",(E52*C52)/F52)</f>
        <v>257438.03903999997</v>
      </c>
    </row>
    <row r="53" spans="2:7" x14ac:dyDescent="0.3">
      <c r="B53" s="27"/>
      <c r="C53" s="30"/>
      <c r="D53" s="22" t="str">
        <f>+IF(B53="","",INDEX(F_PRESTACIONAL,MATCH(B53,L_PERSONAL,)))</f>
        <v/>
      </c>
      <c r="E53" s="23" t="str">
        <f>+IF(B53="","",INDEX(V_H_MANODEOBRA,MATCH(B53,L_PERSONAL,0)))</f>
        <v/>
      </c>
      <c r="F53" s="3">
        <f>+$G$20</f>
        <v>0.19157088122605365</v>
      </c>
      <c r="G53" s="26" t="str">
        <f>+IF(C53="","",(E53*C53)/F53)</f>
        <v/>
      </c>
    </row>
    <row r="54" spans="2:7" x14ac:dyDescent="0.3">
      <c r="B54" s="27"/>
      <c r="C54" s="30"/>
      <c r="D54" s="22" t="str">
        <f>+IF(B54="","",INDEX(F_PRESTACIONAL,MATCH(B54,L_PERSONAL,)))</f>
        <v/>
      </c>
      <c r="E54" s="23" t="str">
        <f>+IF(B54="","",INDEX(V_H_MANODEOBRA,MATCH(B54,L_PERSONAL,0)))</f>
        <v/>
      </c>
      <c r="F54" s="3">
        <f>+$G$20</f>
        <v>0.19157088122605365</v>
      </c>
      <c r="G54" s="26" t="str">
        <f>+IF(C54="","",(E54*C54)/F54)</f>
        <v/>
      </c>
    </row>
    <row r="55" spans="2:7" x14ac:dyDescent="0.3">
      <c r="B55" s="9"/>
      <c r="G55" s="26">
        <f>SUM(G50:G54)</f>
        <v>998669.47444363625</v>
      </c>
    </row>
    <row r="56" spans="2:7" ht="17.25" thickBot="1" x14ac:dyDescent="0.35">
      <c r="B56" s="9"/>
      <c r="G56" s="11"/>
    </row>
    <row r="57" spans="2:7" ht="17.25" thickBot="1" x14ac:dyDescent="0.35">
      <c r="B57" s="610" t="s">
        <v>98</v>
      </c>
      <c r="C57" s="611"/>
      <c r="D57" s="611"/>
      <c r="E57" s="611"/>
      <c r="F57" s="612"/>
      <c r="G57" s="66">
        <f>+G55+G47+G39+G28</f>
        <v>3234205.5653527272</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388104.66784232727</v>
      </c>
    </row>
    <row r="61" spans="2:7" x14ac:dyDescent="0.3">
      <c r="B61" s="613" t="s">
        <v>86</v>
      </c>
      <c r="C61" s="614"/>
      <c r="D61" s="614"/>
      <c r="E61" s="614"/>
      <c r="F61" s="22">
        <f>+IMPREVISTOS</f>
        <v>0.03</v>
      </c>
      <c r="G61" s="26">
        <f>+$G$57*F61</f>
        <v>97026.166960581817</v>
      </c>
    </row>
    <row r="62" spans="2:7" x14ac:dyDescent="0.3">
      <c r="B62" s="613" t="s">
        <v>87</v>
      </c>
      <c r="C62" s="614"/>
      <c r="D62" s="614"/>
      <c r="E62" s="614"/>
      <c r="F62" s="22">
        <f>+UTILIDAD</f>
        <v>0.05</v>
      </c>
      <c r="G62" s="26">
        <f>+$G$57*F62</f>
        <v>161710.27826763637</v>
      </c>
    </row>
    <row r="63" spans="2:7" x14ac:dyDescent="0.3">
      <c r="B63" s="596" t="s">
        <v>100</v>
      </c>
      <c r="C63" s="597"/>
      <c r="D63" s="597"/>
      <c r="E63" s="597"/>
      <c r="F63" s="597"/>
      <c r="G63" s="53">
        <f>SUM(G60:G62)</f>
        <v>646841.11307054549</v>
      </c>
    </row>
    <row r="64" spans="2:7" ht="17.25" thickBot="1" x14ac:dyDescent="0.35">
      <c r="B64" s="9"/>
      <c r="G64" s="44"/>
    </row>
    <row r="65" spans="2:7" ht="17.25" thickBot="1" x14ac:dyDescent="0.35">
      <c r="B65" s="598" t="s">
        <v>101</v>
      </c>
      <c r="C65" s="599"/>
      <c r="D65" s="599"/>
      <c r="E65" s="599"/>
      <c r="F65" s="600"/>
      <c r="G65" s="65">
        <f>+G63+G57</f>
        <v>3881046.6784232724</v>
      </c>
    </row>
    <row r="66" spans="2:7" x14ac:dyDescent="0.3">
      <c r="B66" s="6"/>
      <c r="C66" s="7"/>
      <c r="D66" s="7"/>
      <c r="E66" s="7"/>
      <c r="F66" s="7"/>
      <c r="G66" s="8"/>
    </row>
    <row r="67" spans="2:7" x14ac:dyDescent="0.3">
      <c r="B67" s="9"/>
      <c r="G67" s="11"/>
    </row>
    <row r="68" spans="2:7" x14ac:dyDescent="0.3">
      <c r="B68" s="69" t="s">
        <v>123</v>
      </c>
      <c r="C68" s="67"/>
      <c r="D68" s="67"/>
      <c r="E68" s="67"/>
      <c r="F68" s="67"/>
      <c r="G68" s="70"/>
    </row>
    <row r="69" spans="2:7" x14ac:dyDescent="0.3">
      <c r="B69" s="71"/>
      <c r="C69" s="67"/>
      <c r="D69" s="67"/>
      <c r="E69" s="67"/>
      <c r="F69" s="67"/>
      <c r="G69" s="70"/>
    </row>
    <row r="70" spans="2:7" x14ac:dyDescent="0.3">
      <c r="B70" s="72"/>
      <c r="C70" s="68"/>
      <c r="D70" s="68"/>
      <c r="E70" s="68"/>
      <c r="F70" s="68"/>
      <c r="G70" s="73"/>
    </row>
    <row r="71" spans="2:7" x14ac:dyDescent="0.3">
      <c r="B71" s="71"/>
      <c r="C71" s="67"/>
      <c r="D71" s="67"/>
      <c r="E71" s="67"/>
      <c r="F71" s="67"/>
      <c r="G71" s="70"/>
    </row>
    <row r="72" spans="2:7" ht="17.25" thickBot="1" x14ac:dyDescent="0.35">
      <c r="B72" s="15"/>
      <c r="C72" s="13"/>
      <c r="D72" s="13"/>
      <c r="E72" s="13"/>
      <c r="F72" s="13"/>
      <c r="G72" s="14"/>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count="5">
    <dataValidation type="list" allowBlank="1" showInputMessage="1" showErrorMessage="1" sqref="E102" xr:uid="{9A46E905-78C4-4941-A242-2123B5A1E13D}">
      <formula1>$A$103:$A$105</formula1>
    </dataValidation>
    <dataValidation type="list" allowBlank="1" showInputMessage="1" showErrorMessage="1" sqref="B13" xr:uid="{C708FC44-B4BD-4206-A4C3-4FAABD5E2CDC}">
      <formula1>ITEM</formula1>
    </dataValidation>
    <dataValidation type="list" allowBlank="1" showInputMessage="1" showErrorMessage="1" sqref="B50:B54" xr:uid="{B08C3160-7B45-4D12-ACE5-BDA2F1C8C737}">
      <formula1>L_PERSONAL</formula1>
    </dataValidation>
    <dataValidation type="list" allowBlank="1" showInputMessage="1" showErrorMessage="1" sqref="B31:B38" xr:uid="{CAF437E7-E6AF-49F3-B55D-982195181F1F}">
      <formula1>L_MATERIALES</formula1>
    </dataValidation>
    <dataValidation type="list" allowBlank="1" showInputMessage="1" showErrorMessage="1" sqref="B23:B27 B42:B46" xr:uid="{94FBB5A8-264F-4134-9CD9-252A186666D9}">
      <formula1>LISTA_MAQUINARIA</formula1>
    </dataValidation>
  </dataValidations>
  <pageMargins left="1.6141732283464567" right="0.70866141732283472" top="0.74803149606299213" bottom="0.74803149606299213" header="0.31496062992125984" footer="0.31496062992125984"/>
  <pageSetup scale="50" orientation="portrait" r:id="rId1"/>
  <rowBreaks count="1" manualBreakCount="1">
    <brk id="78" max="16383" man="1"/>
  </rowBreaks>
  <colBreaks count="1" manualBreakCount="1">
    <brk id="7" max="1048575" man="1"/>
  </colBreaks>
  <drawing r:id="rId2"/>
  <tableParts count="1">
    <tablePart r:id="rId3"/>
  </tablePar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34BD54-5FA6-49D8-8CC9-93F923ED6F36}">
  <sheetPr codeName="Hoja40"/>
  <dimension ref="A1:P105"/>
  <sheetViews>
    <sheetView showGridLines="0" view="pageBreakPreview" zoomScale="62" zoomScaleNormal="60" workbookViewId="0">
      <selection activeCell="B1" sqref="B1:G78"/>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29</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18" t="str">
        <f>+IF($B$13="","",INDEX(DESCRIP_ITEM,MATCH($B$13,ITEM,0)))</f>
        <v>Instalacion de fibra Óptica Monomodo 24xFo. Incluye marquillado de los cables. Incluye pero no se limita a las  pruebas indicadas en el Anexo 005 Especificaciones Técnicas BOS TEPUY de EPM - CRW216402</v>
      </c>
      <c r="C16" s="619"/>
      <c r="D16" s="619"/>
      <c r="E16" s="619"/>
      <c r="F16" s="619"/>
      <c r="G16" s="620"/>
    </row>
    <row r="17" spans="2:16" ht="44.25" customHeight="1" thickBot="1" x14ac:dyDescent="0.35">
      <c r="B17" s="621"/>
      <c r="C17" s="622"/>
      <c r="D17" s="622"/>
      <c r="E17" s="622"/>
      <c r="F17" s="622"/>
      <c r="G17" s="623"/>
    </row>
    <row r="18" spans="2:16" ht="17.25" thickBot="1" x14ac:dyDescent="0.35">
      <c r="B18" s="591"/>
      <c r="C18" s="579"/>
      <c r="D18" s="579"/>
      <c r="E18" s="579"/>
      <c r="G18" s="11"/>
    </row>
    <row r="19" spans="2:16" ht="17.25" thickBot="1" x14ac:dyDescent="0.35">
      <c r="B19" s="592"/>
      <c r="C19" s="593"/>
      <c r="D19" s="593"/>
      <c r="E19" s="593"/>
      <c r="F19" s="54" t="s">
        <v>89</v>
      </c>
      <c r="G19" s="25" t="str">
        <f>+IF(B13="","",INDEX(U_ITEM,MATCH(B13,ITEM,0)))</f>
        <v>ML</v>
      </c>
    </row>
    <row r="20" spans="2:16" ht="17.25" thickBot="1" x14ac:dyDescent="0.35">
      <c r="B20" s="592"/>
      <c r="C20" s="593"/>
      <c r="D20" s="593"/>
      <c r="E20" s="593"/>
      <c r="F20" s="55" t="s">
        <v>90</v>
      </c>
      <c r="G20" s="56">
        <v>98</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t="s">
        <v>395</v>
      </c>
      <c r="C23" s="3" t="str">
        <f>+IF(B23="","",INDEX(U_MAQUINARIA,MATCH(B23,LISTA_MAQUINARIA,0)))</f>
        <v>VALOR / HORA</v>
      </c>
      <c r="D23" s="30">
        <v>1</v>
      </c>
      <c r="E23" s="23">
        <f>+IF(B23="","",INDEX(V_MAQUINARIA,MATCH(B23,LISTA_MAQUINARIA,0)))</f>
        <v>7102.272727272727</v>
      </c>
      <c r="F23" s="3">
        <f>$G$20</f>
        <v>98</v>
      </c>
      <c r="G23" s="26">
        <f>+IF(B23="","",(D23*E23)/F23)</f>
        <v>72.472170686456394</v>
      </c>
      <c r="K23" s="9"/>
      <c r="L23" s="23">
        <f>IF(B23="","",INDEX(V_COMBUSTIBLE_H,MATCH(B23,LISTA_MAQUINARIA,0)))</f>
        <v>0</v>
      </c>
      <c r="M23" s="23">
        <f>+IF(L23="","",(L23*D23)/F23)</f>
        <v>0</v>
      </c>
      <c r="N23" s="23">
        <f>IF(G23="","",G23-M23)</f>
        <v>72.472170686456394</v>
      </c>
      <c r="P23" s="11"/>
    </row>
    <row r="24" spans="2:16" x14ac:dyDescent="0.3">
      <c r="B24" s="27" t="s">
        <v>368</v>
      </c>
      <c r="C24" s="3" t="str">
        <f>+IF(B24="","",INDEX(U_MAQUINARIA,MATCH(B24,LISTA_MAQUINARIA,0)))</f>
        <v>VALOR / HORA</v>
      </c>
      <c r="D24" s="30">
        <v>1</v>
      </c>
      <c r="E24" s="23">
        <f>+IF(B24="","",INDEX(V_MAQUINARIA,MATCH(B24,LISTA_MAQUINARIA,0)))</f>
        <v>58531.818181818184</v>
      </c>
      <c r="F24" s="3">
        <f>$G$20</f>
        <v>98</v>
      </c>
      <c r="G24" s="26">
        <f>+IF(B24="","",(D24*E24)/F24)</f>
        <v>597.26345083487945</v>
      </c>
      <c r="K24" s="9"/>
      <c r="L24" s="3">
        <f>IF(B24="","",INDEX(V_COMBUSTIBLE_H,MATCH(B24,LISTA_MAQUINARIA,0)))</f>
        <v>21600</v>
      </c>
      <c r="M24" s="3">
        <f>+IF(L24="","",(L24*D24)/F24)</f>
        <v>220.40816326530611</v>
      </c>
      <c r="N24" s="3">
        <f>IF(G24="","",G24-M24)</f>
        <v>376.85528756957331</v>
      </c>
      <c r="P24" s="11"/>
    </row>
    <row r="25" spans="2:16" x14ac:dyDescent="0.3">
      <c r="B25" s="27"/>
      <c r="C25" s="3" t="str">
        <f>+IF(B25="","",INDEX(U_MAQUINARIA,MATCH(B25,LISTA_MAQUINARIA,0)))</f>
        <v/>
      </c>
      <c r="D25" s="30"/>
      <c r="E25" s="23" t="str">
        <f>+IF(B25="","",INDEX(V_MAQUINARIA,MATCH(B25,LISTA_MAQUINARIA,0)))</f>
        <v/>
      </c>
      <c r="F25" s="3">
        <f>$G$20</f>
        <v>98</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98</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98</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669.73562152133582</v>
      </c>
      <c r="K28" s="9"/>
      <c r="M28" s="24">
        <f>SUM(M23:M27)</f>
        <v>220.40816326530611</v>
      </c>
      <c r="N28" s="24">
        <f>SUM(N23:N27)</f>
        <v>449.32745825602967</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t="s">
        <v>398</v>
      </c>
      <c r="C31" s="3" t="str">
        <f t="shared" ref="C31:C38" si="0">+IF(B31="","",INDEX(U_MATERIAL,MATCH(B31,L_MATERIALES,0)))</f>
        <v>UND</v>
      </c>
      <c r="D31" s="30">
        <v>1</v>
      </c>
      <c r="E31" s="23">
        <f t="shared" ref="E31:E38" si="1">+IF(B31="","",INDEX(V_UNITARIOMATERIAL,MATCH(B31,L_MATERIALES,0)))</f>
        <v>13458</v>
      </c>
      <c r="F31" s="30">
        <v>5000</v>
      </c>
      <c r="G31" s="26">
        <f>IF(D31="","",(E31*D31)/F31)</f>
        <v>2.6916000000000002</v>
      </c>
      <c r="K31" s="9"/>
      <c r="L31" t="str">
        <f>+IF(B31="","",B31)</f>
        <v>ETIQUETA PLASTICA---</v>
      </c>
      <c r="M31">
        <f t="shared" ref="M31:M38" si="2">IF(D31="","",(D31/F31)*INDEX(CANT_PROYECTO,MATCH($B$13,ITEM,0)))</f>
        <v>6</v>
      </c>
      <c r="N31" s="1"/>
      <c r="P31" s="11"/>
    </row>
    <row r="32" spans="2:16" x14ac:dyDescent="0.3">
      <c r="B32" s="27" t="s">
        <v>361</v>
      </c>
      <c r="C32" s="3" t="str">
        <f t="shared" si="0"/>
        <v>UND</v>
      </c>
      <c r="D32" s="30">
        <v>1</v>
      </c>
      <c r="E32" s="23">
        <f t="shared" si="1"/>
        <v>340000</v>
      </c>
      <c r="F32" s="30">
        <v>1000</v>
      </c>
      <c r="G32" s="26">
        <f t="shared" ref="G32:G38" si="3">IF(D32="","",(E32*D32)/F32)</f>
        <v>340</v>
      </c>
      <c r="K32" s="9"/>
      <c r="L32" t="str">
        <f t="shared" ref="L32:L38" si="4">+IF(B32="","",B32)</f>
        <v>HERRAMIENTA MENOR---</v>
      </c>
      <c r="M32">
        <f t="shared" si="2"/>
        <v>30</v>
      </c>
      <c r="N32" s="1"/>
      <c r="P32" s="11"/>
    </row>
    <row r="33" spans="2:16" x14ac:dyDescent="0.3">
      <c r="B33" s="27"/>
      <c r="C33" s="3" t="str">
        <f t="shared" si="0"/>
        <v/>
      </c>
      <c r="D33" s="30"/>
      <c r="E33" s="23" t="str">
        <f t="shared" si="1"/>
        <v/>
      </c>
      <c r="F33" s="30"/>
      <c r="G33" s="26" t="str">
        <f t="shared" si="3"/>
        <v/>
      </c>
      <c r="K33" s="9"/>
      <c r="L33" t="str">
        <f t="shared" si="4"/>
        <v/>
      </c>
      <c r="M33" t="str">
        <f t="shared" si="2"/>
        <v/>
      </c>
      <c r="N33" s="1"/>
      <c r="P33" s="11"/>
    </row>
    <row r="34" spans="2:16" x14ac:dyDescent="0.3">
      <c r="B34" s="27"/>
      <c r="C34" s="3" t="str">
        <f t="shared" si="0"/>
        <v/>
      </c>
      <c r="D34" s="30"/>
      <c r="E34" s="23" t="str">
        <f t="shared" si="1"/>
        <v/>
      </c>
      <c r="F34" s="30"/>
      <c r="G34" s="26" t="str">
        <f t="shared" si="3"/>
        <v/>
      </c>
      <c r="K34" s="9"/>
      <c r="L34" t="str">
        <f t="shared" si="4"/>
        <v/>
      </c>
      <c r="M34" t="str">
        <f t="shared" si="2"/>
        <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342.69159999999999</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t="s">
        <v>455</v>
      </c>
      <c r="C42" s="3">
        <f>+IF(B42="","",INDEX(U_MAQUINARIA,MATCH(B42,LISTA_MAQUINARIA,0)))</f>
        <v>0</v>
      </c>
      <c r="D42" s="30">
        <v>0.5</v>
      </c>
      <c r="E42" s="23">
        <f>+IF(B42="","",INDEX(V_MAQUINARIA,MATCH(B42,LISTA_MAQUINARIA,0)))</f>
        <v>101145.45454545454</v>
      </c>
      <c r="F42" s="3">
        <f>$G$20</f>
        <v>98</v>
      </c>
      <c r="G42" s="26">
        <f>IF(D42="","",(E42*D42)/F42)</f>
        <v>516.04823747680894</v>
      </c>
      <c r="K42" s="9"/>
      <c r="L42" s="23">
        <f>IF(B42="","",INDEX(V_COMBUSTIBLE_H,MATCH(B42,LISTA_MAQUINARIA,0)))</f>
        <v>21600</v>
      </c>
      <c r="M42" s="23">
        <f>+IF(L42="","",(L42*D42)/F42)</f>
        <v>110.20408163265306</v>
      </c>
      <c r="N42" s="23">
        <f>IF(G42="","",G42-M42)</f>
        <v>405.84415584415586</v>
      </c>
      <c r="P42" s="11"/>
    </row>
    <row r="43" spans="2:16" x14ac:dyDescent="0.3">
      <c r="B43" s="27"/>
      <c r="C43" s="3" t="str">
        <f>+IF(B43="","",INDEX(U_MAQUINARIA,MATCH(B43,LISTA_MAQUINARIA,0)))</f>
        <v/>
      </c>
      <c r="D43" s="30"/>
      <c r="E43" s="23" t="str">
        <f>+IF(B43="","",INDEX(V_MAQUINARIA,MATCH(B43,LISTA_MAQUINARIA,0)))</f>
        <v/>
      </c>
      <c r="F43" s="3">
        <f>+$G$20</f>
        <v>98</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98</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98</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98</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516.04823747680894</v>
      </c>
      <c r="K47" s="9"/>
      <c r="M47" s="24">
        <f>SUM(M42:M46)</f>
        <v>110.20408163265306</v>
      </c>
      <c r="N47" s="24">
        <f>SUM(N42:N46)</f>
        <v>405.84415584415586</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t="s">
        <v>304</v>
      </c>
      <c r="C50" s="30">
        <v>8</v>
      </c>
      <c r="D50" s="22">
        <f>+IF(B50="","",INDEX(F_PRESTACIONAL,MATCH(B50,L_PERSONAL,)))</f>
        <v>1.6352</v>
      </c>
      <c r="E50" s="23">
        <f>+IF(B50="","",INDEX(V_H_MANODEOBRA,MATCH(B50,L_PERSONAL,0)))</f>
        <v>24658.815999999999</v>
      </c>
      <c r="F50" s="3">
        <f>+$G$20</f>
        <v>98</v>
      </c>
      <c r="G50" s="26">
        <f>+IF(C50="","",(E50*C50)/F50)</f>
        <v>2012.9645714285714</v>
      </c>
    </row>
    <row r="51" spans="2:7" x14ac:dyDescent="0.3">
      <c r="B51" s="27" t="s">
        <v>298</v>
      </c>
      <c r="C51" s="30">
        <v>1</v>
      </c>
      <c r="D51" s="22">
        <f>+IF(B51="","",INDEX(F_PRESTACIONAL,MATCH(B51,L_PERSONAL,)))</f>
        <v>1.6352</v>
      </c>
      <c r="E51" s="23">
        <f>+IF(B51="","",INDEX(V_H_MANODEOBRA,MATCH(B51,L_PERSONAL,0)))</f>
        <v>40136.727272727272</v>
      </c>
      <c r="F51" s="3">
        <f>+$G$20</f>
        <v>98</v>
      </c>
      <c r="G51" s="26">
        <f>+IF(C51="","",(E51*C51)/F51)</f>
        <v>409.55844155844153</v>
      </c>
    </row>
    <row r="52" spans="2:7" x14ac:dyDescent="0.3">
      <c r="B52" s="27" t="s">
        <v>357</v>
      </c>
      <c r="C52" s="30">
        <v>1</v>
      </c>
      <c r="D52" s="22">
        <f>+IF(B52="","",INDEX(F_PRESTACIONAL,MATCH(B52,L_PERSONAL,)))</f>
        <v>1.6352</v>
      </c>
      <c r="E52" s="23">
        <f>+IF(B52="","",INDEX(V_H_MANODEOBRA,MATCH(B52,L_PERSONAL,0)))</f>
        <v>24658.815999999999</v>
      </c>
      <c r="F52" s="3">
        <f>+$G$20</f>
        <v>98</v>
      </c>
      <c r="G52" s="26">
        <f>+IF(C52="","",(E52*C52)/F52)</f>
        <v>251.62057142857142</v>
      </c>
    </row>
    <row r="53" spans="2:7" x14ac:dyDescent="0.3">
      <c r="B53" s="27" t="s">
        <v>299</v>
      </c>
      <c r="C53" s="30">
        <v>0.5</v>
      </c>
      <c r="D53" s="22">
        <f>+IF(B53="","",INDEX(F_PRESTACIONAL,MATCH(B53,L_PERSONAL,)))</f>
        <v>1.6352</v>
      </c>
      <c r="E53" s="23">
        <f>+IF(B53="","",INDEX(V_H_MANODEOBRA,MATCH(B53,L_PERSONAL,0)))</f>
        <v>22298.18181818182</v>
      </c>
      <c r="F53" s="3">
        <f>+$G$20</f>
        <v>98</v>
      </c>
      <c r="G53" s="26">
        <f>+IF(C53="","",(E53*C53)/F53)</f>
        <v>113.76623376623377</v>
      </c>
    </row>
    <row r="54" spans="2:7" x14ac:dyDescent="0.3">
      <c r="B54" s="27"/>
      <c r="C54" s="30"/>
      <c r="D54" s="22" t="str">
        <f>+IF(B54="","",INDEX(F_PRESTACIONAL,MATCH(B54,L_PERSONAL,)))</f>
        <v/>
      </c>
      <c r="E54" s="23" t="str">
        <f>+IF(B54="","",INDEX(V_H_MANODEOBRA,MATCH(B54,L_PERSONAL,0)))</f>
        <v/>
      </c>
      <c r="F54" s="3">
        <f>+$G$20</f>
        <v>98</v>
      </c>
      <c r="G54" s="26" t="str">
        <f>+IF(C54="","",(E54*C54)/F54)</f>
        <v/>
      </c>
    </row>
    <row r="55" spans="2:7" x14ac:dyDescent="0.3">
      <c r="B55" s="9"/>
      <c r="G55" s="26">
        <f>SUM(G50:G54)</f>
        <v>2787.9098181818181</v>
      </c>
    </row>
    <row r="56" spans="2:7" ht="17.25" thickBot="1" x14ac:dyDescent="0.35">
      <c r="B56" s="9"/>
      <c r="G56" s="11"/>
    </row>
    <row r="57" spans="2:7" ht="17.25" thickBot="1" x14ac:dyDescent="0.35">
      <c r="B57" s="610" t="s">
        <v>98</v>
      </c>
      <c r="C57" s="611"/>
      <c r="D57" s="611"/>
      <c r="E57" s="611"/>
      <c r="F57" s="612"/>
      <c r="G57" s="66">
        <f>+G55+G47+G39+G28</f>
        <v>4316.3852771799629</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517.96623326159556</v>
      </c>
    </row>
    <row r="61" spans="2:7" x14ac:dyDescent="0.3">
      <c r="B61" s="613" t="s">
        <v>86</v>
      </c>
      <c r="C61" s="614"/>
      <c r="D61" s="614"/>
      <c r="E61" s="614"/>
      <c r="F61" s="22">
        <f>+IMPREVISTOS</f>
        <v>0.03</v>
      </c>
      <c r="G61" s="26">
        <f>+$G$57*F61</f>
        <v>129.49155831539889</v>
      </c>
    </row>
    <row r="62" spans="2:7" x14ac:dyDescent="0.3">
      <c r="B62" s="613" t="s">
        <v>87</v>
      </c>
      <c r="C62" s="614"/>
      <c r="D62" s="614"/>
      <c r="E62" s="614"/>
      <c r="F62" s="22">
        <f>+UTILIDAD</f>
        <v>0.05</v>
      </c>
      <c r="G62" s="26">
        <f>+$G$57*F62</f>
        <v>215.81926385899817</v>
      </c>
    </row>
    <row r="63" spans="2:7" x14ac:dyDescent="0.3">
      <c r="B63" s="596" t="s">
        <v>100</v>
      </c>
      <c r="C63" s="597"/>
      <c r="D63" s="597"/>
      <c r="E63" s="597"/>
      <c r="F63" s="597"/>
      <c r="G63" s="53">
        <f>SUM(G60:G62)</f>
        <v>863.27705543599257</v>
      </c>
    </row>
    <row r="64" spans="2:7" ht="17.25" thickBot="1" x14ac:dyDescent="0.35">
      <c r="B64" s="9"/>
      <c r="G64" s="44"/>
    </row>
    <row r="65" spans="2:7" ht="17.25" thickBot="1" x14ac:dyDescent="0.35">
      <c r="B65" s="598" t="s">
        <v>101</v>
      </c>
      <c r="C65" s="599"/>
      <c r="D65" s="599"/>
      <c r="E65" s="599"/>
      <c r="F65" s="600"/>
      <c r="G65" s="65">
        <f>+G63+G57</f>
        <v>5179.6623326159552</v>
      </c>
    </row>
    <row r="66" spans="2:7" x14ac:dyDescent="0.3">
      <c r="B66" s="6"/>
      <c r="C66" s="7"/>
      <c r="D66" s="7"/>
      <c r="E66" s="7"/>
      <c r="F66" s="7"/>
      <c r="G66" s="8"/>
    </row>
    <row r="67" spans="2:7" x14ac:dyDescent="0.3">
      <c r="B67" s="9"/>
      <c r="G67" s="11"/>
    </row>
    <row r="68" spans="2:7" x14ac:dyDescent="0.3">
      <c r="B68" s="69" t="s">
        <v>123</v>
      </c>
      <c r="C68" s="67"/>
      <c r="D68" s="67"/>
      <c r="E68" s="67"/>
      <c r="F68" s="67"/>
      <c r="G68" s="70"/>
    </row>
    <row r="69" spans="2:7" x14ac:dyDescent="0.3">
      <c r="B69" s="71"/>
      <c r="C69" s="67"/>
      <c r="D69" s="67"/>
      <c r="E69" s="67"/>
      <c r="F69" s="67"/>
      <c r="G69" s="70"/>
    </row>
    <row r="70" spans="2:7" x14ac:dyDescent="0.3">
      <c r="B70" s="72"/>
      <c r="C70" s="68"/>
      <c r="D70" s="68"/>
      <c r="E70" s="68"/>
      <c r="F70" s="68"/>
      <c r="G70" s="73"/>
    </row>
    <row r="71" spans="2:7" x14ac:dyDescent="0.3">
      <c r="B71" s="71"/>
      <c r="C71" s="67"/>
      <c r="D71" s="67"/>
      <c r="E71" s="67"/>
      <c r="F71" s="67"/>
      <c r="G71" s="70"/>
    </row>
    <row r="72" spans="2:7" ht="17.25" thickBot="1" x14ac:dyDescent="0.35">
      <c r="B72" s="15"/>
      <c r="C72" s="13"/>
      <c r="D72" s="13"/>
      <c r="E72" s="13"/>
      <c r="F72" s="13"/>
      <c r="G72" s="14"/>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count="5">
    <dataValidation type="list" allowBlank="1" showInputMessage="1" showErrorMessage="1" sqref="E102" xr:uid="{D54D99FB-73E3-4A86-A47D-B2C91FFFE2DB}">
      <formula1>$A$103:$A$105</formula1>
    </dataValidation>
    <dataValidation type="list" allowBlank="1" showInputMessage="1" showErrorMessage="1" sqref="B13" xr:uid="{765E42B3-29AF-4335-9746-024408268E65}">
      <formula1>ITEM</formula1>
    </dataValidation>
    <dataValidation type="list" allowBlank="1" showInputMessage="1" showErrorMessage="1" sqref="B50:B54" xr:uid="{FDE62242-BBDA-4264-9B4F-FF7756CCF123}">
      <formula1>L_PERSONAL</formula1>
    </dataValidation>
    <dataValidation type="list" allowBlank="1" showInputMessage="1" showErrorMessage="1" sqref="B31:B38" xr:uid="{782E2215-30C4-4B85-A596-B590C4112C56}">
      <formula1>L_MATERIALES</formula1>
    </dataValidation>
    <dataValidation type="list" allowBlank="1" showInputMessage="1" showErrorMessage="1" sqref="B23:B27 B42:B46" xr:uid="{6894DF09-14A5-4191-8D14-BFE7D3FB2CA6}">
      <formula1>LISTA_MAQUINARIA</formula1>
    </dataValidation>
  </dataValidations>
  <pageMargins left="1.6141732283464567" right="0.70866141732283472" top="0.74803149606299213" bottom="0.74803149606299213" header="0.31496062992125984" footer="0.31496062992125984"/>
  <pageSetup scale="50" orientation="portrait" r:id="rId1"/>
  <rowBreaks count="1" manualBreakCount="1">
    <brk id="78" max="16383" man="1"/>
  </rowBreaks>
  <colBreaks count="1" manualBreakCount="1">
    <brk id="7" max="1048575" man="1"/>
  </colBreaks>
  <drawing r:id="rId2"/>
  <tableParts count="1">
    <tablePart r:id="rId3"/>
  </tablePart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7D81-87E2-4AAF-B58B-5117B0AE8F4D}">
  <sheetPr codeName="Hoja41"/>
  <dimension ref="A1:P105"/>
  <sheetViews>
    <sheetView showGridLines="0" view="pageBreakPreview" zoomScale="62" zoomScaleNormal="60" workbookViewId="0">
      <selection activeCell="B1" sqref="B1:G78"/>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30</v>
      </c>
      <c r="C13" s="581"/>
      <c r="D13" s="581"/>
      <c r="E13" s="581"/>
      <c r="F13" s="581"/>
      <c r="G13" s="582"/>
    </row>
    <row r="14" spans="2:7" ht="17.25" thickBot="1" x14ac:dyDescent="0.35">
      <c r="B14" s="601">
        <v>0</v>
      </c>
      <c r="C14" s="602"/>
      <c r="D14" s="602"/>
      <c r="E14" s="602"/>
      <c r="F14" s="602"/>
      <c r="G14" s="603"/>
    </row>
    <row r="15" spans="2:7" ht="17.25" thickBot="1" x14ac:dyDescent="0.35">
      <c r="B15" s="592"/>
      <c r="C15" s="593"/>
      <c r="D15" s="593"/>
      <c r="E15" s="593"/>
      <c r="F15" s="593"/>
      <c r="G15" s="594"/>
    </row>
    <row r="16" spans="2:7" x14ac:dyDescent="0.3">
      <c r="B16" s="618" t="str">
        <f>+IF($B$13="","",INDEX(DESCRIP_ITEM,MATCH($B$13,ITEM,0)))</f>
        <v>Suministro e instalacion de conector SC/LC/FC o ST para Fibra Óptica Monomodo 24xFO. La instalación debe incluir el corte, fusión (si aplica), marquillado y pruebas. Incluye pero no se limita a las  pruebas indicadas en el Anexo 005 Especificaciones Técnicas BOS TEPUY de EPM - CRW216402</v>
      </c>
      <c r="C16" s="619"/>
      <c r="D16" s="619"/>
      <c r="E16" s="619"/>
      <c r="F16" s="619"/>
      <c r="G16" s="620"/>
    </row>
    <row r="17" spans="2:16" ht="44.25" customHeight="1" thickBot="1" x14ac:dyDescent="0.35">
      <c r="B17" s="621"/>
      <c r="C17" s="622"/>
      <c r="D17" s="622"/>
      <c r="E17" s="622"/>
      <c r="F17" s="622"/>
      <c r="G17" s="623"/>
    </row>
    <row r="18" spans="2:16" ht="17.25" thickBot="1" x14ac:dyDescent="0.35">
      <c r="B18" s="591"/>
      <c r="C18" s="579"/>
      <c r="D18" s="579"/>
      <c r="E18" s="579"/>
      <c r="G18" s="11"/>
    </row>
    <row r="19" spans="2:16" ht="17.25" thickBot="1" x14ac:dyDescent="0.35">
      <c r="B19" s="592"/>
      <c r="C19" s="593"/>
      <c r="D19" s="593"/>
      <c r="E19" s="593"/>
      <c r="F19" s="54" t="s">
        <v>89</v>
      </c>
      <c r="G19" s="25" t="str">
        <f>+IF(B13="","",INDEX(U_ITEM,MATCH(B13,ITEM,0)))</f>
        <v>UN</v>
      </c>
    </row>
    <row r="20" spans="2:16" ht="17.25" thickBot="1" x14ac:dyDescent="0.35">
      <c r="B20" s="592"/>
      <c r="C20" s="593"/>
      <c r="D20" s="593"/>
      <c r="E20" s="593"/>
      <c r="F20" s="55" t="s">
        <v>90</v>
      </c>
      <c r="G20" s="56">
        <v>137</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t="s">
        <v>395</v>
      </c>
      <c r="C23" s="3" t="str">
        <f>+IF(B23="","",INDEX(U_MAQUINARIA,MATCH(B23,LISTA_MAQUINARIA,0)))</f>
        <v>VALOR / HORA</v>
      </c>
      <c r="D23" s="30">
        <v>1</v>
      </c>
      <c r="E23" s="23">
        <f>+IF(B23="","",INDEX(V_MAQUINARIA,MATCH(B23,LISTA_MAQUINARIA,0)))</f>
        <v>7102.272727272727</v>
      </c>
      <c r="F23" s="3">
        <f>$G$20</f>
        <v>137</v>
      </c>
      <c r="G23" s="26">
        <f>+IF(B23="","",(D23*E23)/F23)</f>
        <v>51.841406768414068</v>
      </c>
      <c r="K23" s="9"/>
      <c r="L23" s="23">
        <f>IF(B23="","",INDEX(V_COMBUSTIBLE_H,MATCH(B23,LISTA_MAQUINARIA,0)))</f>
        <v>0</v>
      </c>
      <c r="M23" s="23">
        <f>+IF(L23="","",(L23*D23)/F23)</f>
        <v>0</v>
      </c>
      <c r="N23" s="23">
        <f>IF(G23="","",G23-M23)</f>
        <v>51.841406768414068</v>
      </c>
      <c r="P23" s="11"/>
    </row>
    <row r="24" spans="2:16" x14ac:dyDescent="0.3">
      <c r="B24" s="27" t="s">
        <v>368</v>
      </c>
      <c r="C24" s="3" t="str">
        <f>+IF(B24="","",INDEX(U_MAQUINARIA,MATCH(B24,LISTA_MAQUINARIA,0)))</f>
        <v>VALOR / HORA</v>
      </c>
      <c r="D24" s="30">
        <v>1</v>
      </c>
      <c r="E24" s="23">
        <f>+IF(B24="","",INDEX(V_MAQUINARIA,MATCH(B24,LISTA_MAQUINARIA,0)))</f>
        <v>58531.818181818184</v>
      </c>
      <c r="F24" s="3">
        <f>$G$20</f>
        <v>137</v>
      </c>
      <c r="G24" s="26">
        <f>+IF(B24="","",(D24*E24)/F24)</f>
        <v>427.23954877239549</v>
      </c>
      <c r="K24" s="9"/>
      <c r="L24" s="3">
        <f>IF(B24="","",INDEX(V_COMBUSTIBLE_H,MATCH(B24,LISTA_MAQUINARIA,0)))</f>
        <v>21600</v>
      </c>
      <c r="M24" s="3">
        <f>+IF(L24="","",(L24*D24)/F24)</f>
        <v>157.66423357664235</v>
      </c>
      <c r="N24" s="3">
        <f>IF(G24="","",G24-M24)</f>
        <v>269.57531519575315</v>
      </c>
      <c r="P24" s="11"/>
    </row>
    <row r="25" spans="2:16" x14ac:dyDescent="0.3">
      <c r="B25" s="27"/>
      <c r="C25" s="3" t="str">
        <f>+IF(B25="","",INDEX(U_MAQUINARIA,MATCH(B25,LISTA_MAQUINARIA,0)))</f>
        <v/>
      </c>
      <c r="D25" s="30"/>
      <c r="E25" s="23" t="str">
        <f>+IF(B25="","",INDEX(V_MAQUINARIA,MATCH(B25,LISTA_MAQUINARIA,0)))</f>
        <v/>
      </c>
      <c r="F25" s="3">
        <f>$G$20</f>
        <v>137</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137</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137</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479.08095554080955</v>
      </c>
      <c r="K28" s="9"/>
      <c r="M28" s="24">
        <f>SUM(M23:M27)</f>
        <v>157.66423357664235</v>
      </c>
      <c r="N28" s="24">
        <f>SUM(N23:N27)</f>
        <v>321.41672196416721</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t="s">
        <v>398</v>
      </c>
      <c r="C31" s="3" t="str">
        <f t="shared" ref="C31:C38" si="0">+IF(B31="","",INDEX(U_MATERIAL,MATCH(B31,L_MATERIALES,0)))</f>
        <v>UND</v>
      </c>
      <c r="D31" s="30">
        <v>1</v>
      </c>
      <c r="E31" s="23">
        <f t="shared" ref="E31:E38" si="1">+IF(B31="","",INDEX(V_UNITARIOMATERIAL,MATCH(B31,L_MATERIALES,0)))</f>
        <v>13458</v>
      </c>
      <c r="F31" s="30">
        <v>5000</v>
      </c>
      <c r="G31" s="26">
        <f>IF(D31="","",(E31*D31)/F31)</f>
        <v>2.6916000000000002</v>
      </c>
      <c r="K31" s="9"/>
      <c r="L31" t="str">
        <f>+IF(B31="","",B31)</f>
        <v>ETIQUETA PLASTICA---</v>
      </c>
      <c r="M31">
        <f t="shared" ref="M31:M38" si="2">IF(D31="","",(D31/F31)*INDEX(CANT_PROYECTO,MATCH($B$13,ITEM,0)))</f>
        <v>0.02</v>
      </c>
      <c r="N31" s="1"/>
      <c r="P31" s="11"/>
    </row>
    <row r="32" spans="2:16" x14ac:dyDescent="0.3">
      <c r="B32" s="27" t="s">
        <v>361</v>
      </c>
      <c r="C32" s="3" t="str">
        <f t="shared" si="0"/>
        <v>UND</v>
      </c>
      <c r="D32" s="30">
        <v>1</v>
      </c>
      <c r="E32" s="23">
        <f t="shared" si="1"/>
        <v>340000</v>
      </c>
      <c r="F32" s="30">
        <v>1000</v>
      </c>
      <c r="G32" s="26">
        <f t="shared" ref="G32:G38" si="3">IF(D32="","",(E32*D32)/F32)</f>
        <v>340</v>
      </c>
      <c r="K32" s="9"/>
      <c r="L32" t="str">
        <f t="shared" ref="L32:L38" si="4">+IF(B32="","",B32)</f>
        <v>HERRAMIENTA MENOR---</v>
      </c>
      <c r="M32">
        <f t="shared" si="2"/>
        <v>0.1</v>
      </c>
      <c r="N32" s="1"/>
      <c r="P32" s="11"/>
    </row>
    <row r="33" spans="2:16" x14ac:dyDescent="0.3">
      <c r="B33" s="27" t="s">
        <v>404</v>
      </c>
      <c r="C33" s="3" t="str">
        <f t="shared" si="0"/>
        <v>ML</v>
      </c>
      <c r="D33" s="30">
        <v>1</v>
      </c>
      <c r="E33" s="23">
        <f t="shared" si="1"/>
        <v>23500</v>
      </c>
      <c r="F33" s="30">
        <v>1</v>
      </c>
      <c r="G33" s="26">
        <f t="shared" si="3"/>
        <v>23500</v>
      </c>
      <c r="K33" s="9"/>
      <c r="L33" t="str">
        <f t="shared" si="4"/>
        <v>CONECTOR FIBRA OPTICA SC---</v>
      </c>
      <c r="M33">
        <f t="shared" si="2"/>
        <v>100</v>
      </c>
      <c r="N33" s="1"/>
      <c r="P33" s="11"/>
    </row>
    <row r="34" spans="2:16" x14ac:dyDescent="0.3">
      <c r="B34" s="27"/>
      <c r="C34" s="3" t="str">
        <f t="shared" si="0"/>
        <v/>
      </c>
      <c r="D34" s="30"/>
      <c r="E34" s="23" t="str">
        <f t="shared" si="1"/>
        <v/>
      </c>
      <c r="F34" s="30"/>
      <c r="G34" s="26" t="str">
        <f t="shared" si="3"/>
        <v/>
      </c>
      <c r="K34" s="9"/>
      <c r="L34" t="str">
        <f t="shared" si="4"/>
        <v/>
      </c>
      <c r="M34" t="str">
        <f t="shared" si="2"/>
        <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23842.691599999998</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t="s">
        <v>455</v>
      </c>
      <c r="C42" s="3">
        <f>+IF(B42="","",INDEX(U_MAQUINARIA,MATCH(B42,LISTA_MAQUINARIA,0)))</f>
        <v>0</v>
      </c>
      <c r="D42" s="30">
        <v>0.5</v>
      </c>
      <c r="E42" s="23">
        <f>+IF(B42="","",INDEX(V_MAQUINARIA,MATCH(B42,LISTA_MAQUINARIA,0)))</f>
        <v>101145.45454545454</v>
      </c>
      <c r="F42" s="3">
        <f>$G$20</f>
        <v>137</v>
      </c>
      <c r="G42" s="26">
        <f>IF(D42="","",(E42*D42)/F42)</f>
        <v>369.14399469143996</v>
      </c>
      <c r="K42" s="9"/>
      <c r="L42" s="23">
        <f>IF(B42="","",INDEX(V_COMBUSTIBLE_H,MATCH(B42,LISTA_MAQUINARIA,0)))</f>
        <v>21600</v>
      </c>
      <c r="M42" s="23">
        <f>+IF(L42="","",(L42*D42)/F42)</f>
        <v>78.832116788321173</v>
      </c>
      <c r="N42" s="23">
        <f>IF(G42="","",G42-M42)</f>
        <v>290.31187790311878</v>
      </c>
      <c r="P42" s="11"/>
    </row>
    <row r="43" spans="2:16" x14ac:dyDescent="0.3">
      <c r="B43" s="27"/>
      <c r="C43" s="3" t="str">
        <f>+IF(B43="","",INDEX(U_MAQUINARIA,MATCH(B43,LISTA_MAQUINARIA,0)))</f>
        <v/>
      </c>
      <c r="D43" s="30"/>
      <c r="E43" s="23" t="str">
        <f>+IF(B43="","",INDEX(V_MAQUINARIA,MATCH(B43,LISTA_MAQUINARIA,0)))</f>
        <v/>
      </c>
      <c r="F43" s="3">
        <f>+$G$20</f>
        <v>137</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137</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137</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137</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369.14399469143996</v>
      </c>
      <c r="K47" s="9"/>
      <c r="M47" s="24">
        <f>SUM(M42:M46)</f>
        <v>78.832116788321173</v>
      </c>
      <c r="N47" s="24">
        <f>SUM(N42:N46)</f>
        <v>290.31187790311878</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t="s">
        <v>304</v>
      </c>
      <c r="C50" s="30">
        <v>8</v>
      </c>
      <c r="D50" s="22">
        <f>+IF(B50="","",INDEX(F_PRESTACIONAL,MATCH(B50,L_PERSONAL,)))</f>
        <v>1.6352</v>
      </c>
      <c r="E50" s="23">
        <f>+IF(B50="","",INDEX(V_H_MANODEOBRA,MATCH(B50,L_PERSONAL,0)))</f>
        <v>24658.815999999999</v>
      </c>
      <c r="F50" s="3">
        <f>+$G$20</f>
        <v>137</v>
      </c>
      <c r="G50" s="26">
        <f>+IF(C50="","",(E50*C50)/F50)</f>
        <v>1439.9308613138685</v>
      </c>
    </row>
    <row r="51" spans="2:7" x14ac:dyDescent="0.3">
      <c r="B51" s="27" t="s">
        <v>298</v>
      </c>
      <c r="C51" s="30">
        <v>1</v>
      </c>
      <c r="D51" s="22">
        <f>+IF(B51="","",INDEX(F_PRESTACIONAL,MATCH(B51,L_PERSONAL,)))</f>
        <v>1.6352</v>
      </c>
      <c r="E51" s="23">
        <f>+IF(B51="","",INDEX(V_H_MANODEOBRA,MATCH(B51,L_PERSONAL,0)))</f>
        <v>40136.727272727272</v>
      </c>
      <c r="F51" s="3">
        <f>+$G$20</f>
        <v>137</v>
      </c>
      <c r="G51" s="26">
        <f>+IF(C51="","",(E51*C51)/F51)</f>
        <v>292.96881220968811</v>
      </c>
    </row>
    <row r="52" spans="2:7" x14ac:dyDescent="0.3">
      <c r="B52" s="27" t="s">
        <v>357</v>
      </c>
      <c r="C52" s="30">
        <v>1</v>
      </c>
      <c r="D52" s="22">
        <f>+IF(B52="","",INDEX(F_PRESTACIONAL,MATCH(B52,L_PERSONAL,)))</f>
        <v>1.6352</v>
      </c>
      <c r="E52" s="23">
        <f>+IF(B52="","",INDEX(V_H_MANODEOBRA,MATCH(B52,L_PERSONAL,0)))</f>
        <v>24658.815999999999</v>
      </c>
      <c r="F52" s="3">
        <f>+$G$20</f>
        <v>137</v>
      </c>
      <c r="G52" s="26">
        <f>+IF(C52="","",(E52*C52)/F52)</f>
        <v>179.99135766423356</v>
      </c>
    </row>
    <row r="53" spans="2:7" x14ac:dyDescent="0.3">
      <c r="B53" s="27" t="s">
        <v>299</v>
      </c>
      <c r="C53" s="30">
        <v>0.5</v>
      </c>
      <c r="D53" s="22">
        <f>+IF(B53="","",INDEX(F_PRESTACIONAL,MATCH(B53,L_PERSONAL,)))</f>
        <v>1.6352</v>
      </c>
      <c r="E53" s="23">
        <f>+IF(B53="","",INDEX(V_H_MANODEOBRA,MATCH(B53,L_PERSONAL,0)))</f>
        <v>22298.18181818182</v>
      </c>
      <c r="F53" s="3">
        <f>+$G$20</f>
        <v>137</v>
      </c>
      <c r="G53" s="26">
        <f>+IF(C53="","",(E53*C53)/F53)</f>
        <v>81.380225613802267</v>
      </c>
    </row>
    <row r="54" spans="2:7" x14ac:dyDescent="0.3">
      <c r="B54" s="27"/>
      <c r="C54" s="30"/>
      <c r="D54" s="22" t="str">
        <f>+IF(B54="","",INDEX(F_PRESTACIONAL,MATCH(B54,L_PERSONAL,)))</f>
        <v/>
      </c>
      <c r="E54" s="23" t="str">
        <f>+IF(B54="","",INDEX(V_H_MANODEOBRA,MATCH(B54,L_PERSONAL,0)))</f>
        <v/>
      </c>
      <c r="F54" s="3">
        <f>+$G$20</f>
        <v>137</v>
      </c>
      <c r="G54" s="26" t="str">
        <f>+IF(C54="","",(E54*C54)/F54)</f>
        <v/>
      </c>
    </row>
    <row r="55" spans="2:7" x14ac:dyDescent="0.3">
      <c r="B55" s="9"/>
      <c r="G55" s="26">
        <f>SUM(G50:G54)</f>
        <v>1994.2712568015925</v>
      </c>
    </row>
    <row r="56" spans="2:7" ht="17.25" thickBot="1" x14ac:dyDescent="0.35">
      <c r="B56" s="9"/>
      <c r="G56" s="11"/>
    </row>
    <row r="57" spans="2:7" ht="17.25" thickBot="1" x14ac:dyDescent="0.35">
      <c r="B57" s="610" t="s">
        <v>98</v>
      </c>
      <c r="C57" s="611"/>
      <c r="D57" s="611"/>
      <c r="E57" s="611"/>
      <c r="F57" s="612"/>
      <c r="G57" s="66">
        <f>+G55+G47+G39+G28</f>
        <v>26685.187807033839</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3202.2225368440604</v>
      </c>
    </row>
    <row r="61" spans="2:7" x14ac:dyDescent="0.3">
      <c r="B61" s="613" t="s">
        <v>86</v>
      </c>
      <c r="C61" s="614"/>
      <c r="D61" s="614"/>
      <c r="E61" s="614"/>
      <c r="F61" s="22">
        <f>+IMPREVISTOS</f>
        <v>0.03</v>
      </c>
      <c r="G61" s="26">
        <f>+$G$57*F61</f>
        <v>800.5556342110151</v>
      </c>
    </row>
    <row r="62" spans="2:7" x14ac:dyDescent="0.3">
      <c r="B62" s="613" t="s">
        <v>87</v>
      </c>
      <c r="C62" s="614"/>
      <c r="D62" s="614"/>
      <c r="E62" s="614"/>
      <c r="F62" s="22">
        <f>+UTILIDAD</f>
        <v>0.05</v>
      </c>
      <c r="G62" s="26">
        <f>+$G$57*F62</f>
        <v>1334.259390351692</v>
      </c>
    </row>
    <row r="63" spans="2:7" x14ac:dyDescent="0.3">
      <c r="B63" s="596" t="s">
        <v>100</v>
      </c>
      <c r="C63" s="597"/>
      <c r="D63" s="597"/>
      <c r="E63" s="597"/>
      <c r="F63" s="597"/>
      <c r="G63" s="53">
        <f>SUM(G60:G62)</f>
        <v>5337.0375614067671</v>
      </c>
    </row>
    <row r="64" spans="2:7" ht="17.25" thickBot="1" x14ac:dyDescent="0.35">
      <c r="B64" s="9"/>
      <c r="G64" s="44"/>
    </row>
    <row r="65" spans="2:7" ht="17.25" thickBot="1" x14ac:dyDescent="0.35">
      <c r="B65" s="598" t="s">
        <v>101</v>
      </c>
      <c r="C65" s="599"/>
      <c r="D65" s="599"/>
      <c r="E65" s="599"/>
      <c r="F65" s="600"/>
      <c r="G65" s="65">
        <f>+G63+G57</f>
        <v>32022.225368440606</v>
      </c>
    </row>
    <row r="66" spans="2:7" x14ac:dyDescent="0.3">
      <c r="B66" s="6"/>
      <c r="C66" s="7"/>
      <c r="D66" s="7"/>
      <c r="E66" s="7"/>
      <c r="F66" s="7"/>
      <c r="G66" s="8"/>
    </row>
    <row r="67" spans="2:7" x14ac:dyDescent="0.3">
      <c r="B67" s="9"/>
      <c r="G67" s="11"/>
    </row>
    <row r="68" spans="2:7" x14ac:dyDescent="0.3">
      <c r="B68" s="69" t="s">
        <v>123</v>
      </c>
      <c r="C68" s="67"/>
      <c r="D68" s="67"/>
      <c r="E68" s="67"/>
      <c r="F68" s="67"/>
      <c r="G68" s="70"/>
    </row>
    <row r="69" spans="2:7" x14ac:dyDescent="0.3">
      <c r="B69" s="71"/>
      <c r="C69" s="67"/>
      <c r="D69" s="67"/>
      <c r="E69" s="67"/>
      <c r="F69" s="67"/>
      <c r="G69" s="70"/>
    </row>
    <row r="70" spans="2:7" x14ac:dyDescent="0.3">
      <c r="B70" s="72"/>
      <c r="C70" s="68"/>
      <c r="D70" s="68"/>
      <c r="E70" s="68"/>
      <c r="F70" s="68"/>
      <c r="G70" s="73"/>
    </row>
    <row r="71" spans="2:7" x14ac:dyDescent="0.3">
      <c r="B71" s="71"/>
      <c r="C71" s="67"/>
      <c r="D71" s="67"/>
      <c r="E71" s="67"/>
      <c r="F71" s="67"/>
      <c r="G71" s="70"/>
    </row>
    <row r="72" spans="2:7" ht="17.25" thickBot="1" x14ac:dyDescent="0.35">
      <c r="B72" s="15"/>
      <c r="C72" s="13"/>
      <c r="D72" s="13"/>
      <c r="E72" s="13"/>
      <c r="F72" s="13"/>
      <c r="G72" s="14"/>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count="5">
    <dataValidation type="list" allowBlank="1" showInputMessage="1" showErrorMessage="1" sqref="E102" xr:uid="{9B2F8137-4636-4CD4-9D98-E90FC19B106D}">
      <formula1>$A$103:$A$105</formula1>
    </dataValidation>
    <dataValidation type="list" allowBlank="1" showInputMessage="1" showErrorMessage="1" sqref="B13" xr:uid="{2D90EC78-98C7-463B-80E9-D9434299D37C}">
      <formula1>ITEM</formula1>
    </dataValidation>
    <dataValidation type="list" allowBlank="1" showInputMessage="1" showErrorMessage="1" sqref="B50:B54" xr:uid="{483A89B5-A11F-4945-BB76-3E72640151A4}">
      <formula1>L_PERSONAL</formula1>
    </dataValidation>
    <dataValidation type="list" allowBlank="1" showInputMessage="1" showErrorMessage="1" sqref="B31:B38" xr:uid="{BC47E159-6524-400E-913A-316B6C3D19E9}">
      <formula1>L_MATERIALES</formula1>
    </dataValidation>
    <dataValidation type="list" allowBlank="1" showInputMessage="1" showErrorMessage="1" sqref="B23:B27 B42:B46" xr:uid="{59B1BDD2-EF31-4CD4-A645-2B868EAB0EDA}">
      <formula1>LISTA_MAQUINARIA</formula1>
    </dataValidation>
  </dataValidations>
  <pageMargins left="1.6141732283464567" right="0.70866141732283472" top="0.74803149606299213" bottom="0.74803149606299213" header="0.31496062992125984" footer="0.31496062992125984"/>
  <pageSetup scale="50" orientation="portrait" r:id="rId1"/>
  <rowBreaks count="1" manualBreakCount="1">
    <brk id="78" max="16383" man="1"/>
  </rowBreaks>
  <colBreaks count="1" manualBreakCount="1">
    <brk id="7" max="1048575" man="1"/>
  </colBreaks>
  <drawing r:id="rId2"/>
  <tableParts count="1">
    <tablePart r:id="rId3"/>
  </tablePart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6D9B79-FD35-4937-B1D2-29EDB79F9745}">
  <sheetPr codeName="Hoja42"/>
  <dimension ref="A1:P105"/>
  <sheetViews>
    <sheetView showGridLines="0" view="pageBreakPreview" zoomScale="61" zoomScaleNormal="60" workbookViewId="0">
      <selection activeCell="B1" sqref="B1:G78"/>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31</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18" t="str">
        <f>+IF($B$13="","",INDEX(DESCRIP_ITEM,MATCH($B$13,ITEM,0)))</f>
        <v>Conexión de TCU a la alimentación de la derivación del string.</v>
      </c>
      <c r="C16" s="619"/>
      <c r="D16" s="619"/>
      <c r="E16" s="619"/>
      <c r="F16" s="619"/>
      <c r="G16" s="620"/>
    </row>
    <row r="17" spans="2:16" ht="44.25" customHeight="1" thickBot="1" x14ac:dyDescent="0.35">
      <c r="B17" s="621"/>
      <c r="C17" s="622"/>
      <c r="D17" s="622"/>
      <c r="E17" s="622"/>
      <c r="F17" s="622"/>
      <c r="G17" s="623"/>
    </row>
    <row r="18" spans="2:16" ht="17.25" thickBot="1" x14ac:dyDescent="0.35">
      <c r="B18" s="591"/>
      <c r="C18" s="579"/>
      <c r="D18" s="579"/>
      <c r="E18" s="579"/>
      <c r="G18" s="11"/>
    </row>
    <row r="19" spans="2:16" ht="17.25" thickBot="1" x14ac:dyDescent="0.35">
      <c r="B19" s="592"/>
      <c r="C19" s="593"/>
      <c r="D19" s="593"/>
      <c r="E19" s="593"/>
      <c r="F19" s="54" t="s">
        <v>89</v>
      </c>
      <c r="G19" s="25" t="str">
        <f>+IF(B13="","",INDEX(U_ITEM,MATCH(B13,ITEM,0)))</f>
        <v>UN</v>
      </c>
    </row>
    <row r="20" spans="2:16" ht="17.25" thickBot="1" x14ac:dyDescent="0.35">
      <c r="B20" s="592"/>
      <c r="C20" s="593"/>
      <c r="D20" s="593"/>
      <c r="E20" s="593"/>
      <c r="F20" s="55" t="s">
        <v>90</v>
      </c>
      <c r="G20" s="56">
        <v>3.9</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c r="C23" s="3" t="str">
        <f>+IF(B23="","",INDEX(U_MAQUINARIA,MATCH(B23,LISTA_MAQUINARIA,0)))</f>
        <v/>
      </c>
      <c r="D23" s="30"/>
      <c r="E23" s="23" t="str">
        <f>+IF(B23="","",INDEX(V_MAQUINARIA,MATCH(B23,LISTA_MAQUINARIA,0)))</f>
        <v/>
      </c>
      <c r="F23" s="3">
        <f>$G$20</f>
        <v>3.9</v>
      </c>
      <c r="G23" s="26" t="str">
        <f>+IF(B23="","",(D23*E23)/F23)</f>
        <v/>
      </c>
      <c r="K23" s="9"/>
      <c r="L23" s="23" t="str">
        <f>IF(B23="","",INDEX(V_COMBUSTIBLE_H,MATCH(B23,LISTA_MAQUINARIA,0)))</f>
        <v/>
      </c>
      <c r="M23" s="23" t="str">
        <f>+IF(L23="","",(L23*D23)/F23)</f>
        <v/>
      </c>
      <c r="N23" s="23" t="str">
        <f>IF(G23="","",G23-M23)</f>
        <v/>
      </c>
      <c r="P23" s="11"/>
    </row>
    <row r="24" spans="2:16" x14ac:dyDescent="0.3">
      <c r="B24" s="27"/>
      <c r="C24" s="3" t="str">
        <f>+IF(B24="","",INDEX(U_MAQUINARIA,MATCH(B24,LISTA_MAQUINARIA,0)))</f>
        <v/>
      </c>
      <c r="D24" s="30"/>
      <c r="E24" s="23" t="str">
        <f>+IF(B24="","",INDEX(V_MAQUINARIA,MATCH(B24,LISTA_MAQUINARIA,0)))</f>
        <v/>
      </c>
      <c r="F24" s="3">
        <f>$G$20</f>
        <v>3.9</v>
      </c>
      <c r="G24" s="26" t="str">
        <f>+IF(B24="","",(D24*E24)/F24)</f>
        <v/>
      </c>
      <c r="K24" s="9"/>
      <c r="L24" s="3" t="str">
        <f>IF(B24="","",INDEX(V_COMBUSTIBLE_H,MATCH(B24,LISTA_MAQUINARIA,0)))</f>
        <v/>
      </c>
      <c r="M24" s="3" t="str">
        <f>+IF(L24="","",(L24*D24)/F24)</f>
        <v/>
      </c>
      <c r="N24" s="3" t="str">
        <f>IF(G24="","",G24-M24)</f>
        <v/>
      </c>
      <c r="P24" s="11"/>
    </row>
    <row r="25" spans="2:16" x14ac:dyDescent="0.3">
      <c r="B25" s="27"/>
      <c r="C25" s="3" t="str">
        <f>+IF(B25="","",INDEX(U_MAQUINARIA,MATCH(B25,LISTA_MAQUINARIA,0)))</f>
        <v/>
      </c>
      <c r="D25" s="30"/>
      <c r="E25" s="23" t="str">
        <f>+IF(B25="","",INDEX(V_MAQUINARIA,MATCH(B25,LISTA_MAQUINARIA,0)))</f>
        <v/>
      </c>
      <c r="F25" s="3">
        <f>$G$20</f>
        <v>3.9</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3.9</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3.9</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0</v>
      </c>
      <c r="K28" s="9"/>
      <c r="M28" s="24">
        <f>SUM(M23:M27)</f>
        <v>0</v>
      </c>
      <c r="N28" s="24">
        <f>SUM(N23:N27)</f>
        <v>0</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t="s">
        <v>361</v>
      </c>
      <c r="C31" s="3" t="str">
        <f t="shared" ref="C31:C38" si="0">+IF(B31="","",INDEX(U_MATERIAL,MATCH(B31,L_MATERIALES,0)))</f>
        <v>UND</v>
      </c>
      <c r="D31" s="30">
        <v>1</v>
      </c>
      <c r="E31" s="23">
        <f t="shared" ref="E31:E38" si="1">+IF(B31="","",INDEX(V_UNITARIOMATERIAL,MATCH(B31,L_MATERIALES,0)))</f>
        <v>340000</v>
      </c>
      <c r="F31" s="30">
        <v>100</v>
      </c>
      <c r="G31" s="26">
        <f>IF(D31="","",(E31*D31)/F31)</f>
        <v>3400</v>
      </c>
      <c r="K31" s="9"/>
      <c r="L31" t="str">
        <f>+IF(B31="","",B31)</f>
        <v>HERRAMIENTA MENOR---</v>
      </c>
      <c r="M31">
        <f t="shared" ref="M31:M38" si="2">IF(D31="","",(D31/F31)*INDEX(CANT_PROYECTO,MATCH($B$13,ITEM,0)))</f>
        <v>22.900000000000002</v>
      </c>
      <c r="N31" s="1"/>
      <c r="P31" s="11"/>
    </row>
    <row r="32" spans="2:16" x14ac:dyDescent="0.3">
      <c r="B32" s="27"/>
      <c r="C32" s="3" t="str">
        <f t="shared" si="0"/>
        <v/>
      </c>
      <c r="D32" s="30"/>
      <c r="E32" s="23" t="str">
        <f t="shared" si="1"/>
        <v/>
      </c>
      <c r="F32" s="30"/>
      <c r="G32" s="26" t="str">
        <f t="shared" ref="G32:G38" si="3">IF(D32="","",(E32*D32)/F32)</f>
        <v/>
      </c>
      <c r="K32" s="9"/>
      <c r="L32" t="str">
        <f t="shared" ref="L32:L38" si="4">+IF(B32="","",B32)</f>
        <v/>
      </c>
      <c r="M32" t="str">
        <f t="shared" si="2"/>
        <v/>
      </c>
      <c r="N32" s="1"/>
      <c r="P32" s="11"/>
    </row>
    <row r="33" spans="2:16" x14ac:dyDescent="0.3">
      <c r="B33" s="27"/>
      <c r="C33" s="3" t="str">
        <f t="shared" si="0"/>
        <v/>
      </c>
      <c r="D33" s="30"/>
      <c r="E33" s="23" t="str">
        <f t="shared" si="1"/>
        <v/>
      </c>
      <c r="F33" s="30"/>
      <c r="G33" s="26" t="str">
        <f t="shared" si="3"/>
        <v/>
      </c>
      <c r="K33" s="9"/>
      <c r="L33" t="str">
        <f t="shared" si="4"/>
        <v/>
      </c>
      <c r="M33" t="str">
        <f t="shared" si="2"/>
        <v/>
      </c>
      <c r="N33" s="1"/>
      <c r="P33" s="11"/>
    </row>
    <row r="34" spans="2:16" x14ac:dyDescent="0.3">
      <c r="B34" s="27"/>
      <c r="C34" s="3" t="str">
        <f t="shared" si="0"/>
        <v/>
      </c>
      <c r="D34" s="30"/>
      <c r="E34" s="23" t="str">
        <f t="shared" si="1"/>
        <v/>
      </c>
      <c r="F34" s="30"/>
      <c r="G34" s="26" t="str">
        <f t="shared" si="3"/>
        <v/>
      </c>
      <c r="K34" s="9"/>
      <c r="L34" t="str">
        <f t="shared" si="4"/>
        <v/>
      </c>
      <c r="M34" t="str">
        <f t="shared" si="2"/>
        <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3400</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t="s">
        <v>368</v>
      </c>
      <c r="C42" s="3" t="str">
        <f>+IF(B42="","",INDEX(U_MAQUINARIA,MATCH(B42,LISTA_MAQUINARIA,0)))</f>
        <v>VALOR / HORA</v>
      </c>
      <c r="D42" s="30">
        <v>1</v>
      </c>
      <c r="E42" s="23">
        <f>+IF(B42="","",INDEX(V_MAQUINARIA,MATCH(B42,LISTA_MAQUINARIA,0)))</f>
        <v>58531.818181818184</v>
      </c>
      <c r="F42" s="3">
        <f>$G$20</f>
        <v>3.9</v>
      </c>
      <c r="G42" s="26">
        <f>IF(D42="","",(E42*D42)/F42)</f>
        <v>15008.158508158509</v>
      </c>
      <c r="K42" s="9"/>
      <c r="L42" s="23">
        <f>IF(B42="","",INDEX(V_COMBUSTIBLE_H,MATCH(B42,LISTA_MAQUINARIA,0)))</f>
        <v>21600</v>
      </c>
      <c r="M42" s="23">
        <f>+IF(L42="","",(L42*D42)/F42)</f>
        <v>5538.461538461539</v>
      </c>
      <c r="N42" s="23">
        <f>IF(G42="","",G42-M42)</f>
        <v>9469.69696969697</v>
      </c>
      <c r="P42" s="11"/>
    </row>
    <row r="43" spans="2:16" x14ac:dyDescent="0.3">
      <c r="B43" s="27"/>
      <c r="C43" s="3" t="str">
        <f>+IF(B43="","",INDEX(U_MAQUINARIA,MATCH(B43,LISTA_MAQUINARIA,0)))</f>
        <v/>
      </c>
      <c r="D43" s="30"/>
      <c r="E43" s="23" t="str">
        <f>+IF(B43="","",INDEX(V_MAQUINARIA,MATCH(B43,LISTA_MAQUINARIA,0)))</f>
        <v/>
      </c>
      <c r="F43" s="3">
        <f>+$G$20</f>
        <v>3.9</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3.9</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3.9</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3.9</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15008.158508158509</v>
      </c>
      <c r="K47" s="9"/>
      <c r="M47" s="24">
        <f>SUM(M42:M46)</f>
        <v>5538.461538461539</v>
      </c>
      <c r="N47" s="24">
        <f>SUM(N42:N46)</f>
        <v>9469.69696969697</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t="s">
        <v>306</v>
      </c>
      <c r="C50" s="30">
        <v>3</v>
      </c>
      <c r="D50" s="22">
        <f>+IF(B50="","",INDEX(F_PRESTACIONAL,MATCH(B50,L_PERSONAL,)))</f>
        <v>2.3170181818181819</v>
      </c>
      <c r="E50" s="23">
        <f>+IF(B50="","",INDEX(V_H_MANODEOBRA,MATCH(B50,L_PERSONAL,0)))</f>
        <v>46340.36363636364</v>
      </c>
      <c r="F50" s="3">
        <f>+$G$20</f>
        <v>3.9</v>
      </c>
      <c r="G50" s="26">
        <f>+IF(C50="","",(E50*C50)/F50)</f>
        <v>35646.433566433567</v>
      </c>
    </row>
    <row r="51" spans="2:7" x14ac:dyDescent="0.3">
      <c r="B51" s="27" t="s">
        <v>357</v>
      </c>
      <c r="C51" s="30">
        <v>1</v>
      </c>
      <c r="D51" s="22">
        <f>+IF(B51="","",INDEX(F_PRESTACIONAL,MATCH(B51,L_PERSONAL,)))</f>
        <v>1.6352</v>
      </c>
      <c r="E51" s="23">
        <f>+IF(B51="","",INDEX(V_H_MANODEOBRA,MATCH(B51,L_PERSONAL,0)))</f>
        <v>24658.815999999999</v>
      </c>
      <c r="F51" s="3">
        <f>+$G$20</f>
        <v>3.9</v>
      </c>
      <c r="G51" s="26">
        <f>+IF(C51="","",(E51*C51)/F51)</f>
        <v>6322.7733333333335</v>
      </c>
    </row>
    <row r="52" spans="2:7" x14ac:dyDescent="0.3">
      <c r="B52" s="27"/>
      <c r="C52" s="30"/>
      <c r="D52" s="22" t="str">
        <f>+IF(B52="","",INDEX(F_PRESTACIONAL,MATCH(B52,L_PERSONAL,)))</f>
        <v/>
      </c>
      <c r="E52" s="23" t="str">
        <f>+IF(B52="","",INDEX(V_H_MANODEOBRA,MATCH(B52,L_PERSONAL,0)))</f>
        <v/>
      </c>
      <c r="F52" s="3">
        <f>+$G$20</f>
        <v>3.9</v>
      </c>
      <c r="G52" s="26" t="str">
        <f>+IF(C52="","",(E52*C52)/F52)</f>
        <v/>
      </c>
    </row>
    <row r="53" spans="2:7" x14ac:dyDescent="0.3">
      <c r="B53" s="27"/>
      <c r="C53" s="30"/>
      <c r="D53" s="22" t="str">
        <f>+IF(B53="","",INDEX(F_PRESTACIONAL,MATCH(B53,L_PERSONAL,)))</f>
        <v/>
      </c>
      <c r="E53" s="23" t="str">
        <f>+IF(B53="","",INDEX(V_H_MANODEOBRA,MATCH(B53,L_PERSONAL,0)))</f>
        <v/>
      </c>
      <c r="F53" s="3">
        <f>+$G$20</f>
        <v>3.9</v>
      </c>
      <c r="G53" s="26" t="str">
        <f>+IF(C53="","",(E53*C53)/F53)</f>
        <v/>
      </c>
    </row>
    <row r="54" spans="2:7" x14ac:dyDescent="0.3">
      <c r="B54" s="27"/>
      <c r="C54" s="30"/>
      <c r="D54" s="22" t="str">
        <f>+IF(B54="","",INDEX(F_PRESTACIONAL,MATCH(B54,L_PERSONAL,)))</f>
        <v/>
      </c>
      <c r="E54" s="23" t="str">
        <f>+IF(B54="","",INDEX(V_H_MANODEOBRA,MATCH(B54,L_PERSONAL,0)))</f>
        <v/>
      </c>
      <c r="F54" s="3">
        <f>+$G$20</f>
        <v>3.9</v>
      </c>
      <c r="G54" s="26" t="str">
        <f>+IF(C54="","",(E54*C54)/F54)</f>
        <v/>
      </c>
    </row>
    <row r="55" spans="2:7" x14ac:dyDescent="0.3">
      <c r="B55" s="9"/>
      <c r="G55" s="26">
        <f>SUM(G50:G54)</f>
        <v>41969.206899766898</v>
      </c>
    </row>
    <row r="56" spans="2:7" ht="17.25" thickBot="1" x14ac:dyDescent="0.35">
      <c r="B56" s="9"/>
      <c r="G56" s="11"/>
    </row>
    <row r="57" spans="2:7" ht="17.25" thickBot="1" x14ac:dyDescent="0.35">
      <c r="B57" s="610" t="s">
        <v>98</v>
      </c>
      <c r="C57" s="611"/>
      <c r="D57" s="611"/>
      <c r="E57" s="611"/>
      <c r="F57" s="612"/>
      <c r="G57" s="66">
        <f>+G55+G47+G39+G28</f>
        <v>60377.365407925405</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7245.2838489510486</v>
      </c>
    </row>
    <row r="61" spans="2:7" x14ac:dyDescent="0.3">
      <c r="B61" s="613" t="s">
        <v>86</v>
      </c>
      <c r="C61" s="614"/>
      <c r="D61" s="614"/>
      <c r="E61" s="614"/>
      <c r="F61" s="22">
        <f>+IMPREVISTOS</f>
        <v>0.03</v>
      </c>
      <c r="G61" s="26">
        <f>+$G$57*F61</f>
        <v>1811.3209622377622</v>
      </c>
    </row>
    <row r="62" spans="2:7" x14ac:dyDescent="0.3">
      <c r="B62" s="613" t="s">
        <v>87</v>
      </c>
      <c r="C62" s="614"/>
      <c r="D62" s="614"/>
      <c r="E62" s="614"/>
      <c r="F62" s="22">
        <f>+UTILIDAD</f>
        <v>0.05</v>
      </c>
      <c r="G62" s="26">
        <f>+$G$57*F62</f>
        <v>3018.8682703962704</v>
      </c>
    </row>
    <row r="63" spans="2:7" x14ac:dyDescent="0.3">
      <c r="B63" s="596" t="s">
        <v>100</v>
      </c>
      <c r="C63" s="597"/>
      <c r="D63" s="597"/>
      <c r="E63" s="597"/>
      <c r="F63" s="597"/>
      <c r="G63" s="53">
        <f>SUM(G60:G62)</f>
        <v>12075.473081585082</v>
      </c>
    </row>
    <row r="64" spans="2:7" ht="17.25" thickBot="1" x14ac:dyDescent="0.35">
      <c r="B64" s="9"/>
      <c r="G64" s="44"/>
    </row>
    <row r="65" spans="2:7" ht="17.25" thickBot="1" x14ac:dyDescent="0.35">
      <c r="B65" s="598" t="s">
        <v>101</v>
      </c>
      <c r="C65" s="599"/>
      <c r="D65" s="599"/>
      <c r="E65" s="599"/>
      <c r="F65" s="600"/>
      <c r="G65" s="65">
        <f>+G63+G57</f>
        <v>72452.838489510483</v>
      </c>
    </row>
    <row r="66" spans="2:7" x14ac:dyDescent="0.3">
      <c r="B66" s="6"/>
      <c r="C66" s="7"/>
      <c r="D66" s="7"/>
      <c r="E66" s="7"/>
      <c r="F66" s="7"/>
      <c r="G66" s="8"/>
    </row>
    <row r="67" spans="2:7" x14ac:dyDescent="0.3">
      <c r="B67" s="9"/>
      <c r="G67" s="11"/>
    </row>
    <row r="68" spans="2:7" x14ac:dyDescent="0.3">
      <c r="B68" s="69" t="s">
        <v>123</v>
      </c>
      <c r="C68" s="67"/>
      <c r="D68" s="67"/>
      <c r="E68" s="67"/>
      <c r="F68" s="67"/>
      <c r="G68" s="70"/>
    </row>
    <row r="69" spans="2:7" x14ac:dyDescent="0.3">
      <c r="B69" s="71"/>
      <c r="C69" s="67"/>
      <c r="D69" s="67"/>
      <c r="E69" s="67"/>
      <c r="F69" s="67"/>
      <c r="G69" s="70"/>
    </row>
    <row r="70" spans="2:7" x14ac:dyDescent="0.3">
      <c r="B70" s="72"/>
      <c r="C70" s="68"/>
      <c r="D70" s="68"/>
      <c r="E70" s="68"/>
      <c r="F70" s="68"/>
      <c r="G70" s="73"/>
    </row>
    <row r="71" spans="2:7" x14ac:dyDescent="0.3">
      <c r="B71" s="71"/>
      <c r="C71" s="67"/>
      <c r="D71" s="67"/>
      <c r="E71" s="67"/>
      <c r="F71" s="67"/>
      <c r="G71" s="70"/>
    </row>
    <row r="72" spans="2:7" ht="17.25" thickBot="1" x14ac:dyDescent="0.35">
      <c r="B72" s="15"/>
      <c r="C72" s="13"/>
      <c r="D72" s="13"/>
      <c r="E72" s="13"/>
      <c r="F72" s="13"/>
      <c r="G72" s="14"/>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count="5">
    <dataValidation type="list" allowBlank="1" showInputMessage="1" showErrorMessage="1" sqref="E102" xr:uid="{19A6A79A-77EE-404C-89A2-757032D7F1BD}">
      <formula1>$A$103:$A$105</formula1>
    </dataValidation>
    <dataValidation type="list" allowBlank="1" showInputMessage="1" showErrorMessage="1" sqref="B13" xr:uid="{FAEDDAF2-1CCE-43FF-9D52-2541EF2A12A0}">
      <formula1>ITEM</formula1>
    </dataValidation>
    <dataValidation type="list" allowBlank="1" showInputMessage="1" showErrorMessage="1" sqref="B50:B54" xr:uid="{B2F06D50-B902-427C-8A4C-2CDEC86481EA}">
      <formula1>L_PERSONAL</formula1>
    </dataValidation>
    <dataValidation type="list" allowBlank="1" showInputMessage="1" showErrorMessage="1" sqref="B31:B38" xr:uid="{E900AC45-5ACF-4831-B56D-DE5CAD0EB300}">
      <formula1>L_MATERIALES</formula1>
    </dataValidation>
    <dataValidation type="list" allowBlank="1" showInputMessage="1" showErrorMessage="1" sqref="B23:B27 B42:B46" xr:uid="{630BE98F-1701-483A-9832-8600CDA9A964}">
      <formula1>LISTA_MAQUINARIA</formula1>
    </dataValidation>
  </dataValidations>
  <pageMargins left="1.6141732283464567" right="0.70866141732283472" top="0.74803149606299213" bottom="0.74803149606299213" header="0.31496062992125984" footer="0.31496062992125984"/>
  <pageSetup scale="50" orientation="portrait" r:id="rId1"/>
  <rowBreaks count="1" manualBreakCount="1">
    <brk id="78" max="16383" man="1"/>
  </rowBreaks>
  <colBreaks count="1" manualBreakCount="1">
    <brk id="7" max="1048575" man="1"/>
  </colBreaks>
  <drawing r:id="rId2"/>
  <tableParts count="1">
    <tablePart r:id="rId3"/>
  </tablePar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F0D507-F4FF-48BC-995B-B6DCA817B1FF}">
  <sheetPr codeName="Hoja43"/>
  <dimension ref="A1:P105"/>
  <sheetViews>
    <sheetView showGridLines="0" view="pageBreakPreview" zoomScale="61" zoomScaleNormal="60" workbookViewId="0">
      <selection activeCell="B1" sqref="B1:G78"/>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32</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18" t="str">
        <f>+IF($B$13="","",INDEX(DESCRIP_ITEM,MATCH($B$13,ITEM,0)))</f>
        <v>Connection of pyranometers NCU (sensor trackers) - todas las conexiones requeridas para dejar la NCU operativas</v>
      </c>
      <c r="C16" s="619"/>
      <c r="D16" s="619"/>
      <c r="E16" s="619"/>
      <c r="F16" s="619"/>
      <c r="G16" s="620"/>
    </row>
    <row r="17" spans="2:16" ht="44.25" customHeight="1" thickBot="1" x14ac:dyDescent="0.35">
      <c r="B17" s="621"/>
      <c r="C17" s="622"/>
      <c r="D17" s="622"/>
      <c r="E17" s="622"/>
      <c r="F17" s="622"/>
      <c r="G17" s="623"/>
    </row>
    <row r="18" spans="2:16" ht="17.25" thickBot="1" x14ac:dyDescent="0.35">
      <c r="B18" s="591"/>
      <c r="C18" s="579"/>
      <c r="D18" s="579"/>
      <c r="E18" s="579"/>
      <c r="G18" s="11"/>
    </row>
    <row r="19" spans="2:16" ht="17.25" thickBot="1" x14ac:dyDescent="0.35">
      <c r="B19" s="592"/>
      <c r="C19" s="593"/>
      <c r="D19" s="593"/>
      <c r="E19" s="593"/>
      <c r="F19" s="54" t="s">
        <v>89</v>
      </c>
      <c r="G19" s="25" t="str">
        <f>+IF(B13="","",INDEX(U_ITEM,MATCH(B13,ITEM,0)))</f>
        <v>UN</v>
      </c>
    </row>
    <row r="20" spans="2:16" ht="17.25" thickBot="1" x14ac:dyDescent="0.35">
      <c r="B20" s="592"/>
      <c r="C20" s="593"/>
      <c r="D20" s="593"/>
      <c r="E20" s="593"/>
      <c r="F20" s="55" t="s">
        <v>90</v>
      </c>
      <c r="G20" s="56">
        <v>1.95</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c r="C23" s="3" t="str">
        <f>+IF(B23="","",INDEX(U_MAQUINARIA,MATCH(B23,LISTA_MAQUINARIA,0)))</f>
        <v/>
      </c>
      <c r="D23" s="30"/>
      <c r="E23" s="23" t="str">
        <f>+IF(B23="","",INDEX(V_MAQUINARIA,MATCH(B23,LISTA_MAQUINARIA,0)))</f>
        <v/>
      </c>
      <c r="F23" s="3">
        <f>$G$20</f>
        <v>1.95</v>
      </c>
      <c r="G23" s="26" t="str">
        <f>+IF(B23="","",(D23*E23)/F23)</f>
        <v/>
      </c>
      <c r="K23" s="9"/>
      <c r="L23" s="23" t="str">
        <f>IF(B23="","",INDEX(V_COMBUSTIBLE_H,MATCH(B23,LISTA_MAQUINARIA,0)))</f>
        <v/>
      </c>
      <c r="M23" s="23" t="str">
        <f>+IF(L23="","",(L23*D23)/F23)</f>
        <v/>
      </c>
      <c r="N23" s="23" t="str">
        <f>IF(G23="","",G23-M23)</f>
        <v/>
      </c>
      <c r="P23" s="11"/>
    </row>
    <row r="24" spans="2:16" x14ac:dyDescent="0.3">
      <c r="B24" s="27"/>
      <c r="C24" s="3" t="str">
        <f>+IF(B24="","",INDEX(U_MAQUINARIA,MATCH(B24,LISTA_MAQUINARIA,0)))</f>
        <v/>
      </c>
      <c r="D24" s="30"/>
      <c r="E24" s="23" t="str">
        <f>+IF(B24="","",INDEX(V_MAQUINARIA,MATCH(B24,LISTA_MAQUINARIA,0)))</f>
        <v/>
      </c>
      <c r="F24" s="3">
        <f>$G$20</f>
        <v>1.95</v>
      </c>
      <c r="G24" s="26" t="str">
        <f>+IF(B24="","",(D24*E24)/F24)</f>
        <v/>
      </c>
      <c r="K24" s="9"/>
      <c r="L24" s="3" t="str">
        <f>IF(B24="","",INDEX(V_COMBUSTIBLE_H,MATCH(B24,LISTA_MAQUINARIA,0)))</f>
        <v/>
      </c>
      <c r="M24" s="3" t="str">
        <f>+IF(L24="","",(L24*D24)/F24)</f>
        <v/>
      </c>
      <c r="N24" s="3" t="str">
        <f>IF(G24="","",G24-M24)</f>
        <v/>
      </c>
      <c r="P24" s="11"/>
    </row>
    <row r="25" spans="2:16" x14ac:dyDescent="0.3">
      <c r="B25" s="27"/>
      <c r="C25" s="3" t="str">
        <f>+IF(B25="","",INDEX(U_MAQUINARIA,MATCH(B25,LISTA_MAQUINARIA,0)))</f>
        <v/>
      </c>
      <c r="D25" s="30"/>
      <c r="E25" s="23" t="str">
        <f>+IF(B25="","",INDEX(V_MAQUINARIA,MATCH(B25,LISTA_MAQUINARIA,0)))</f>
        <v/>
      </c>
      <c r="F25" s="3">
        <f>$G$20</f>
        <v>1.95</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1.95</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1.95</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0</v>
      </c>
      <c r="K28" s="9"/>
      <c r="M28" s="24">
        <f>SUM(M23:M27)</f>
        <v>0</v>
      </c>
      <c r="N28" s="24">
        <f>SUM(N23:N27)</f>
        <v>0</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t="s">
        <v>361</v>
      </c>
      <c r="C31" s="3" t="str">
        <f t="shared" ref="C31:C38" si="0">+IF(B31="","",INDEX(U_MATERIAL,MATCH(B31,L_MATERIALES,0)))</f>
        <v>UND</v>
      </c>
      <c r="D31" s="30">
        <v>1</v>
      </c>
      <c r="E31" s="23">
        <f t="shared" ref="E31:E38" si="1">+IF(B31="","",INDEX(V_UNITARIOMATERIAL,MATCH(B31,L_MATERIALES,0)))</f>
        <v>340000</v>
      </c>
      <c r="F31" s="30">
        <v>200</v>
      </c>
      <c r="G31" s="26">
        <f>IF(D31="","",(E31*D31)/F31)</f>
        <v>1700</v>
      </c>
      <c r="K31" s="9"/>
      <c r="L31" t="str">
        <f>+IF(B31="","",B31)</f>
        <v>HERRAMIENTA MENOR---</v>
      </c>
      <c r="M31">
        <f t="shared" ref="M31:M38" si="2">IF(D31="","",(D31/F31)*INDEX(CANT_PROYECTO,MATCH($B$13,ITEM,0)))</f>
        <v>0.08</v>
      </c>
      <c r="N31" s="1"/>
      <c r="P31" s="11"/>
    </row>
    <row r="32" spans="2:16" x14ac:dyDescent="0.3">
      <c r="B32" s="27" t="s">
        <v>364</v>
      </c>
      <c r="C32" s="3" t="str">
        <f t="shared" si="0"/>
        <v>UND</v>
      </c>
      <c r="D32" s="30">
        <v>1</v>
      </c>
      <c r="E32" s="23">
        <f t="shared" si="1"/>
        <v>1250000</v>
      </c>
      <c r="F32" s="30">
        <v>100</v>
      </c>
      <c r="G32" s="26">
        <f t="shared" ref="G32:G38" si="3">IF(D32="","",(E32*D32)/F32)</f>
        <v>12500</v>
      </c>
      <c r="K32" s="9"/>
      <c r="L32" t="str">
        <f t="shared" ref="L32:L38" si="4">+IF(B32="","",B32)</f>
        <v>TORQUIMETRO DIGITAL - ACREDITACION---</v>
      </c>
      <c r="M32">
        <f t="shared" si="2"/>
        <v>0.16</v>
      </c>
      <c r="N32" s="1"/>
      <c r="P32" s="11"/>
    </row>
    <row r="33" spans="2:16" x14ac:dyDescent="0.3">
      <c r="B33" s="27"/>
      <c r="C33" s="3" t="str">
        <f t="shared" si="0"/>
        <v/>
      </c>
      <c r="D33" s="30"/>
      <c r="E33" s="23" t="str">
        <f t="shared" si="1"/>
        <v/>
      </c>
      <c r="F33" s="30"/>
      <c r="G33" s="26" t="str">
        <f t="shared" si="3"/>
        <v/>
      </c>
      <c r="K33" s="9"/>
      <c r="L33" t="str">
        <f t="shared" si="4"/>
        <v/>
      </c>
      <c r="M33" t="str">
        <f t="shared" si="2"/>
        <v/>
      </c>
      <c r="N33" s="1"/>
      <c r="P33" s="11"/>
    </row>
    <row r="34" spans="2:16" x14ac:dyDescent="0.3">
      <c r="B34" s="27"/>
      <c r="C34" s="3" t="str">
        <f t="shared" si="0"/>
        <v/>
      </c>
      <c r="D34" s="30"/>
      <c r="E34" s="23" t="str">
        <f t="shared" si="1"/>
        <v/>
      </c>
      <c r="F34" s="30"/>
      <c r="G34" s="26" t="str">
        <f t="shared" si="3"/>
        <v/>
      </c>
      <c r="K34" s="9"/>
      <c r="L34" t="str">
        <f t="shared" si="4"/>
        <v/>
      </c>
      <c r="M34" t="str">
        <f t="shared" si="2"/>
        <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14200</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t="s">
        <v>368</v>
      </c>
      <c r="C42" s="3" t="str">
        <f>+IF(B42="","",INDEX(U_MAQUINARIA,MATCH(B42,LISTA_MAQUINARIA,0)))</f>
        <v>VALOR / HORA</v>
      </c>
      <c r="D42" s="30">
        <v>1</v>
      </c>
      <c r="E42" s="23">
        <f>+IF(B42="","",INDEX(V_MAQUINARIA,MATCH(B42,LISTA_MAQUINARIA,0)))</f>
        <v>58531.818181818184</v>
      </c>
      <c r="F42" s="3">
        <f>$G$20</f>
        <v>1.95</v>
      </c>
      <c r="G42" s="26">
        <f>IF(D42="","",(E42*D42)/F42)</f>
        <v>30016.317016317018</v>
      </c>
      <c r="K42" s="9"/>
      <c r="L42" s="23">
        <f>IF(B42="","",INDEX(V_COMBUSTIBLE_H,MATCH(B42,LISTA_MAQUINARIA,0)))</f>
        <v>21600</v>
      </c>
      <c r="M42" s="23">
        <f>+IF(L42="","",(L42*D42)/F42)</f>
        <v>11076.923076923078</v>
      </c>
      <c r="N42" s="23">
        <f>IF(G42="","",G42-M42)</f>
        <v>18939.39393939394</v>
      </c>
      <c r="P42" s="11"/>
    </row>
    <row r="43" spans="2:16" x14ac:dyDescent="0.3">
      <c r="B43" s="27"/>
      <c r="C43" s="3" t="str">
        <f>+IF(B43="","",INDEX(U_MAQUINARIA,MATCH(B43,LISTA_MAQUINARIA,0)))</f>
        <v/>
      </c>
      <c r="D43" s="30"/>
      <c r="E43" s="23" t="str">
        <f>+IF(B43="","",INDEX(V_MAQUINARIA,MATCH(B43,LISTA_MAQUINARIA,0)))</f>
        <v/>
      </c>
      <c r="F43" s="3">
        <f>+$G$20</f>
        <v>1.95</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1.95</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1.95</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1.95</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30016.317016317018</v>
      </c>
      <c r="K47" s="9"/>
      <c r="M47" s="24">
        <f>SUM(M42:M46)</f>
        <v>11076.923076923078</v>
      </c>
      <c r="N47" s="24">
        <f>SUM(N42:N46)</f>
        <v>18939.39393939394</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t="s">
        <v>306</v>
      </c>
      <c r="C50" s="30">
        <v>1</v>
      </c>
      <c r="D50" s="22">
        <f>+IF(B50="","",INDEX(F_PRESTACIONAL,MATCH(B50,L_PERSONAL,)))</f>
        <v>2.3170181818181819</v>
      </c>
      <c r="E50" s="23">
        <f>+IF(B50="","",INDEX(V_H_MANODEOBRA,MATCH(B50,L_PERSONAL,0)))</f>
        <v>46340.36363636364</v>
      </c>
      <c r="F50" s="3">
        <f>+$G$20</f>
        <v>1.95</v>
      </c>
      <c r="G50" s="26">
        <f>+IF(C50="","",(E50*C50)/F50)</f>
        <v>23764.289044289046</v>
      </c>
    </row>
    <row r="51" spans="2:7" x14ac:dyDescent="0.3">
      <c r="B51" s="27" t="s">
        <v>357</v>
      </c>
      <c r="C51" s="30">
        <v>1</v>
      </c>
      <c r="D51" s="22">
        <f>+IF(B51="","",INDEX(F_PRESTACIONAL,MATCH(B51,L_PERSONAL,)))</f>
        <v>1.6352</v>
      </c>
      <c r="E51" s="23">
        <f>+IF(B51="","",INDEX(V_H_MANODEOBRA,MATCH(B51,L_PERSONAL,0)))</f>
        <v>24658.815999999999</v>
      </c>
      <c r="F51" s="3">
        <f>+$G$20</f>
        <v>1.95</v>
      </c>
      <c r="G51" s="26">
        <f>+IF(C51="","",(E51*C51)/F51)</f>
        <v>12645.546666666667</v>
      </c>
    </row>
    <row r="52" spans="2:7" x14ac:dyDescent="0.3">
      <c r="B52" s="27"/>
      <c r="C52" s="30"/>
      <c r="D52" s="22" t="str">
        <f>+IF(B52="","",INDEX(F_PRESTACIONAL,MATCH(B52,L_PERSONAL,)))</f>
        <v/>
      </c>
      <c r="E52" s="23" t="str">
        <f>+IF(B52="","",INDEX(V_H_MANODEOBRA,MATCH(B52,L_PERSONAL,0)))</f>
        <v/>
      </c>
      <c r="F52" s="3">
        <f>+$G$20</f>
        <v>1.95</v>
      </c>
      <c r="G52" s="26" t="str">
        <f>+IF(C52="","",(E52*C52)/F52)</f>
        <v/>
      </c>
    </row>
    <row r="53" spans="2:7" x14ac:dyDescent="0.3">
      <c r="B53" s="27"/>
      <c r="C53" s="30"/>
      <c r="D53" s="22" t="str">
        <f>+IF(B53="","",INDEX(F_PRESTACIONAL,MATCH(B53,L_PERSONAL,)))</f>
        <v/>
      </c>
      <c r="E53" s="23" t="str">
        <f>+IF(B53="","",INDEX(V_H_MANODEOBRA,MATCH(B53,L_PERSONAL,0)))</f>
        <v/>
      </c>
      <c r="F53" s="3">
        <f>+$G$20</f>
        <v>1.95</v>
      </c>
      <c r="G53" s="26" t="str">
        <f>+IF(C53="","",(E53*C53)/F53)</f>
        <v/>
      </c>
    </row>
    <row r="54" spans="2:7" x14ac:dyDescent="0.3">
      <c r="B54" s="27"/>
      <c r="C54" s="30"/>
      <c r="D54" s="22" t="str">
        <f>+IF(B54="","",INDEX(F_PRESTACIONAL,MATCH(B54,L_PERSONAL,)))</f>
        <v/>
      </c>
      <c r="E54" s="23" t="str">
        <f>+IF(B54="","",INDEX(V_H_MANODEOBRA,MATCH(B54,L_PERSONAL,0)))</f>
        <v/>
      </c>
      <c r="F54" s="3">
        <f>+$G$20</f>
        <v>1.95</v>
      </c>
      <c r="G54" s="26" t="str">
        <f>+IF(C54="","",(E54*C54)/F54)</f>
        <v/>
      </c>
    </row>
    <row r="55" spans="2:7" x14ac:dyDescent="0.3">
      <c r="B55" s="9"/>
      <c r="G55" s="26">
        <f>SUM(G50:G54)</f>
        <v>36409.835710955711</v>
      </c>
    </row>
    <row r="56" spans="2:7" ht="17.25" thickBot="1" x14ac:dyDescent="0.35">
      <c r="B56" s="9"/>
      <c r="G56" s="11"/>
    </row>
    <row r="57" spans="2:7" ht="17.25" thickBot="1" x14ac:dyDescent="0.35">
      <c r="B57" s="610" t="s">
        <v>98</v>
      </c>
      <c r="C57" s="611"/>
      <c r="D57" s="611"/>
      <c r="E57" s="611"/>
      <c r="F57" s="612"/>
      <c r="G57" s="66">
        <f>+G55+G47+G39+G28</f>
        <v>80626.152727272725</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9675.1383272727271</v>
      </c>
    </row>
    <row r="61" spans="2:7" x14ac:dyDescent="0.3">
      <c r="B61" s="613" t="s">
        <v>86</v>
      </c>
      <c r="C61" s="614"/>
      <c r="D61" s="614"/>
      <c r="E61" s="614"/>
      <c r="F61" s="22">
        <f>+IMPREVISTOS</f>
        <v>0.03</v>
      </c>
      <c r="G61" s="26">
        <f>+$G$57*F61</f>
        <v>2418.7845818181818</v>
      </c>
    </row>
    <row r="62" spans="2:7" x14ac:dyDescent="0.3">
      <c r="B62" s="613" t="s">
        <v>87</v>
      </c>
      <c r="C62" s="614"/>
      <c r="D62" s="614"/>
      <c r="E62" s="614"/>
      <c r="F62" s="22">
        <f>+UTILIDAD</f>
        <v>0.05</v>
      </c>
      <c r="G62" s="26">
        <f>+$G$57*F62</f>
        <v>4031.3076363636364</v>
      </c>
    </row>
    <row r="63" spans="2:7" x14ac:dyDescent="0.3">
      <c r="B63" s="596" t="s">
        <v>100</v>
      </c>
      <c r="C63" s="597"/>
      <c r="D63" s="597"/>
      <c r="E63" s="597"/>
      <c r="F63" s="597"/>
      <c r="G63" s="53">
        <f>SUM(G60:G62)</f>
        <v>16125.230545454546</v>
      </c>
    </row>
    <row r="64" spans="2:7" ht="17.25" thickBot="1" x14ac:dyDescent="0.35">
      <c r="B64" s="9"/>
      <c r="G64" s="44"/>
    </row>
    <row r="65" spans="2:7" ht="17.25" thickBot="1" x14ac:dyDescent="0.35">
      <c r="B65" s="598" t="s">
        <v>101</v>
      </c>
      <c r="C65" s="599"/>
      <c r="D65" s="599"/>
      <c r="E65" s="599"/>
      <c r="F65" s="600"/>
      <c r="G65" s="65">
        <f>+G63+G57</f>
        <v>96751.383272727267</v>
      </c>
    </row>
    <row r="66" spans="2:7" x14ac:dyDescent="0.3">
      <c r="B66" s="6"/>
      <c r="C66" s="7"/>
      <c r="D66" s="7"/>
      <c r="E66" s="7"/>
      <c r="F66" s="7"/>
      <c r="G66" s="8"/>
    </row>
    <row r="67" spans="2:7" x14ac:dyDescent="0.3">
      <c r="B67" s="9"/>
      <c r="G67" s="11"/>
    </row>
    <row r="68" spans="2:7" x14ac:dyDescent="0.3">
      <c r="B68" s="69" t="s">
        <v>123</v>
      </c>
      <c r="C68" s="67"/>
      <c r="D68" s="67"/>
      <c r="E68" s="67"/>
      <c r="F68" s="67"/>
      <c r="G68" s="70"/>
    </row>
    <row r="69" spans="2:7" x14ac:dyDescent="0.3">
      <c r="B69" s="71"/>
      <c r="C69" s="67"/>
      <c r="D69" s="67"/>
      <c r="E69" s="67"/>
      <c r="F69" s="67"/>
      <c r="G69" s="70"/>
    </row>
    <row r="70" spans="2:7" x14ac:dyDescent="0.3">
      <c r="B70" s="72"/>
      <c r="C70" s="68"/>
      <c r="D70" s="68"/>
      <c r="E70" s="68"/>
      <c r="F70" s="68"/>
      <c r="G70" s="73"/>
    </row>
    <row r="71" spans="2:7" x14ac:dyDescent="0.3">
      <c r="B71" s="71"/>
      <c r="C71" s="67"/>
      <c r="D71" s="67"/>
      <c r="E71" s="67"/>
      <c r="F71" s="67"/>
      <c r="G71" s="70"/>
    </row>
    <row r="72" spans="2:7" ht="17.25" thickBot="1" x14ac:dyDescent="0.35">
      <c r="B72" s="15"/>
      <c r="C72" s="13"/>
      <c r="D72" s="13"/>
      <c r="E72" s="13"/>
      <c r="F72" s="13"/>
      <c r="G72" s="14"/>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count="5">
    <dataValidation type="list" allowBlank="1" showInputMessage="1" showErrorMessage="1" sqref="E102" xr:uid="{D6632CD6-2D97-44CB-B9F4-B679503C588D}">
      <formula1>$A$103:$A$105</formula1>
    </dataValidation>
    <dataValidation type="list" allowBlank="1" showInputMessage="1" showErrorMessage="1" sqref="B13" xr:uid="{73A3036E-2149-4E4E-8DAD-73AFAD2EBEC8}">
      <formula1>ITEM</formula1>
    </dataValidation>
    <dataValidation type="list" allowBlank="1" showInputMessage="1" showErrorMessage="1" sqref="B50:B54" xr:uid="{80298884-1062-4D16-A71E-5C9349673B9E}">
      <formula1>L_PERSONAL</formula1>
    </dataValidation>
    <dataValidation type="list" allowBlank="1" showInputMessage="1" showErrorMessage="1" sqref="B31:B38" xr:uid="{F2DF82DB-C4EE-47F2-B1F3-AF3C765763CA}">
      <formula1>L_MATERIALES</formula1>
    </dataValidation>
    <dataValidation type="list" allowBlank="1" showInputMessage="1" showErrorMessage="1" sqref="B23:B27 B42:B46" xr:uid="{BADE8789-6281-4690-9AA4-7707067BF15C}">
      <formula1>LISTA_MAQUINARIA</formula1>
    </dataValidation>
  </dataValidations>
  <pageMargins left="1.6141732283464567" right="0.70866141732283472" top="0.74803149606299213" bottom="0.74803149606299213" header="0.31496062992125984" footer="0.31496062992125984"/>
  <pageSetup scale="50" orientation="portrait" r:id="rId1"/>
  <rowBreaks count="1" manualBreakCount="1">
    <brk id="78" max="16383" man="1"/>
  </rowBreaks>
  <colBreaks count="1" manualBreakCount="1">
    <brk id="7" max="1048575" man="1"/>
  </colBreaks>
  <drawing r:id="rId2"/>
  <tableParts count="1">
    <tablePart r:id="rId3"/>
  </tablePart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7C7CEE-E0DB-44F6-A000-2D6385B982C3}">
  <sheetPr codeName="Hoja44"/>
  <dimension ref="A1:P105"/>
  <sheetViews>
    <sheetView showGridLines="0" view="pageBreakPreview" zoomScale="65" zoomScaleNormal="60" workbookViewId="0">
      <selection activeCell="B1" sqref="B1:G78"/>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33</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18" t="str">
        <f>+IF($B$13="","",INDEX(DESCRIP_ITEM,MATCH($B$13,ITEM,0)))</f>
        <v>Tendido de cable de cobre desnudo 2/0 AWG - clase B,  incluye transporte del carrete en vehículo apropiado desde el centro de acopio del parque hasta el sitio de tendido, tendido dentro de la zanja, los equipos y accesorios requeridos para el tendido técnico del cable asegurando la protección del personal y la integridad física del cable y todo lo necesario para su correcta ejecución.</v>
      </c>
      <c r="C16" s="619"/>
      <c r="D16" s="619"/>
      <c r="E16" s="619"/>
      <c r="F16" s="619"/>
      <c r="G16" s="620"/>
    </row>
    <row r="17" spans="2:16" ht="44.25" customHeight="1" thickBot="1" x14ac:dyDescent="0.35">
      <c r="B17" s="621"/>
      <c r="C17" s="622"/>
      <c r="D17" s="622"/>
      <c r="E17" s="622"/>
      <c r="F17" s="622"/>
      <c r="G17" s="623"/>
    </row>
    <row r="18" spans="2:16" ht="17.25" thickBot="1" x14ac:dyDescent="0.35">
      <c r="B18" s="591"/>
      <c r="C18" s="579"/>
      <c r="D18" s="579"/>
      <c r="E18" s="579"/>
      <c r="G18" s="11"/>
    </row>
    <row r="19" spans="2:16" ht="17.25" thickBot="1" x14ac:dyDescent="0.35">
      <c r="B19" s="592"/>
      <c r="C19" s="593"/>
      <c r="D19" s="593"/>
      <c r="E19" s="593"/>
      <c r="F19" s="54" t="s">
        <v>89</v>
      </c>
      <c r="G19" s="25" t="str">
        <f>+IF(B13="","",INDEX(U_ITEM,MATCH(B13,ITEM,0)))</f>
        <v>ML</v>
      </c>
    </row>
    <row r="20" spans="2:16" ht="17.25" thickBot="1" x14ac:dyDescent="0.35">
      <c r="B20" s="592"/>
      <c r="C20" s="593"/>
      <c r="D20" s="593"/>
      <c r="E20" s="593"/>
      <c r="F20" s="55" t="s">
        <v>90</v>
      </c>
      <c r="G20" s="56">
        <v>68.2</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t="s">
        <v>354</v>
      </c>
      <c r="C23" s="3" t="str">
        <f>+IF(B23="","",INDEX(U_MAQUINARIA,MATCH(B23,LISTA_MAQUINARIA,0)))</f>
        <v>VALOR / HORA</v>
      </c>
      <c r="D23" s="30">
        <v>1</v>
      </c>
      <c r="E23" s="23">
        <f>+IF(B23="","",INDEX(V_MAQUINARIA,MATCH(B23,LISTA_MAQUINARIA,0)))</f>
        <v>89781.818181818177</v>
      </c>
      <c r="F23" s="3">
        <f>$G$20</f>
        <v>68.2</v>
      </c>
      <c r="G23" s="26">
        <f>+IF(B23="","",(D23*E23)/F23)</f>
        <v>1316.4489469474806</v>
      </c>
      <c r="K23" s="9"/>
      <c r="L23" s="23">
        <f>IF(B23="","",INDEX(V_COMBUSTIBLE_H,MATCH(B23,LISTA_MAQUINARIA,0)))</f>
        <v>21600</v>
      </c>
      <c r="M23" s="23">
        <f>+IF(L23="","",(L23*D23)/F23)</f>
        <v>316.71554252199411</v>
      </c>
      <c r="N23" s="23">
        <f>IF(G23="","",G23-M23)</f>
        <v>999.73340442548647</v>
      </c>
      <c r="P23" s="11"/>
    </row>
    <row r="24" spans="2:16" x14ac:dyDescent="0.3">
      <c r="B24" s="27" t="s">
        <v>395</v>
      </c>
      <c r="C24" s="3" t="str">
        <f>+IF(B24="","",INDEX(U_MAQUINARIA,MATCH(B24,LISTA_MAQUINARIA,0)))</f>
        <v>VALOR / HORA</v>
      </c>
      <c r="D24" s="30">
        <v>3</v>
      </c>
      <c r="E24" s="23">
        <f>+IF(B24="","",INDEX(V_MAQUINARIA,MATCH(B24,LISTA_MAQUINARIA,0)))</f>
        <v>7102.272727272727</v>
      </c>
      <c r="F24" s="3">
        <f>$G$20</f>
        <v>68.2</v>
      </c>
      <c r="G24" s="26">
        <f>+IF(B24="","",(D24*E24)/F24)</f>
        <v>312.41668888296448</v>
      </c>
      <c r="K24" s="9"/>
      <c r="L24" s="3">
        <f>IF(B24="","",INDEX(V_COMBUSTIBLE_H,MATCH(B24,LISTA_MAQUINARIA,0)))</f>
        <v>0</v>
      </c>
      <c r="M24" s="3">
        <f>+IF(L24="","",(L24*D24)/F24)</f>
        <v>0</v>
      </c>
      <c r="N24" s="3">
        <f>IF(G24="","",G24-M24)</f>
        <v>312.41668888296448</v>
      </c>
      <c r="P24" s="11"/>
    </row>
    <row r="25" spans="2:16" x14ac:dyDescent="0.3">
      <c r="B25" s="27"/>
      <c r="C25" s="3" t="str">
        <f>+IF(B25="","",INDEX(U_MAQUINARIA,MATCH(B25,LISTA_MAQUINARIA,0)))</f>
        <v/>
      </c>
      <c r="D25" s="30"/>
      <c r="E25" s="23" t="str">
        <f>+IF(B25="","",INDEX(V_MAQUINARIA,MATCH(B25,LISTA_MAQUINARIA,0)))</f>
        <v/>
      </c>
      <c r="F25" s="3">
        <f>$G$20</f>
        <v>68.2</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68.2</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68.2</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1628.8656358304452</v>
      </c>
      <c r="K28" s="9"/>
      <c r="M28" s="24">
        <f>SUM(M23:M27)</f>
        <v>316.71554252199411</v>
      </c>
      <c r="N28" s="24">
        <f>SUM(N23:N27)</f>
        <v>1312.150093308451</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t="s">
        <v>361</v>
      </c>
      <c r="C31" s="3" t="str">
        <f t="shared" ref="C31:C38" si="0">+IF(B31="","",INDEX(U_MATERIAL,MATCH(B31,L_MATERIALES,0)))</f>
        <v>UND</v>
      </c>
      <c r="D31" s="30">
        <v>1</v>
      </c>
      <c r="E31" s="23">
        <f t="shared" ref="E31:E38" si="1">+IF(B31="","",INDEX(V_UNITARIOMATERIAL,MATCH(B31,L_MATERIALES,0)))</f>
        <v>340000</v>
      </c>
      <c r="F31" s="30">
        <v>1500</v>
      </c>
      <c r="G31" s="26">
        <f>IF(D31="","",(E31*D31)/F31)</f>
        <v>226.66666666666666</v>
      </c>
      <c r="K31" s="9"/>
      <c r="L31" t="str">
        <f>+IF(B31="","",B31)</f>
        <v>HERRAMIENTA MENOR---</v>
      </c>
      <c r="M31">
        <f t="shared" ref="M31:M38" si="2">IF(D31="","",(D31/F31)*INDEX(CANT_PROYECTO,MATCH($B$13,ITEM,0)))</f>
        <v>15.333333333333332</v>
      </c>
      <c r="N31" s="1"/>
      <c r="P31" s="11"/>
    </row>
    <row r="32" spans="2:16" x14ac:dyDescent="0.3">
      <c r="B32" s="27"/>
      <c r="C32" s="3" t="str">
        <f t="shared" si="0"/>
        <v/>
      </c>
      <c r="D32" s="30"/>
      <c r="E32" s="23" t="str">
        <f t="shared" si="1"/>
        <v/>
      </c>
      <c r="F32" s="30"/>
      <c r="G32" s="26" t="str">
        <f t="shared" ref="G32:G38" si="3">IF(D32="","",(E32*D32)/F32)</f>
        <v/>
      </c>
      <c r="K32" s="9"/>
      <c r="L32" t="str">
        <f t="shared" ref="L32:L38" si="4">+IF(B32="","",B32)</f>
        <v/>
      </c>
      <c r="M32" t="str">
        <f t="shared" si="2"/>
        <v/>
      </c>
      <c r="N32" s="1"/>
      <c r="P32" s="11"/>
    </row>
    <row r="33" spans="2:16" x14ac:dyDescent="0.3">
      <c r="B33" s="27"/>
      <c r="C33" s="3" t="str">
        <f t="shared" si="0"/>
        <v/>
      </c>
      <c r="D33" s="30"/>
      <c r="E33" s="23" t="str">
        <f t="shared" si="1"/>
        <v/>
      </c>
      <c r="F33" s="30"/>
      <c r="G33" s="26" t="str">
        <f t="shared" si="3"/>
        <v/>
      </c>
      <c r="K33" s="9"/>
      <c r="L33" t="str">
        <f t="shared" si="4"/>
        <v/>
      </c>
      <c r="M33" t="str">
        <f t="shared" si="2"/>
        <v/>
      </c>
      <c r="N33" s="1"/>
      <c r="P33" s="11"/>
    </row>
    <row r="34" spans="2:16" x14ac:dyDescent="0.3">
      <c r="B34" s="27"/>
      <c r="C34" s="3" t="str">
        <f t="shared" si="0"/>
        <v/>
      </c>
      <c r="D34" s="30"/>
      <c r="E34" s="23" t="str">
        <f t="shared" si="1"/>
        <v/>
      </c>
      <c r="F34" s="30"/>
      <c r="G34" s="26" t="str">
        <f t="shared" si="3"/>
        <v/>
      </c>
      <c r="K34" s="9"/>
      <c r="L34" t="str">
        <f t="shared" si="4"/>
        <v/>
      </c>
      <c r="M34" t="str">
        <f t="shared" si="2"/>
        <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226.66666666666666</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t="s">
        <v>455</v>
      </c>
      <c r="C42" s="3">
        <f>+IF(B42="","",INDEX(U_MAQUINARIA,MATCH(B42,LISTA_MAQUINARIA,0)))</f>
        <v>0</v>
      </c>
      <c r="D42" s="30">
        <v>0.5</v>
      </c>
      <c r="E42" s="23">
        <f>+IF(B42="","",INDEX(V_MAQUINARIA,MATCH(B42,LISTA_MAQUINARIA,0)))</f>
        <v>101145.45454545454</v>
      </c>
      <c r="F42" s="3">
        <f>$G$20</f>
        <v>68.2</v>
      </c>
      <c r="G42" s="26">
        <f>IF(D42="","",(E42*D42)/F42)</f>
        <v>741.5355905091975</v>
      </c>
      <c r="K42" s="9"/>
      <c r="L42" s="23">
        <f>IF(B42="","",INDEX(V_COMBUSTIBLE_H,MATCH(B42,LISTA_MAQUINARIA,0)))</f>
        <v>21600</v>
      </c>
      <c r="M42" s="23">
        <f>+IF(L42="","",(L42*D42)/F42)</f>
        <v>158.35777126099705</v>
      </c>
      <c r="N42" s="23">
        <f>IF(G42="","",G42-M42)</f>
        <v>583.17781924820042</v>
      </c>
      <c r="P42" s="11"/>
    </row>
    <row r="43" spans="2:16" x14ac:dyDescent="0.3">
      <c r="B43" s="27"/>
      <c r="C43" s="3" t="str">
        <f>+IF(B43="","",INDEX(U_MAQUINARIA,MATCH(B43,LISTA_MAQUINARIA,0)))</f>
        <v/>
      </c>
      <c r="D43" s="30"/>
      <c r="E43" s="23" t="str">
        <f>+IF(B43="","",INDEX(V_MAQUINARIA,MATCH(B43,LISTA_MAQUINARIA,0)))</f>
        <v/>
      </c>
      <c r="F43" s="3">
        <f>+$G$20</f>
        <v>68.2</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68.2</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68.2</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68.2</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741.5355905091975</v>
      </c>
      <c r="K47" s="9"/>
      <c r="M47" s="24">
        <f>SUM(M42:M46)</f>
        <v>158.35777126099705</v>
      </c>
      <c r="N47" s="24">
        <f>SUM(N42:N46)</f>
        <v>583.17781924820042</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t="s">
        <v>298</v>
      </c>
      <c r="C50" s="30">
        <v>1</v>
      </c>
      <c r="D50" s="22">
        <f>+IF(B50="","",INDEX(F_PRESTACIONAL,MATCH(B50,L_PERSONAL,)))</f>
        <v>1.6352</v>
      </c>
      <c r="E50" s="23">
        <f>+IF(B50="","",INDEX(V_H_MANODEOBRA,MATCH(B50,L_PERSONAL,0)))</f>
        <v>40136.727272727272</v>
      </c>
      <c r="F50" s="3">
        <f>+$G$20</f>
        <v>68.2</v>
      </c>
      <c r="G50" s="26">
        <f>+IF(C50="","",(E50*C50)/F50)</f>
        <v>588.51506264995999</v>
      </c>
    </row>
    <row r="51" spans="2:7" x14ac:dyDescent="0.3">
      <c r="B51" s="27" t="s">
        <v>304</v>
      </c>
      <c r="C51" s="30">
        <v>10</v>
      </c>
      <c r="D51" s="22">
        <f>+IF(B51="","",INDEX(F_PRESTACIONAL,MATCH(B51,L_PERSONAL,)))</f>
        <v>1.6352</v>
      </c>
      <c r="E51" s="23">
        <f>+IF(B51="","",INDEX(V_H_MANODEOBRA,MATCH(B51,L_PERSONAL,0)))</f>
        <v>24658.815999999999</v>
      </c>
      <c r="F51" s="3">
        <f>+$G$20</f>
        <v>68.2</v>
      </c>
      <c r="G51" s="26">
        <f>+IF(C51="","",(E51*C51)/F51)</f>
        <v>3615.6621700879759</v>
      </c>
    </row>
    <row r="52" spans="2:7" x14ac:dyDescent="0.3">
      <c r="B52" s="27" t="s">
        <v>299</v>
      </c>
      <c r="C52" s="30">
        <v>1.5</v>
      </c>
      <c r="D52" s="22">
        <f>+IF(B52="","",INDEX(F_PRESTACIONAL,MATCH(B52,L_PERSONAL,)))</f>
        <v>1.6352</v>
      </c>
      <c r="E52" s="23">
        <f>+IF(B52="","",INDEX(V_H_MANODEOBRA,MATCH(B52,L_PERSONAL,0)))</f>
        <v>22298.18181818182</v>
      </c>
      <c r="F52" s="3">
        <f>+$G$20</f>
        <v>68.2</v>
      </c>
      <c r="G52" s="26">
        <f>+IF(C52="","",(E52*C52)/F52)</f>
        <v>490.42921887496664</v>
      </c>
    </row>
    <row r="53" spans="2:7" x14ac:dyDescent="0.3">
      <c r="B53" s="27"/>
      <c r="C53" s="30"/>
      <c r="D53" s="22" t="str">
        <f>+IF(B53="","",INDEX(F_PRESTACIONAL,MATCH(B53,L_PERSONAL,)))</f>
        <v/>
      </c>
      <c r="E53" s="23" t="str">
        <f>+IF(B53="","",INDEX(V_H_MANODEOBRA,MATCH(B53,L_PERSONAL,0)))</f>
        <v/>
      </c>
      <c r="F53" s="3">
        <f>+$G$20</f>
        <v>68.2</v>
      </c>
      <c r="G53" s="26" t="str">
        <f>+IF(C53="","",(E53*C53)/F53)</f>
        <v/>
      </c>
    </row>
    <row r="54" spans="2:7" x14ac:dyDescent="0.3">
      <c r="B54" s="27"/>
      <c r="C54" s="30"/>
      <c r="D54" s="22" t="str">
        <f>+IF(B54="","",INDEX(F_PRESTACIONAL,MATCH(B54,L_PERSONAL,)))</f>
        <v/>
      </c>
      <c r="E54" s="23" t="str">
        <f>+IF(B54="","",INDEX(V_H_MANODEOBRA,MATCH(B54,L_PERSONAL,0)))</f>
        <v/>
      </c>
      <c r="F54" s="3">
        <f>+$G$20</f>
        <v>68.2</v>
      </c>
      <c r="G54" s="26" t="str">
        <f>+IF(C54="","",(E54*C54)/F54)</f>
        <v/>
      </c>
    </row>
    <row r="55" spans="2:7" x14ac:dyDescent="0.3">
      <c r="B55" s="9"/>
      <c r="G55" s="26">
        <f>SUM(G50:G54)</f>
        <v>4694.6064516129027</v>
      </c>
    </row>
    <row r="56" spans="2:7" ht="17.25" thickBot="1" x14ac:dyDescent="0.35">
      <c r="B56" s="9"/>
      <c r="G56" s="11"/>
    </row>
    <row r="57" spans="2:7" ht="17.25" thickBot="1" x14ac:dyDescent="0.35">
      <c r="B57" s="610" t="s">
        <v>98</v>
      </c>
      <c r="C57" s="611"/>
      <c r="D57" s="611"/>
      <c r="E57" s="611"/>
      <c r="F57" s="612"/>
      <c r="G57" s="66">
        <f>+G55+G47+G39+G28</f>
        <v>7291.6743446192122</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875.00092135430543</v>
      </c>
    </row>
    <row r="61" spans="2:7" x14ac:dyDescent="0.3">
      <c r="B61" s="613" t="s">
        <v>86</v>
      </c>
      <c r="C61" s="614"/>
      <c r="D61" s="614"/>
      <c r="E61" s="614"/>
      <c r="F61" s="22">
        <f>+IMPREVISTOS</f>
        <v>0.03</v>
      </c>
      <c r="G61" s="26">
        <f>+$G$57*F61</f>
        <v>218.75023033857636</v>
      </c>
    </row>
    <row r="62" spans="2:7" x14ac:dyDescent="0.3">
      <c r="B62" s="613" t="s">
        <v>87</v>
      </c>
      <c r="C62" s="614"/>
      <c r="D62" s="614"/>
      <c r="E62" s="614"/>
      <c r="F62" s="22">
        <f>+UTILIDAD</f>
        <v>0.05</v>
      </c>
      <c r="G62" s="26">
        <f>+$G$57*F62</f>
        <v>364.58371723096064</v>
      </c>
    </row>
    <row r="63" spans="2:7" x14ac:dyDescent="0.3">
      <c r="B63" s="596" t="s">
        <v>100</v>
      </c>
      <c r="C63" s="597"/>
      <c r="D63" s="597"/>
      <c r="E63" s="597"/>
      <c r="F63" s="597"/>
      <c r="G63" s="53">
        <f>SUM(G60:G62)</f>
        <v>1458.3348689238426</v>
      </c>
    </row>
    <row r="64" spans="2:7" ht="17.25" thickBot="1" x14ac:dyDescent="0.35">
      <c r="B64" s="9"/>
      <c r="G64" s="44"/>
    </row>
    <row r="65" spans="2:7" ht="17.25" thickBot="1" x14ac:dyDescent="0.35">
      <c r="B65" s="598" t="s">
        <v>101</v>
      </c>
      <c r="C65" s="599"/>
      <c r="D65" s="599"/>
      <c r="E65" s="599"/>
      <c r="F65" s="600"/>
      <c r="G65" s="65">
        <f>+G63+G57</f>
        <v>8750.009213543055</v>
      </c>
    </row>
    <row r="66" spans="2:7" x14ac:dyDescent="0.3">
      <c r="B66" s="6"/>
      <c r="C66" s="7"/>
      <c r="D66" s="7"/>
      <c r="E66" s="7"/>
      <c r="F66" s="7"/>
      <c r="G66" s="8"/>
    </row>
    <row r="67" spans="2:7" x14ac:dyDescent="0.3">
      <c r="B67" s="9"/>
      <c r="G67" s="11"/>
    </row>
    <row r="68" spans="2:7" x14ac:dyDescent="0.3">
      <c r="B68" s="69" t="s">
        <v>123</v>
      </c>
      <c r="C68" s="67"/>
      <c r="D68" s="67"/>
      <c r="E68" s="67"/>
      <c r="F68" s="67"/>
      <c r="G68" s="70"/>
    </row>
    <row r="69" spans="2:7" x14ac:dyDescent="0.3">
      <c r="B69" s="71"/>
      <c r="C69" s="67"/>
      <c r="D69" s="67"/>
      <c r="E69" s="67"/>
      <c r="F69" s="67"/>
      <c r="G69" s="70"/>
    </row>
    <row r="70" spans="2:7" x14ac:dyDescent="0.3">
      <c r="B70" s="72"/>
      <c r="C70" s="68"/>
      <c r="D70" s="68"/>
      <c r="E70" s="68"/>
      <c r="F70" s="68"/>
      <c r="G70" s="73"/>
    </row>
    <row r="71" spans="2:7" x14ac:dyDescent="0.3">
      <c r="B71" s="71"/>
      <c r="C71" s="67"/>
      <c r="D71" s="67"/>
      <c r="E71" s="67"/>
      <c r="F71" s="67"/>
      <c r="G71" s="70"/>
    </row>
    <row r="72" spans="2:7" ht="17.25" thickBot="1" x14ac:dyDescent="0.35">
      <c r="B72" s="15"/>
      <c r="C72" s="13"/>
      <c r="D72" s="13"/>
      <c r="E72" s="13"/>
      <c r="F72" s="13"/>
      <c r="G72" s="14"/>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count="5">
    <dataValidation type="list" allowBlank="1" showInputMessage="1" showErrorMessage="1" sqref="E102" xr:uid="{15C5F4B9-149F-4A0D-99AD-5FCACB9E5C1D}">
      <formula1>$A$103:$A$105</formula1>
    </dataValidation>
    <dataValidation type="list" allowBlank="1" showInputMessage="1" showErrorMessage="1" sqref="B13" xr:uid="{6E9F39D8-2374-4376-BA7A-CAF6B217B061}">
      <formula1>ITEM</formula1>
    </dataValidation>
    <dataValidation type="list" allowBlank="1" showInputMessage="1" showErrorMessage="1" sqref="B50:B54" xr:uid="{54506E96-0E06-44FD-B1D4-638229C0C9D1}">
      <formula1>L_PERSONAL</formula1>
    </dataValidation>
    <dataValidation type="list" allowBlank="1" showInputMessage="1" showErrorMessage="1" sqref="B31:B38" xr:uid="{E78163C6-8237-45FF-B538-0F6BF8BC8DBF}">
      <formula1>L_MATERIALES</formula1>
    </dataValidation>
    <dataValidation type="list" allowBlank="1" showInputMessage="1" showErrorMessage="1" sqref="B23:B27 B42:B46" xr:uid="{D15D7192-4BF2-40C7-BE68-BEF60C283D9E}">
      <formula1>LISTA_MAQUINARIA</formula1>
    </dataValidation>
  </dataValidations>
  <pageMargins left="1.6141732283464567" right="0.70866141732283472" top="0.74803149606299213" bottom="0.74803149606299213" header="0.31496062992125984" footer="0.31496062992125984"/>
  <pageSetup scale="50" orientation="portrait" r:id="rId1"/>
  <rowBreaks count="1" manualBreakCount="1">
    <brk id="78" max="16383" man="1"/>
  </rowBreaks>
  <colBreaks count="1" manualBreakCount="1">
    <brk id="7" max="1048575" man="1"/>
  </colBreaks>
  <drawing r:id="rId2"/>
  <tableParts count="1">
    <tablePart r:id="rId3"/>
  </tablePart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33077-B9F3-4BFD-8A87-7059F2742190}">
  <sheetPr codeName="Hoja45"/>
  <dimension ref="A1:P105"/>
  <sheetViews>
    <sheetView showGridLines="0" view="pageBreakPreview" zoomScale="54" zoomScaleNormal="60" zoomScaleSheetLayoutView="85" workbookViewId="0">
      <selection activeCell="B1" sqref="B1:G78"/>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10" width="8.625" customWidth="1"/>
    <col min="11" max="11" width="11.375" customWidth="1"/>
    <col min="12" max="13" width="17.375" customWidth="1"/>
    <col min="14" max="14" width="14.375" customWidth="1"/>
    <col min="15" max="16" width="11.375" customWidth="1"/>
  </cols>
  <sheetData>
    <row r="1" spans="1:7" ht="32.25" customHeight="1" thickBot="1" x14ac:dyDescent="0.35">
      <c r="A1" s="139"/>
      <c r="B1" s="583" t="str">
        <f>NOMBRE_DEL_PROYECTO</f>
        <v>MYT ENERGY PARQUE FOTOVOLTAICO TEPUY 108 MW</v>
      </c>
      <c r="C1" s="584"/>
      <c r="D1" s="584"/>
      <c r="E1" s="584"/>
      <c r="F1" s="584"/>
      <c r="G1" s="585"/>
    </row>
    <row r="2" spans="1:7" ht="17.25" thickBot="1" x14ac:dyDescent="0.35">
      <c r="B2" s="586" t="str">
        <f>PAIS</f>
        <v>COLOMBIA</v>
      </c>
      <c r="C2" s="587"/>
      <c r="D2" s="587"/>
      <c r="E2" s="587"/>
      <c r="F2" s="587"/>
      <c r="G2" s="588"/>
    </row>
    <row r="3" spans="1:7" ht="17.25" thickBot="1" x14ac:dyDescent="0.35">
      <c r="B3" s="570" t="str">
        <f>CIUDAD</f>
        <v>LA DORADA</v>
      </c>
      <c r="C3" s="571"/>
      <c r="D3" s="571"/>
      <c r="E3" s="571"/>
      <c r="F3" s="571"/>
      <c r="G3" s="572"/>
    </row>
    <row r="4" spans="1:7" ht="17.25" thickBot="1" x14ac:dyDescent="0.35">
      <c r="B4" s="567">
        <f ca="1">FECHA</f>
        <v>45726</v>
      </c>
      <c r="C4" s="568"/>
      <c r="D4" s="568"/>
      <c r="E4" s="568"/>
      <c r="F4" s="568"/>
      <c r="G4" s="569"/>
    </row>
    <row r="5" spans="1:7" x14ac:dyDescent="0.3">
      <c r="B5" s="75"/>
      <c r="C5" s="76"/>
      <c r="D5" s="76"/>
      <c r="E5" s="76"/>
      <c r="F5" s="76"/>
      <c r="G5" s="77"/>
    </row>
    <row r="6" spans="1:7" x14ac:dyDescent="0.3">
      <c r="B6" s="81" t="s">
        <v>124</v>
      </c>
      <c r="C6" s="80"/>
      <c r="D6" s="83" t="s">
        <v>126</v>
      </c>
      <c r="E6" s="80"/>
      <c r="F6" s="45"/>
      <c r="G6" s="79"/>
    </row>
    <row r="7" spans="1:7" x14ac:dyDescent="0.3">
      <c r="B7" s="78"/>
      <c r="C7" s="45"/>
      <c r="D7" s="83" t="s">
        <v>127</v>
      </c>
      <c r="E7" s="82"/>
      <c r="F7" s="45"/>
      <c r="G7" s="79"/>
    </row>
    <row r="8" spans="1:7" x14ac:dyDescent="0.3">
      <c r="B8" s="81" t="s">
        <v>125</v>
      </c>
      <c r="C8" s="80"/>
      <c r="D8" s="80"/>
      <c r="E8" s="80"/>
      <c r="F8" s="80"/>
      <c r="G8" s="79"/>
    </row>
    <row r="9" spans="1:7" x14ac:dyDescent="0.3">
      <c r="B9" s="81" t="s">
        <v>128</v>
      </c>
      <c r="C9" s="82"/>
      <c r="D9" s="82"/>
      <c r="E9" s="82"/>
      <c r="F9" s="82"/>
      <c r="G9" s="79"/>
    </row>
    <row r="10" spans="1:7" x14ac:dyDescent="0.3">
      <c r="B10" s="78"/>
      <c r="C10" s="45"/>
      <c r="D10" s="45"/>
      <c r="E10" s="45"/>
      <c r="F10" s="45"/>
      <c r="G10" s="79"/>
    </row>
    <row r="11" spans="1:7" ht="17.25" thickBot="1" x14ac:dyDescent="0.35">
      <c r="B11" s="595"/>
      <c r="C11" s="581"/>
      <c r="D11" s="581"/>
      <c r="E11" s="581"/>
      <c r="F11" s="581"/>
      <c r="G11" s="582"/>
    </row>
    <row r="12" spans="1:7" ht="17.25" thickBot="1" x14ac:dyDescent="0.35">
      <c r="B12" s="84" t="s">
        <v>74</v>
      </c>
      <c r="C12" s="579"/>
      <c r="D12" s="579"/>
      <c r="E12" s="579"/>
      <c r="F12" s="579"/>
      <c r="G12" s="580"/>
    </row>
    <row r="13" spans="1:7" ht="17.25" thickBot="1" x14ac:dyDescent="0.35">
      <c r="B13" s="74">
        <v>34</v>
      </c>
      <c r="C13" s="581"/>
      <c r="D13" s="581"/>
      <c r="E13" s="581"/>
      <c r="F13" s="581"/>
      <c r="G13" s="582"/>
    </row>
    <row r="14" spans="1:7" ht="17.25" thickBot="1" x14ac:dyDescent="0.35">
      <c r="B14" s="601" t="s">
        <v>88</v>
      </c>
      <c r="C14" s="602"/>
      <c r="D14" s="602"/>
      <c r="E14" s="602"/>
      <c r="F14" s="602"/>
      <c r="G14" s="603"/>
    </row>
    <row r="15" spans="1:7" ht="17.25" thickBot="1" x14ac:dyDescent="0.35">
      <c r="B15" s="592"/>
      <c r="C15" s="593"/>
      <c r="D15" s="593"/>
      <c r="E15" s="593"/>
      <c r="F15" s="593"/>
      <c r="G15" s="594"/>
    </row>
    <row r="16" spans="1:7" x14ac:dyDescent="0.3">
      <c r="B16" s="618" t="str">
        <f>+IF($B$13="","",INDEX(DESCRIP_ITEM,MATCH($B$13,ITEM,0)))</f>
        <v xml:space="preserve">Instalacion de emplames para cable de Fibra Óptica Monomodo 24xFO. La instalación debe incluir el corte, fusión (si aplica), marquillado y pruebas.. Incluye pero no se limita a las  pruebas indicadas en el Anexo 005 Especificaciones Técnicas BOS TEPUY de EPM - CRW216402.  </v>
      </c>
      <c r="C16" s="619"/>
      <c r="D16" s="619"/>
      <c r="E16" s="619"/>
      <c r="F16" s="619"/>
      <c r="G16" s="620"/>
    </row>
    <row r="17" spans="2:16" ht="44.25" customHeight="1" thickBot="1" x14ac:dyDescent="0.35">
      <c r="B17" s="621"/>
      <c r="C17" s="622"/>
      <c r="D17" s="622"/>
      <c r="E17" s="622"/>
      <c r="F17" s="622"/>
      <c r="G17" s="623"/>
    </row>
    <row r="18" spans="2:16" ht="17.25" thickBot="1" x14ac:dyDescent="0.35">
      <c r="B18" s="591"/>
      <c r="C18" s="579"/>
      <c r="D18" s="579"/>
      <c r="E18" s="579"/>
      <c r="G18" s="11"/>
    </row>
    <row r="19" spans="2:16" ht="17.25" thickBot="1" x14ac:dyDescent="0.35">
      <c r="B19" s="592"/>
      <c r="C19" s="593"/>
      <c r="D19" s="593"/>
      <c r="E19" s="593"/>
      <c r="F19" s="54" t="s">
        <v>89</v>
      </c>
      <c r="G19" s="25" t="str">
        <f>+IF(B13="","",INDEX(U_ITEM,MATCH(B13,ITEM,0)))</f>
        <v>und</v>
      </c>
    </row>
    <row r="20" spans="2:16" ht="17.25" thickBot="1" x14ac:dyDescent="0.35">
      <c r="B20" s="592"/>
      <c r="C20" s="593"/>
      <c r="D20" s="593"/>
      <c r="E20" s="593"/>
      <c r="F20" s="55" t="s">
        <v>90</v>
      </c>
      <c r="G20" s="56">
        <v>3</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c r="C23" s="3" t="str">
        <f>+IF(B23="","",INDEX(U_MAQUINARIA,MATCH(B23,LISTA_MAQUINARIA,0)))</f>
        <v/>
      </c>
      <c r="D23" s="30"/>
      <c r="E23" s="23" t="str">
        <f>+IF(B23="","",INDEX(V_MAQUINARIA,MATCH(B23,LISTA_MAQUINARIA,0)))</f>
        <v/>
      </c>
      <c r="F23" s="3">
        <f>$G$20</f>
        <v>3</v>
      </c>
      <c r="G23" s="26" t="str">
        <f>+IF(B23="","",(D23*E23)/F23)</f>
        <v/>
      </c>
      <c r="K23" s="9"/>
      <c r="L23" s="23" t="str">
        <f>IF(B23="","",INDEX(V_COMBUSTIBLE_H,MATCH(B23,LISTA_MAQUINARIA,0)))</f>
        <v/>
      </c>
      <c r="M23" s="23" t="str">
        <f>+IF(L23="","",(L23*D23)/F23)</f>
        <v/>
      </c>
      <c r="N23" s="23" t="str">
        <f>IF(G23="","",G23-M23)</f>
        <v/>
      </c>
      <c r="P23" s="11"/>
    </row>
    <row r="24" spans="2:16" x14ac:dyDescent="0.3">
      <c r="B24" s="27"/>
      <c r="C24" s="3" t="str">
        <f>+IF(B24="","",INDEX(U_MAQUINARIA,MATCH(B24,LISTA_MAQUINARIA,0)))</f>
        <v/>
      </c>
      <c r="D24" s="30"/>
      <c r="E24" s="23" t="str">
        <f>+IF(B24="","",INDEX(V_MAQUINARIA,MATCH(B24,LISTA_MAQUINARIA,0)))</f>
        <v/>
      </c>
      <c r="F24" s="3">
        <f>$G$20</f>
        <v>3</v>
      </c>
      <c r="G24" s="26" t="str">
        <f>+IF(B24="","",(D24*E24)/F24)</f>
        <v/>
      </c>
      <c r="K24" s="9"/>
      <c r="L24" s="3" t="str">
        <f>IF(B24="","",INDEX(V_COMBUSTIBLE_H,MATCH(B24,LISTA_MAQUINARIA,0)))</f>
        <v/>
      </c>
      <c r="M24" s="3" t="str">
        <f>+IF(L24="","",(L24*D24)/F24)</f>
        <v/>
      </c>
      <c r="N24" s="3" t="str">
        <f>IF(G24="","",G24-M24)</f>
        <v/>
      </c>
      <c r="P24" s="11"/>
    </row>
    <row r="25" spans="2:16" x14ac:dyDescent="0.3">
      <c r="B25" s="27"/>
      <c r="C25" s="3" t="str">
        <f>+IF(B25="","",INDEX(U_MAQUINARIA,MATCH(B25,LISTA_MAQUINARIA,0)))</f>
        <v/>
      </c>
      <c r="D25" s="30"/>
      <c r="E25" s="23" t="str">
        <f>+IF(B25="","",INDEX(V_MAQUINARIA,MATCH(B25,LISTA_MAQUINARIA,0)))</f>
        <v/>
      </c>
      <c r="F25" s="3">
        <f>$G$20</f>
        <v>3</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3</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3</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0</v>
      </c>
      <c r="K28" s="9"/>
      <c r="M28" s="24">
        <f>SUM(M23:M27)</f>
        <v>0</v>
      </c>
      <c r="N28" s="24">
        <f>SUM(N23:N27)</f>
        <v>0</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t="s">
        <v>361</v>
      </c>
      <c r="C31" s="3" t="str">
        <f t="shared" ref="C31:C38" si="0">+IF(B31="","",INDEX(U_MATERIAL,MATCH(B31,L_MATERIALES,0)))</f>
        <v>UND</v>
      </c>
      <c r="D31" s="30">
        <v>1</v>
      </c>
      <c r="E31" s="23">
        <f t="shared" ref="E31:E38" si="1">+IF(B31="","",INDEX(V_UNITARIOMATERIAL,MATCH(B31,L_MATERIALES,0)))</f>
        <v>340000</v>
      </c>
      <c r="F31" s="30">
        <v>25</v>
      </c>
      <c r="G31" s="26">
        <f>IF(D31="","",(E31*D31)/F31)</f>
        <v>13600</v>
      </c>
      <c r="K31" s="9"/>
      <c r="L31" t="str">
        <f>+IF(B31="","",B31)</f>
        <v>HERRAMIENTA MENOR---</v>
      </c>
      <c r="M31">
        <f t="shared" ref="M31:M38" si="2">IF(D31="","",(D31/F31)*INDEX(CANT_PROYECTO,MATCH($B$13,ITEM,0)))</f>
        <v>1.04</v>
      </c>
      <c r="N31" s="1"/>
      <c r="P31" s="11"/>
    </row>
    <row r="32" spans="2:16" x14ac:dyDescent="0.3">
      <c r="B32" s="27" t="s">
        <v>551</v>
      </c>
      <c r="C32" s="3" t="str">
        <f t="shared" si="0"/>
        <v>und</v>
      </c>
      <c r="D32" s="30">
        <v>1</v>
      </c>
      <c r="E32" s="23">
        <f t="shared" si="1"/>
        <v>39000000</v>
      </c>
      <c r="F32" s="30">
        <v>26</v>
      </c>
      <c r="G32" s="26">
        <f t="shared" ref="G32:G38" si="3">IF(D32="","",(E32*D32)/F32)</f>
        <v>1500000</v>
      </c>
      <c r="K32" s="9"/>
      <c r="L32" t="str">
        <f t="shared" ref="L32:L38" si="4">+IF(B32="","",B32)</f>
        <v>Fusionadora de fibra optica---</v>
      </c>
      <c r="M32">
        <f t="shared" si="2"/>
        <v>1</v>
      </c>
      <c r="N32" s="1"/>
      <c r="P32" s="11"/>
    </row>
    <row r="33" spans="2:16" x14ac:dyDescent="0.3">
      <c r="B33" s="27" t="s">
        <v>552</v>
      </c>
      <c r="C33" s="3" t="str">
        <f t="shared" si="0"/>
        <v>und</v>
      </c>
      <c r="D33" s="30">
        <v>1</v>
      </c>
      <c r="E33" s="23">
        <f t="shared" si="1"/>
        <v>12000000</v>
      </c>
      <c r="F33" s="30">
        <v>26</v>
      </c>
      <c r="G33" s="26">
        <f t="shared" si="3"/>
        <v>461538.46153846156</v>
      </c>
      <c r="K33" s="9"/>
      <c r="L33" t="str">
        <f t="shared" si="4"/>
        <v>Kit fibra optica---</v>
      </c>
      <c r="M33">
        <f t="shared" si="2"/>
        <v>1</v>
      </c>
      <c r="N33" s="1"/>
      <c r="P33" s="11"/>
    </row>
    <row r="34" spans="2:16" x14ac:dyDescent="0.3">
      <c r="B34" s="27"/>
      <c r="C34" s="3" t="str">
        <f t="shared" si="0"/>
        <v/>
      </c>
      <c r="D34" s="30"/>
      <c r="E34" s="23" t="str">
        <f t="shared" si="1"/>
        <v/>
      </c>
      <c r="F34" s="30"/>
      <c r="G34" s="26" t="str">
        <f t="shared" si="3"/>
        <v/>
      </c>
      <c r="K34" s="9"/>
      <c r="L34" t="str">
        <f t="shared" si="4"/>
        <v/>
      </c>
      <c r="M34" t="str">
        <f t="shared" si="2"/>
        <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1975138.4615384615</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t="s">
        <v>368</v>
      </c>
      <c r="C42" s="3" t="str">
        <f>+IF(B42="","",INDEX(U_MAQUINARIA,MATCH(B42,LISTA_MAQUINARIA,0)))</f>
        <v>VALOR / HORA</v>
      </c>
      <c r="D42" s="30">
        <v>1</v>
      </c>
      <c r="E42" s="23">
        <f>+IF(B42="","",INDEX(V_MAQUINARIA,MATCH(B42,LISTA_MAQUINARIA,0)))</f>
        <v>58531.818181818184</v>
      </c>
      <c r="F42" s="3">
        <f>$G$20</f>
        <v>3</v>
      </c>
      <c r="G42" s="26">
        <f>IF(D42="","",(E42*D42)/F42)</f>
        <v>19510.60606060606</v>
      </c>
      <c r="K42" s="9"/>
      <c r="L42" s="23">
        <f>IF(B42="","",INDEX(V_COMBUSTIBLE_H,MATCH(B42,LISTA_MAQUINARIA,0)))</f>
        <v>21600</v>
      </c>
      <c r="M42" s="23">
        <f>+IF(L42="","",(L42*D42)/F42)</f>
        <v>7200</v>
      </c>
      <c r="N42" s="23">
        <f>IF(G42="","",G42-M42)</f>
        <v>12310.60606060606</v>
      </c>
      <c r="P42" s="11"/>
    </row>
    <row r="43" spans="2:16" x14ac:dyDescent="0.3">
      <c r="B43" s="27"/>
      <c r="C43" s="3" t="str">
        <f>+IF(B43="","",INDEX(U_MAQUINARIA,MATCH(B43,LISTA_MAQUINARIA,0)))</f>
        <v/>
      </c>
      <c r="D43" s="30"/>
      <c r="E43" s="23" t="str">
        <f>+IF(B43="","",INDEX(V_MAQUINARIA,MATCH(B43,LISTA_MAQUINARIA,0)))</f>
        <v/>
      </c>
      <c r="F43" s="3">
        <f>+$G$20</f>
        <v>3</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3</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3</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3</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19510.60606060606</v>
      </c>
      <c r="K47" s="9"/>
      <c r="M47" s="24">
        <f>SUM(M42:M46)</f>
        <v>7200</v>
      </c>
      <c r="N47" s="24">
        <f>SUM(N42:N46)</f>
        <v>12310.60606060606</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t="s">
        <v>306</v>
      </c>
      <c r="C50" s="30">
        <v>2</v>
      </c>
      <c r="D50" s="22">
        <f>+IF(B50="","",INDEX(F_PRESTACIONAL,MATCH(B50,L_PERSONAL,)))</f>
        <v>2.3170181818181819</v>
      </c>
      <c r="E50" s="23">
        <f>+IF(B50="","",INDEX(V_H_MANODEOBRA,MATCH(B50,L_PERSONAL,0)))</f>
        <v>46340.36363636364</v>
      </c>
      <c r="F50" s="3">
        <f>+$G$20</f>
        <v>3</v>
      </c>
      <c r="G50" s="26">
        <f>+IF(C50="","",(E50*C50)/F50)</f>
        <v>30893.57575757576</v>
      </c>
    </row>
    <row r="51" spans="2:7" x14ac:dyDescent="0.3">
      <c r="B51" s="27" t="s">
        <v>304</v>
      </c>
      <c r="C51" s="30">
        <v>2</v>
      </c>
      <c r="D51" s="22">
        <f>+IF(B51="","",INDEX(F_PRESTACIONAL,MATCH(B51,L_PERSONAL,)))</f>
        <v>1.6352</v>
      </c>
      <c r="E51" s="23">
        <f>+IF(B51="","",INDEX(V_H_MANODEOBRA,MATCH(B51,L_PERSONAL,0)))</f>
        <v>24658.815999999999</v>
      </c>
      <c r="F51" s="3">
        <f>+$G$20</f>
        <v>3</v>
      </c>
      <c r="G51" s="26">
        <f>+IF(C51="","",(E51*C51)/F51)</f>
        <v>16439.210666666666</v>
      </c>
    </row>
    <row r="52" spans="2:7" x14ac:dyDescent="0.3">
      <c r="B52" s="27" t="s">
        <v>299</v>
      </c>
      <c r="C52" s="30">
        <v>1</v>
      </c>
      <c r="D52" s="22">
        <f>+IF(B52="","",INDEX(F_PRESTACIONAL,MATCH(B52,L_PERSONAL,)))</f>
        <v>1.6352</v>
      </c>
      <c r="E52" s="23">
        <f>+IF(B52="","",INDEX(V_H_MANODEOBRA,MATCH(B52,L_PERSONAL,0)))</f>
        <v>22298.18181818182</v>
      </c>
      <c r="F52" s="3">
        <f>+$G$20</f>
        <v>3</v>
      </c>
      <c r="G52" s="26">
        <f>+IF(C52="","",(E52*C52)/F52)</f>
        <v>7432.727272727273</v>
      </c>
    </row>
    <row r="53" spans="2:7" x14ac:dyDescent="0.3">
      <c r="B53" s="27"/>
      <c r="C53" s="30"/>
      <c r="D53" s="22" t="str">
        <f>+IF(B53="","",INDEX(F_PRESTACIONAL,MATCH(B53,L_PERSONAL,)))</f>
        <v/>
      </c>
      <c r="E53" s="23" t="str">
        <f>+IF(B53="","",INDEX(V_H_MANODEOBRA,MATCH(B53,L_PERSONAL,0)))</f>
        <v/>
      </c>
      <c r="F53" s="3">
        <f>+$G$20</f>
        <v>3</v>
      </c>
      <c r="G53" s="26" t="str">
        <f>+IF(C53="","",(E53*C53)/F53)</f>
        <v/>
      </c>
    </row>
    <row r="54" spans="2:7" x14ac:dyDescent="0.3">
      <c r="B54" s="27"/>
      <c r="C54" s="30"/>
      <c r="D54" s="22" t="str">
        <f>+IF(B54="","",INDEX(F_PRESTACIONAL,MATCH(B54,L_PERSONAL,)))</f>
        <v/>
      </c>
      <c r="E54" s="23" t="str">
        <f>+IF(B54="","",INDEX(V_H_MANODEOBRA,MATCH(B54,L_PERSONAL,0)))</f>
        <v/>
      </c>
      <c r="F54" s="3">
        <f>+$G$20</f>
        <v>3</v>
      </c>
      <c r="G54" s="26" t="str">
        <f>+IF(C54="","",(E54*C54)/F54)</f>
        <v/>
      </c>
    </row>
    <row r="55" spans="2:7" x14ac:dyDescent="0.3">
      <c r="B55" s="9"/>
      <c r="G55" s="26">
        <f>SUM(G50:G54)</f>
        <v>54765.513696969698</v>
      </c>
    </row>
    <row r="56" spans="2:7" ht="17.25" thickBot="1" x14ac:dyDescent="0.35">
      <c r="B56" s="9"/>
      <c r="G56" s="11"/>
    </row>
    <row r="57" spans="2:7" ht="17.25" thickBot="1" x14ac:dyDescent="0.35">
      <c r="B57" s="610" t="s">
        <v>98</v>
      </c>
      <c r="C57" s="611"/>
      <c r="D57" s="611"/>
      <c r="E57" s="611"/>
      <c r="F57" s="612"/>
      <c r="G57" s="66">
        <f>+G55+G47+G39+G28</f>
        <v>2049414.5812960372</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245929.74975552445</v>
      </c>
    </row>
    <row r="61" spans="2:7" x14ac:dyDescent="0.3">
      <c r="B61" s="613" t="s">
        <v>86</v>
      </c>
      <c r="C61" s="614"/>
      <c r="D61" s="614"/>
      <c r="E61" s="614"/>
      <c r="F61" s="22">
        <f>+IMPREVISTOS</f>
        <v>0.03</v>
      </c>
      <c r="G61" s="26">
        <f>+$G$57*F61</f>
        <v>61482.437438881112</v>
      </c>
    </row>
    <row r="62" spans="2:7" x14ac:dyDescent="0.3">
      <c r="B62" s="613" t="s">
        <v>87</v>
      </c>
      <c r="C62" s="614"/>
      <c r="D62" s="614"/>
      <c r="E62" s="614"/>
      <c r="F62" s="22">
        <f>+UTILIDAD</f>
        <v>0.05</v>
      </c>
      <c r="G62" s="26">
        <f>+$G$57*F62</f>
        <v>102470.72906480187</v>
      </c>
    </row>
    <row r="63" spans="2:7" x14ac:dyDescent="0.3">
      <c r="B63" s="596" t="s">
        <v>100</v>
      </c>
      <c r="C63" s="597"/>
      <c r="D63" s="597"/>
      <c r="E63" s="597"/>
      <c r="F63" s="597"/>
      <c r="G63" s="53">
        <f>SUM(G60:G62)</f>
        <v>409882.91625920747</v>
      </c>
    </row>
    <row r="64" spans="2:7" ht="17.25" thickBot="1" x14ac:dyDescent="0.35">
      <c r="B64" s="9"/>
      <c r="G64" s="44"/>
    </row>
    <row r="65" spans="2:7" ht="17.25" thickBot="1" x14ac:dyDescent="0.35">
      <c r="B65" s="598" t="s">
        <v>101</v>
      </c>
      <c r="C65" s="599"/>
      <c r="D65" s="599"/>
      <c r="E65" s="599"/>
      <c r="F65" s="600"/>
      <c r="G65" s="65">
        <f>+G63+G57</f>
        <v>2459297.4975552447</v>
      </c>
    </row>
    <row r="66" spans="2:7" x14ac:dyDescent="0.3">
      <c r="B66" s="6"/>
      <c r="C66" s="7"/>
      <c r="D66" s="7"/>
      <c r="E66" s="7"/>
      <c r="F66" s="7"/>
      <c r="G66" s="8"/>
    </row>
    <row r="67" spans="2:7" x14ac:dyDescent="0.3">
      <c r="B67" s="9"/>
      <c r="G67" s="11"/>
    </row>
    <row r="68" spans="2:7" x14ac:dyDescent="0.3">
      <c r="B68" s="69" t="s">
        <v>123</v>
      </c>
      <c r="C68" s="67"/>
      <c r="D68" s="67"/>
      <c r="E68" s="67"/>
      <c r="F68" s="67"/>
      <c r="G68" s="70"/>
    </row>
    <row r="69" spans="2:7" x14ac:dyDescent="0.3">
      <c r="B69" s="71"/>
      <c r="C69" s="67"/>
      <c r="D69" s="67"/>
      <c r="E69" s="67"/>
      <c r="F69" s="67"/>
      <c r="G69" s="70"/>
    </row>
    <row r="70" spans="2:7" x14ac:dyDescent="0.3">
      <c r="B70" s="72"/>
      <c r="C70" s="68"/>
      <c r="D70" s="68"/>
      <c r="E70" s="68"/>
      <c r="F70" s="68"/>
      <c r="G70" s="73"/>
    </row>
    <row r="71" spans="2:7" x14ac:dyDescent="0.3">
      <c r="B71" s="71"/>
      <c r="C71" s="67"/>
      <c r="D71" s="67"/>
      <c r="E71" s="67"/>
      <c r="F71" s="67"/>
      <c r="G71" s="70"/>
    </row>
    <row r="72" spans="2:7" ht="17.25" thickBot="1" x14ac:dyDescent="0.35">
      <c r="B72" s="15"/>
      <c r="C72" s="13"/>
      <c r="D72" s="13"/>
      <c r="E72" s="13"/>
      <c r="F72" s="13"/>
      <c r="G72" s="14"/>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count="5">
    <dataValidation type="list" allowBlank="1" showInputMessage="1" showErrorMessage="1" sqref="E102" xr:uid="{92B04217-FC13-41C4-B96C-C151CAA93C00}">
      <formula1>$A$103:$A$105</formula1>
    </dataValidation>
    <dataValidation type="list" allowBlank="1" showInputMessage="1" showErrorMessage="1" sqref="B13" xr:uid="{F8C0AD1F-5673-499E-A56C-2E8F149EEC3A}">
      <formula1>ITEM</formula1>
    </dataValidation>
    <dataValidation type="list" allowBlank="1" showInputMessage="1" showErrorMessage="1" sqref="B50:B54" xr:uid="{52EDADD0-AB03-4FC4-9C67-4D22B8610621}">
      <formula1>L_PERSONAL</formula1>
    </dataValidation>
    <dataValidation type="list" allowBlank="1" showInputMessage="1" showErrorMessage="1" sqref="B31:B38" xr:uid="{8AC714B5-468A-4466-BF3A-BC4AB165D2B2}">
      <formula1>L_MATERIALES</formula1>
    </dataValidation>
    <dataValidation type="list" allowBlank="1" showInputMessage="1" showErrorMessage="1" sqref="B23:B27 B42:B46" xr:uid="{023CE740-B8BD-4DE6-8A0F-DB3832838451}">
      <formula1>LISTA_MAQUINARIA</formula1>
    </dataValidation>
  </dataValidations>
  <pageMargins left="1.6141732283464567" right="0.70866141732283472" top="0.74803149606299213" bottom="0.74803149606299213" header="0.31496062992125984" footer="0.31496062992125984"/>
  <pageSetup scale="50" orientation="portrait" r:id="rId1"/>
  <rowBreaks count="1" manualBreakCount="1">
    <brk id="78" max="16383" man="1"/>
  </rowBreaks>
  <colBreaks count="1" manualBreakCount="1">
    <brk id="7" max="1048575" man="1"/>
  </colBreaks>
  <drawing r:id="rId2"/>
  <tableParts count="1">
    <tablePart r:id="rId3"/>
  </tablePart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B725F-E207-4DDD-B0F7-5D6EAB853E6C}">
  <sheetPr codeName="Hoja46"/>
  <dimension ref="A1:P105"/>
  <sheetViews>
    <sheetView showGridLines="0" view="pageBreakPreview" zoomScale="43" zoomScaleNormal="60" workbookViewId="0">
      <selection activeCell="B1" sqref="B1:G78"/>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35</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18" t="str">
        <f>+IF($B$13="","",INDEX(DESCRIP_ITEM,MATCH($B$13,ITEM,0)))</f>
        <v xml:space="preserve">Suministro e instalación de puntos de soldadura exotermica para unión entre cable CU 2/0 AWG a cable CU 2/0 AWG, cable CU 1/0AWG a cable 2/0 AWG, Cable CU 2/0AWG a Varilla de cobre 5/8"x2,44 mt. en X, T, horizontal  y demás configuraciones que se indiquen. Marca TECNOWELD, Incluye el suministro de los insumos y el kit de herramientas con sus accesorios. </v>
      </c>
      <c r="C16" s="619"/>
      <c r="D16" s="619"/>
      <c r="E16" s="619"/>
      <c r="F16" s="619"/>
      <c r="G16" s="620"/>
    </row>
    <row r="17" spans="2:16" ht="44.25" customHeight="1" thickBot="1" x14ac:dyDescent="0.35">
      <c r="B17" s="621"/>
      <c r="C17" s="622"/>
      <c r="D17" s="622"/>
      <c r="E17" s="622"/>
      <c r="F17" s="622"/>
      <c r="G17" s="623"/>
    </row>
    <row r="18" spans="2:16" ht="17.25" thickBot="1" x14ac:dyDescent="0.35">
      <c r="B18" s="591"/>
      <c r="C18" s="579"/>
      <c r="D18" s="579"/>
      <c r="E18" s="579"/>
      <c r="G18" s="11"/>
    </row>
    <row r="19" spans="2:16" ht="17.25" thickBot="1" x14ac:dyDescent="0.35">
      <c r="B19" s="592"/>
      <c r="C19" s="593"/>
      <c r="D19" s="593"/>
      <c r="E19" s="593"/>
      <c r="F19" s="54" t="s">
        <v>89</v>
      </c>
      <c r="G19" s="25" t="str">
        <f>+IF(B13="","",INDEX(U_ITEM,MATCH(B13,ITEM,0)))</f>
        <v>UN</v>
      </c>
    </row>
    <row r="20" spans="2:16" ht="17.25" thickBot="1" x14ac:dyDescent="0.35">
      <c r="B20" s="592"/>
      <c r="C20" s="593"/>
      <c r="D20" s="593"/>
      <c r="E20" s="593"/>
      <c r="F20" s="55" t="s">
        <v>90</v>
      </c>
      <c r="G20" s="56">
        <v>5.73</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c r="C23" s="3" t="str">
        <f>+IF(B23="","",INDEX(U_MAQUINARIA,MATCH(B23,LISTA_MAQUINARIA,0)))</f>
        <v/>
      </c>
      <c r="D23" s="30"/>
      <c r="E23" s="23" t="str">
        <f>+IF(B23="","",INDEX(V_MAQUINARIA,MATCH(B23,LISTA_MAQUINARIA,0)))</f>
        <v/>
      </c>
      <c r="F23" s="3">
        <f>$G$20</f>
        <v>5.73</v>
      </c>
      <c r="G23" s="26" t="str">
        <f>+IF(B23="","",(D23*E23)/F23)</f>
        <v/>
      </c>
      <c r="K23" s="9"/>
      <c r="L23" s="23" t="str">
        <f>IF(B23="","",INDEX(V_COMBUSTIBLE_H,MATCH(B23,LISTA_MAQUINARIA,0)))</f>
        <v/>
      </c>
      <c r="M23" s="23" t="str">
        <f>+IF(L23="","",(L23*D23)/F23)</f>
        <v/>
      </c>
      <c r="N23" s="23" t="str">
        <f>IF(G23="","",G23-M23)</f>
        <v/>
      </c>
      <c r="P23" s="11"/>
    </row>
    <row r="24" spans="2:16" x14ac:dyDescent="0.3">
      <c r="B24" s="27"/>
      <c r="C24" s="3" t="str">
        <f>+IF(B24="","",INDEX(U_MAQUINARIA,MATCH(B24,LISTA_MAQUINARIA,0)))</f>
        <v/>
      </c>
      <c r="D24" s="30"/>
      <c r="E24" s="23" t="str">
        <f>+IF(B24="","",INDEX(V_MAQUINARIA,MATCH(B24,LISTA_MAQUINARIA,0)))</f>
        <v/>
      </c>
      <c r="F24" s="3">
        <f>$G$20</f>
        <v>5.73</v>
      </c>
      <c r="G24" s="26" t="str">
        <f>+IF(B24="","",(D24*E24)/F24)</f>
        <v/>
      </c>
      <c r="K24" s="9"/>
      <c r="L24" s="3" t="str">
        <f>IF(B24="","",INDEX(V_COMBUSTIBLE_H,MATCH(B24,LISTA_MAQUINARIA,0)))</f>
        <v/>
      </c>
      <c r="M24" s="3" t="str">
        <f>+IF(L24="","",(L24*D24)/F24)</f>
        <v/>
      </c>
      <c r="N24" s="3" t="str">
        <f>IF(G24="","",G24-M24)</f>
        <v/>
      </c>
      <c r="P24" s="11"/>
    </row>
    <row r="25" spans="2:16" x14ac:dyDescent="0.3">
      <c r="B25" s="27"/>
      <c r="C25" s="3" t="str">
        <f>+IF(B25="","",INDEX(U_MAQUINARIA,MATCH(B25,LISTA_MAQUINARIA,0)))</f>
        <v/>
      </c>
      <c r="D25" s="30"/>
      <c r="E25" s="23" t="str">
        <f>+IF(B25="","",INDEX(V_MAQUINARIA,MATCH(B25,LISTA_MAQUINARIA,0)))</f>
        <v/>
      </c>
      <c r="F25" s="3">
        <f>$G$20</f>
        <v>5.73</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5.73</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5.73</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0</v>
      </c>
      <c r="K28" s="9"/>
      <c r="M28" s="24">
        <f>SUM(M23:M27)</f>
        <v>0</v>
      </c>
      <c r="N28" s="24">
        <f>SUM(N23:N27)</f>
        <v>0</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t="s">
        <v>361</v>
      </c>
      <c r="C31" s="3" t="str">
        <f t="shared" ref="C31:C38" si="0">+IF(B31="","",INDEX(U_MATERIAL,MATCH(B31,L_MATERIALES,0)))</f>
        <v>UND</v>
      </c>
      <c r="D31" s="30">
        <v>1</v>
      </c>
      <c r="E31" s="23">
        <f t="shared" ref="E31:E38" si="1">+IF(B31="","",INDEX(V_UNITARIOMATERIAL,MATCH(B31,L_MATERIALES,0)))</f>
        <v>340000</v>
      </c>
      <c r="F31" s="30">
        <v>100</v>
      </c>
      <c r="G31" s="26">
        <f>IF(D31="","",(E31*D31)/F31)</f>
        <v>3400</v>
      </c>
      <c r="K31" s="9"/>
      <c r="L31" t="str">
        <f>+IF(B31="","",B31)</f>
        <v>HERRAMIENTA MENOR---</v>
      </c>
      <c r="M31">
        <f t="shared" ref="M31:M38" si="2">IF(D31="","",(D31/F31)*INDEX(CANT_PROYECTO,MATCH($B$13,ITEM,0)))</f>
        <v>13.200000000000001</v>
      </c>
      <c r="N31" s="1"/>
      <c r="P31" s="11"/>
    </row>
    <row r="32" spans="2:16" x14ac:dyDescent="0.3">
      <c r="B32" s="27" t="s">
        <v>424</v>
      </c>
      <c r="C32" s="3" t="str">
        <f t="shared" si="0"/>
        <v>und</v>
      </c>
      <c r="D32" s="30">
        <v>1</v>
      </c>
      <c r="E32" s="23">
        <f t="shared" si="1"/>
        <v>34080</v>
      </c>
      <c r="F32" s="30">
        <v>1</v>
      </c>
      <c r="G32" s="26">
        <f t="shared" ref="G32:G38" si="3">IF(D32="","",(E32*D32)/F32)</f>
        <v>34080</v>
      </c>
      <c r="K32" s="9"/>
      <c r="L32" t="str">
        <f t="shared" ref="L32:L38" si="4">+IF(B32="","",B32)</f>
        <v>soldadura exotermica 250gr---</v>
      </c>
      <c r="M32">
        <f t="shared" si="2"/>
        <v>1320</v>
      </c>
      <c r="N32" s="1"/>
      <c r="P32" s="11"/>
    </row>
    <row r="33" spans="2:16" x14ac:dyDescent="0.3">
      <c r="B33" s="27" t="s">
        <v>425</v>
      </c>
      <c r="C33" s="3" t="str">
        <f t="shared" si="0"/>
        <v>und</v>
      </c>
      <c r="D33" s="30">
        <v>1</v>
      </c>
      <c r="E33" s="23">
        <f t="shared" si="1"/>
        <v>59800</v>
      </c>
      <c r="F33" s="30">
        <v>50</v>
      </c>
      <c r="G33" s="26">
        <f t="shared" si="3"/>
        <v>1196</v>
      </c>
      <c r="K33" s="9"/>
      <c r="L33" t="str">
        <f t="shared" si="4"/>
        <v>chispero---</v>
      </c>
      <c r="M33">
        <f t="shared" si="2"/>
        <v>26.400000000000002</v>
      </c>
      <c r="N33" s="1"/>
      <c r="P33" s="11"/>
    </row>
    <row r="34" spans="2:16" x14ac:dyDescent="0.3">
      <c r="B34" s="27" t="s">
        <v>426</v>
      </c>
      <c r="C34" s="3" t="str">
        <f t="shared" si="0"/>
        <v>und</v>
      </c>
      <c r="D34" s="30">
        <v>1</v>
      </c>
      <c r="E34" s="23">
        <f t="shared" si="1"/>
        <v>240360</v>
      </c>
      <c r="F34" s="30">
        <v>100</v>
      </c>
      <c r="G34" s="26">
        <f t="shared" si="3"/>
        <v>2403.6</v>
      </c>
      <c r="K34" s="9"/>
      <c r="L34" t="str">
        <f t="shared" si="4"/>
        <v>pinza universal---</v>
      </c>
      <c r="M34">
        <f t="shared" si="2"/>
        <v>13.200000000000001</v>
      </c>
      <c r="N34" s="1"/>
      <c r="P34" s="11"/>
    </row>
    <row r="35" spans="2:16" x14ac:dyDescent="0.3">
      <c r="B35" s="27" t="s">
        <v>427</v>
      </c>
      <c r="C35" s="3" t="str">
        <f t="shared" si="0"/>
        <v>und</v>
      </c>
      <c r="D35" s="30">
        <v>1</v>
      </c>
      <c r="E35" s="23">
        <f t="shared" si="1"/>
        <v>750076</v>
      </c>
      <c r="F35" s="30">
        <v>50</v>
      </c>
      <c r="G35" s="26">
        <f t="shared" si="3"/>
        <v>15001.52</v>
      </c>
      <c r="K35" s="9"/>
      <c r="L35" t="str">
        <f t="shared" si="4"/>
        <v>molde de soldadura---</v>
      </c>
      <c r="M35">
        <f t="shared" si="2"/>
        <v>26.400000000000002</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56081.119999999995</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t="s">
        <v>368</v>
      </c>
      <c r="C42" s="3" t="str">
        <f>+IF(B42="","",INDEX(U_MAQUINARIA,MATCH(B42,LISTA_MAQUINARIA,0)))</f>
        <v>VALOR / HORA</v>
      </c>
      <c r="D42" s="30">
        <v>1</v>
      </c>
      <c r="E42" s="23">
        <f>+IF(B42="","",INDEX(V_MAQUINARIA,MATCH(B42,LISTA_MAQUINARIA,0)))</f>
        <v>58531.818181818184</v>
      </c>
      <c r="F42" s="3">
        <f>$G$20</f>
        <v>5.73</v>
      </c>
      <c r="G42" s="26">
        <f>IF(D42="","",(E42*D42)/F42)</f>
        <v>10214.976995081706</v>
      </c>
      <c r="K42" s="9"/>
      <c r="L42" s="23">
        <f>IF(B42="","",INDEX(V_COMBUSTIBLE_H,MATCH(B42,LISTA_MAQUINARIA,0)))</f>
        <v>21600</v>
      </c>
      <c r="M42" s="23">
        <f>+IF(L42="","",(L42*D42)/F42)</f>
        <v>3769.633507853403</v>
      </c>
      <c r="N42" s="23">
        <f>IF(G42="","",G42-M42)</f>
        <v>6445.3434872283033</v>
      </c>
      <c r="P42" s="11"/>
    </row>
    <row r="43" spans="2:16" x14ac:dyDescent="0.3">
      <c r="B43" s="27"/>
      <c r="C43" s="3" t="str">
        <f>+IF(B43="","",INDEX(U_MAQUINARIA,MATCH(B43,LISTA_MAQUINARIA,0)))</f>
        <v/>
      </c>
      <c r="D43" s="30"/>
      <c r="E43" s="23" t="str">
        <f>+IF(B43="","",INDEX(V_MAQUINARIA,MATCH(B43,LISTA_MAQUINARIA,0)))</f>
        <v/>
      </c>
      <c r="F43" s="3">
        <f>+$G$20</f>
        <v>5.73</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5.73</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5.73</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5.73</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10214.976995081706</v>
      </c>
      <c r="K47" s="9"/>
      <c r="M47" s="24">
        <f>SUM(M42:M46)</f>
        <v>3769.633507853403</v>
      </c>
      <c r="N47" s="24">
        <f>SUM(N42:N46)</f>
        <v>6445.3434872283033</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t="s">
        <v>306</v>
      </c>
      <c r="C50" s="30">
        <v>1</v>
      </c>
      <c r="D50" s="22">
        <f>+IF(B50="","",INDEX(F_PRESTACIONAL,MATCH(B50,L_PERSONAL,)))</f>
        <v>2.3170181818181819</v>
      </c>
      <c r="E50" s="23">
        <f>+IF(B50="","",INDEX(V_H_MANODEOBRA,MATCH(B50,L_PERSONAL,0)))</f>
        <v>46340.36363636364</v>
      </c>
      <c r="F50" s="3">
        <f>+$G$20</f>
        <v>5.73</v>
      </c>
      <c r="G50" s="26">
        <f>+IF(C50="","",(E50*C50)/F50)</f>
        <v>8087.3234967475801</v>
      </c>
    </row>
    <row r="51" spans="2:7" x14ac:dyDescent="0.3">
      <c r="B51" s="27" t="s">
        <v>304</v>
      </c>
      <c r="C51" s="30">
        <v>4</v>
      </c>
      <c r="D51" s="22">
        <f>+IF(B51="","",INDEX(F_PRESTACIONAL,MATCH(B51,L_PERSONAL,)))</f>
        <v>1.6352</v>
      </c>
      <c r="E51" s="23">
        <f>+IF(B51="","",INDEX(V_H_MANODEOBRA,MATCH(B51,L_PERSONAL,0)))</f>
        <v>24658.815999999999</v>
      </c>
      <c r="F51" s="3">
        <f>+$G$20</f>
        <v>5.73</v>
      </c>
      <c r="G51" s="26">
        <f>+IF(C51="","",(E51*C51)/F51)</f>
        <v>17213.833158813261</v>
      </c>
    </row>
    <row r="52" spans="2:7" x14ac:dyDescent="0.3">
      <c r="B52" s="27"/>
      <c r="C52" s="30"/>
      <c r="D52" s="22" t="str">
        <f>+IF(B52="","",INDEX(F_PRESTACIONAL,MATCH(B52,L_PERSONAL,)))</f>
        <v/>
      </c>
      <c r="E52" s="23" t="str">
        <f>+IF(B52="","",INDEX(V_H_MANODEOBRA,MATCH(B52,L_PERSONAL,0)))</f>
        <v/>
      </c>
      <c r="F52" s="3">
        <f>+$G$20</f>
        <v>5.73</v>
      </c>
      <c r="G52" s="26" t="str">
        <f>+IF(C52="","",(E52*C52)/F52)</f>
        <v/>
      </c>
    </row>
    <row r="53" spans="2:7" x14ac:dyDescent="0.3">
      <c r="B53" s="27"/>
      <c r="C53" s="30"/>
      <c r="D53" s="22" t="str">
        <f>+IF(B53="","",INDEX(F_PRESTACIONAL,MATCH(B53,L_PERSONAL,)))</f>
        <v/>
      </c>
      <c r="E53" s="23" t="str">
        <f>+IF(B53="","",INDEX(V_H_MANODEOBRA,MATCH(B53,L_PERSONAL,0)))</f>
        <v/>
      </c>
      <c r="F53" s="3">
        <f>+$G$20</f>
        <v>5.73</v>
      </c>
      <c r="G53" s="26" t="str">
        <f>+IF(C53="","",(E53*C53)/F53)</f>
        <v/>
      </c>
    </row>
    <row r="54" spans="2:7" x14ac:dyDescent="0.3">
      <c r="B54" s="27"/>
      <c r="C54" s="30"/>
      <c r="D54" s="22" t="str">
        <f>+IF(B54="","",INDEX(F_PRESTACIONAL,MATCH(B54,L_PERSONAL,)))</f>
        <v/>
      </c>
      <c r="E54" s="23" t="str">
        <f>+IF(B54="","",INDEX(V_H_MANODEOBRA,MATCH(B54,L_PERSONAL,0)))</f>
        <v/>
      </c>
      <c r="F54" s="3">
        <f>+$G$20</f>
        <v>5.73</v>
      </c>
      <c r="G54" s="26" t="str">
        <f>+IF(C54="","",(E54*C54)/F54)</f>
        <v/>
      </c>
    </row>
    <row r="55" spans="2:7" x14ac:dyDescent="0.3">
      <c r="B55" s="9"/>
      <c r="G55" s="26">
        <f>SUM(G50:G54)</f>
        <v>25301.156655560841</v>
      </c>
    </row>
    <row r="56" spans="2:7" ht="17.25" thickBot="1" x14ac:dyDescent="0.35">
      <c r="B56" s="9"/>
      <c r="G56" s="11"/>
    </row>
    <row r="57" spans="2:7" ht="17.25" thickBot="1" x14ac:dyDescent="0.35">
      <c r="B57" s="610" t="s">
        <v>98</v>
      </c>
      <c r="C57" s="611"/>
      <c r="D57" s="611"/>
      <c r="E57" s="611"/>
      <c r="F57" s="612"/>
      <c r="G57" s="66">
        <f>+G55+G47+G39+G28</f>
        <v>91597.253650642539</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10991.670438077104</v>
      </c>
    </row>
    <row r="61" spans="2:7" x14ac:dyDescent="0.3">
      <c r="B61" s="613" t="s">
        <v>86</v>
      </c>
      <c r="C61" s="614"/>
      <c r="D61" s="614"/>
      <c r="E61" s="614"/>
      <c r="F61" s="22">
        <f>+IMPREVISTOS</f>
        <v>0.03</v>
      </c>
      <c r="G61" s="26">
        <f>+$G$57*F61</f>
        <v>2747.9176095192761</v>
      </c>
    </row>
    <row r="62" spans="2:7" x14ac:dyDescent="0.3">
      <c r="B62" s="613" t="s">
        <v>87</v>
      </c>
      <c r="C62" s="614"/>
      <c r="D62" s="614"/>
      <c r="E62" s="614"/>
      <c r="F62" s="22">
        <f>+UTILIDAD</f>
        <v>0.05</v>
      </c>
      <c r="G62" s="26">
        <f>+$G$57*F62</f>
        <v>4579.8626825321271</v>
      </c>
    </row>
    <row r="63" spans="2:7" x14ac:dyDescent="0.3">
      <c r="B63" s="596" t="s">
        <v>100</v>
      </c>
      <c r="C63" s="597"/>
      <c r="D63" s="597"/>
      <c r="E63" s="597"/>
      <c r="F63" s="597"/>
      <c r="G63" s="53">
        <f>SUM(G60:G62)</f>
        <v>18319.450730128508</v>
      </c>
    </row>
    <row r="64" spans="2:7" ht="17.25" thickBot="1" x14ac:dyDescent="0.35">
      <c r="B64" s="9"/>
      <c r="G64" s="44"/>
    </row>
    <row r="65" spans="2:7" ht="17.25" thickBot="1" x14ac:dyDescent="0.35">
      <c r="B65" s="598" t="s">
        <v>101</v>
      </c>
      <c r="C65" s="599"/>
      <c r="D65" s="599"/>
      <c r="E65" s="599"/>
      <c r="F65" s="600"/>
      <c r="G65" s="65">
        <f>+G63+G57</f>
        <v>109916.70438077104</v>
      </c>
    </row>
    <row r="66" spans="2:7" x14ac:dyDescent="0.3">
      <c r="B66" s="6"/>
      <c r="C66" s="7"/>
      <c r="D66" s="7"/>
      <c r="E66" s="7"/>
      <c r="F66" s="7"/>
      <c r="G66" s="8"/>
    </row>
    <row r="67" spans="2:7" x14ac:dyDescent="0.3">
      <c r="B67" s="9"/>
      <c r="G67" s="11"/>
    </row>
    <row r="68" spans="2:7" x14ac:dyDescent="0.3">
      <c r="B68" s="69" t="s">
        <v>123</v>
      </c>
      <c r="C68" s="67"/>
      <c r="D68" s="67"/>
      <c r="E68" s="67"/>
      <c r="F68" s="67"/>
      <c r="G68" s="70"/>
    </row>
    <row r="69" spans="2:7" x14ac:dyDescent="0.3">
      <c r="B69" s="71"/>
      <c r="C69" s="67"/>
      <c r="D69" s="67"/>
      <c r="E69" s="67"/>
      <c r="F69" s="67"/>
      <c r="G69" s="70"/>
    </row>
    <row r="70" spans="2:7" x14ac:dyDescent="0.3">
      <c r="B70" s="72"/>
      <c r="C70" s="68"/>
      <c r="D70" s="68"/>
      <c r="E70" s="68"/>
      <c r="F70" s="68"/>
      <c r="G70" s="73"/>
    </row>
    <row r="71" spans="2:7" x14ac:dyDescent="0.3">
      <c r="B71" s="71"/>
      <c r="C71" s="67"/>
      <c r="D71" s="67"/>
      <c r="E71" s="67"/>
      <c r="F71" s="67"/>
      <c r="G71" s="70"/>
    </row>
    <row r="72" spans="2:7" ht="17.25" thickBot="1" x14ac:dyDescent="0.35">
      <c r="B72" s="15"/>
      <c r="C72" s="13"/>
      <c r="D72" s="13"/>
      <c r="E72" s="13"/>
      <c r="F72" s="13"/>
      <c r="G72" s="14"/>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count="5">
    <dataValidation type="list" allowBlank="1" showInputMessage="1" showErrorMessage="1" sqref="E102" xr:uid="{0A143692-825D-419E-981F-93257D15C750}">
      <formula1>$A$103:$A$105</formula1>
    </dataValidation>
    <dataValidation type="list" allowBlank="1" showInputMessage="1" showErrorMessage="1" sqref="B13" xr:uid="{0DF66CA2-66D5-4CA0-8EE3-DB45715EF546}">
      <formula1>ITEM</formula1>
    </dataValidation>
    <dataValidation type="list" allowBlank="1" showInputMessage="1" showErrorMessage="1" sqref="B50:B54" xr:uid="{1FD70D99-CFA1-48CF-9818-90723F0A0AF0}">
      <formula1>L_PERSONAL</formula1>
    </dataValidation>
    <dataValidation type="list" allowBlank="1" showInputMessage="1" showErrorMessage="1" sqref="B31:B38" xr:uid="{51FA05DD-1249-4A30-8899-7D8AF51A4464}">
      <formula1>L_MATERIALES</formula1>
    </dataValidation>
    <dataValidation type="list" allowBlank="1" showInputMessage="1" showErrorMessage="1" sqref="B23:B27 B42:B46" xr:uid="{1254C47C-7A25-429F-8773-B83A48C031D4}">
      <formula1>LISTA_MAQUINARIA</formula1>
    </dataValidation>
  </dataValidations>
  <pageMargins left="1.6141732283464567" right="0.70866141732283472" top="0.74803149606299213" bottom="0.74803149606299213" header="0.31496062992125984" footer="0.31496062992125984"/>
  <pageSetup scale="50" orientation="portrait" r:id="rId1"/>
  <rowBreaks count="1" manualBreakCount="1">
    <brk id="78" max="16383" man="1"/>
  </rowBreaks>
  <colBreaks count="1" manualBreakCount="1">
    <brk id="7" max="1048575" man="1"/>
  </colBreaks>
  <drawing r:id="rId2"/>
  <tableParts count="1">
    <tablePart r:id="rId3"/>
  </tablePart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26129-C9D0-4447-8E29-CA6D1875D49E}">
  <sheetPr codeName="Hoja47"/>
  <dimension ref="A1:P105"/>
  <sheetViews>
    <sheetView showGridLines="0" view="pageBreakPreview" zoomScale="43" zoomScaleNormal="60" workbookViewId="0">
      <selection activeCell="B18" sqref="B18:E20"/>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36</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18">
        <f>+IF($B$13="","",INDEX(DESCRIP_ITEM,MATCH($B$13,ITEM,0)))</f>
        <v>0</v>
      </c>
      <c r="C16" s="619"/>
      <c r="D16" s="619"/>
      <c r="E16" s="619"/>
      <c r="F16" s="619"/>
      <c r="G16" s="620"/>
    </row>
    <row r="17" spans="2:16" ht="44.25" customHeight="1" thickBot="1" x14ac:dyDescent="0.35">
      <c r="B17" s="621"/>
      <c r="C17" s="622"/>
      <c r="D17" s="622"/>
      <c r="E17" s="622"/>
      <c r="F17" s="622"/>
      <c r="G17" s="623"/>
    </row>
    <row r="18" spans="2:16" ht="17.25" thickBot="1" x14ac:dyDescent="0.35">
      <c r="B18" s="591"/>
      <c r="C18" s="579"/>
      <c r="D18" s="579"/>
      <c r="E18" s="579"/>
      <c r="G18" s="11"/>
    </row>
    <row r="19" spans="2:16" ht="17.25" thickBot="1" x14ac:dyDescent="0.35">
      <c r="B19" s="592"/>
      <c r="C19" s="593"/>
      <c r="D19" s="593"/>
      <c r="E19" s="593"/>
      <c r="F19" s="54" t="s">
        <v>89</v>
      </c>
      <c r="G19" s="25" t="str">
        <f>+IF(B13="","",INDEX(U_ITEM,MATCH(B13,ITEM,0)))</f>
        <v>UN</v>
      </c>
    </row>
    <row r="20" spans="2:16" ht="17.25" thickBot="1" x14ac:dyDescent="0.35">
      <c r="B20" s="592"/>
      <c r="C20" s="593"/>
      <c r="D20" s="593"/>
      <c r="E20" s="593"/>
      <c r="F20" s="55" t="s">
        <v>90</v>
      </c>
      <c r="G20" s="56">
        <f>1800/8</f>
        <v>225</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c r="C23" s="3" t="str">
        <f>+IF(B23="","",INDEX(U_MAQUINARIA,MATCH(B23,LISTA_MAQUINARIA,0)))</f>
        <v/>
      </c>
      <c r="D23" s="30"/>
      <c r="E23" s="23" t="str">
        <f>+IF(B23="","",INDEX(V_MAQUINARIA,MATCH(B23,LISTA_MAQUINARIA,0)))</f>
        <v/>
      </c>
      <c r="F23" s="3">
        <f>$G$20</f>
        <v>225</v>
      </c>
      <c r="G23" s="26" t="str">
        <f>+IF(B23="","",(D23*E23)/F23)</f>
        <v/>
      </c>
      <c r="K23" s="9"/>
      <c r="L23" s="23" t="str">
        <f>IF(B23="","",INDEX(V_COMBUSTIBLE_H,MATCH(B23,LISTA_MAQUINARIA,0)))</f>
        <v/>
      </c>
      <c r="M23" s="23" t="str">
        <f>+IF(L23="","",(L23*D23)/F23)</f>
        <v/>
      </c>
      <c r="N23" s="23" t="str">
        <f>IF(G23="","",G23-M23)</f>
        <v/>
      </c>
      <c r="P23" s="11"/>
    </row>
    <row r="24" spans="2:16" x14ac:dyDescent="0.3">
      <c r="B24" s="27"/>
      <c r="C24" s="3" t="str">
        <f>+IF(B24="","",INDEX(U_MAQUINARIA,MATCH(B24,LISTA_MAQUINARIA,0)))</f>
        <v/>
      </c>
      <c r="D24" s="30"/>
      <c r="E24" s="23" t="str">
        <f>+IF(B24="","",INDEX(V_MAQUINARIA,MATCH(B24,LISTA_MAQUINARIA,0)))</f>
        <v/>
      </c>
      <c r="F24" s="3">
        <f>$G$20</f>
        <v>225</v>
      </c>
      <c r="G24" s="26" t="str">
        <f>+IF(B24="","",(D24*E24)/F24)</f>
        <v/>
      </c>
      <c r="K24" s="9"/>
      <c r="L24" s="3" t="str">
        <f>IF(B24="","",INDEX(V_COMBUSTIBLE_H,MATCH(B24,LISTA_MAQUINARIA,0)))</f>
        <v/>
      </c>
      <c r="M24" s="3" t="str">
        <f>+IF(L24="","",(L24*D24)/F24)</f>
        <v/>
      </c>
      <c r="N24" s="3" t="str">
        <f>IF(G24="","",G24-M24)</f>
        <v/>
      </c>
      <c r="P24" s="11"/>
    </row>
    <row r="25" spans="2:16" x14ac:dyDescent="0.3">
      <c r="B25" s="27"/>
      <c r="C25" s="3" t="str">
        <f>+IF(B25="","",INDEX(U_MAQUINARIA,MATCH(B25,LISTA_MAQUINARIA,0)))</f>
        <v/>
      </c>
      <c r="D25" s="30"/>
      <c r="E25" s="23" t="str">
        <f>+IF(B25="","",INDEX(V_MAQUINARIA,MATCH(B25,LISTA_MAQUINARIA,0)))</f>
        <v/>
      </c>
      <c r="F25" s="3">
        <f>$G$20</f>
        <v>225</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225</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225</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0</v>
      </c>
      <c r="K28" s="9"/>
      <c r="M28" s="24">
        <f>SUM(M23:M27)</f>
        <v>0</v>
      </c>
      <c r="N28" s="24">
        <f>SUM(N23:N27)</f>
        <v>0</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t="s">
        <v>429</v>
      </c>
      <c r="C31" s="3" t="str">
        <f t="shared" ref="C31:C38" si="0">+IF(B31="","",INDEX(U_MATERIAL,MATCH(B31,L_MATERIALES,0)))</f>
        <v>und</v>
      </c>
      <c r="D31" s="30">
        <v>1</v>
      </c>
      <c r="E31" s="23">
        <f t="shared" ref="E31:E38" si="1">+IF(B31="","",INDEX(V_UNITARIOMATERIAL,MATCH(B31,L_MATERIALES,0)))</f>
        <v>8900</v>
      </c>
      <c r="F31" s="30">
        <v>1</v>
      </c>
      <c r="G31" s="26">
        <f>IF(D31="","",(E31*D31)/F31)</f>
        <v>8900</v>
      </c>
      <c r="K31" s="9"/>
      <c r="L31" t="str">
        <f>+IF(B31="","",B31)</f>
        <v>Perno + arandela---</v>
      </c>
      <c r="M31">
        <f t="shared" ref="M31:M38" si="2">IF(D31="","",(D31/F31)*INDEX(CANT_PROYECTO,MATCH($B$13,ITEM,0)))</f>
        <v>0</v>
      </c>
      <c r="N31" s="1"/>
      <c r="P31" s="11"/>
    </row>
    <row r="32" spans="2:16" x14ac:dyDescent="0.3">
      <c r="B32" s="27" t="s">
        <v>361</v>
      </c>
      <c r="C32" s="3" t="str">
        <f t="shared" si="0"/>
        <v>UND</v>
      </c>
      <c r="D32" s="30">
        <v>1</v>
      </c>
      <c r="E32" s="23">
        <f t="shared" si="1"/>
        <v>340000</v>
      </c>
      <c r="F32" s="30">
        <v>250</v>
      </c>
      <c r="G32" s="26">
        <f t="shared" ref="G32:G38" si="3">IF(D32="","",(E32*D32)/F32)</f>
        <v>1360</v>
      </c>
      <c r="K32" s="9"/>
      <c r="L32" t="str">
        <f t="shared" ref="L32:L38" si="4">+IF(B32="","",B32)</f>
        <v>HERRAMIENTA MENOR---</v>
      </c>
      <c r="M32">
        <f t="shared" si="2"/>
        <v>0</v>
      </c>
      <c r="N32" s="1"/>
      <c r="P32" s="11"/>
    </row>
    <row r="33" spans="2:16" x14ac:dyDescent="0.3">
      <c r="B33" s="27"/>
      <c r="C33" s="3" t="str">
        <f t="shared" si="0"/>
        <v/>
      </c>
      <c r="D33" s="30"/>
      <c r="E33" s="23" t="str">
        <f t="shared" si="1"/>
        <v/>
      </c>
      <c r="F33" s="30"/>
      <c r="G33" s="26" t="str">
        <f t="shared" si="3"/>
        <v/>
      </c>
      <c r="K33" s="9"/>
      <c r="L33" t="str">
        <f t="shared" si="4"/>
        <v/>
      </c>
      <c r="M33" t="str">
        <f t="shared" si="2"/>
        <v/>
      </c>
      <c r="N33" s="1"/>
      <c r="P33" s="11"/>
    </row>
    <row r="34" spans="2:16" x14ac:dyDescent="0.3">
      <c r="B34" s="27"/>
      <c r="C34" s="3" t="str">
        <f t="shared" si="0"/>
        <v/>
      </c>
      <c r="D34" s="30"/>
      <c r="E34" s="23" t="str">
        <f t="shared" si="1"/>
        <v/>
      </c>
      <c r="F34" s="30"/>
      <c r="G34" s="26" t="str">
        <f t="shared" si="3"/>
        <v/>
      </c>
      <c r="K34" s="9"/>
      <c r="L34" t="str">
        <f t="shared" si="4"/>
        <v/>
      </c>
      <c r="M34" t="str">
        <f t="shared" si="2"/>
        <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10260</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c r="C42" s="3" t="str">
        <f>+IF(B42="","",INDEX(U_MAQUINARIA,MATCH(B42,LISTA_MAQUINARIA,0)))</f>
        <v/>
      </c>
      <c r="D42" s="30"/>
      <c r="E42" s="23" t="str">
        <f>+IF(B42="","",INDEX(V_MAQUINARIA,MATCH(B42,LISTA_MAQUINARIA,0)))</f>
        <v/>
      </c>
      <c r="F42" s="3">
        <f>$G$20</f>
        <v>225</v>
      </c>
      <c r="G42" s="26" t="str">
        <f>IF(D42="","",(E42*D42)/F42)</f>
        <v/>
      </c>
      <c r="K42" s="9"/>
      <c r="L42" s="23" t="str">
        <f>IF(B42="","",INDEX(V_COMBUSTIBLE_H,MATCH(B42,LISTA_MAQUINARIA,0)))</f>
        <v/>
      </c>
      <c r="M42" s="23" t="str">
        <f>+IF(L42="","",(L42*D42)/F42)</f>
        <v/>
      </c>
      <c r="N42" s="23" t="str">
        <f>IF(G42="","",G42-M42)</f>
        <v/>
      </c>
      <c r="P42" s="11"/>
    </row>
    <row r="43" spans="2:16" x14ac:dyDescent="0.3">
      <c r="B43" s="27"/>
      <c r="C43" s="3" t="str">
        <f>+IF(B43="","",INDEX(U_MAQUINARIA,MATCH(B43,LISTA_MAQUINARIA,0)))</f>
        <v/>
      </c>
      <c r="D43" s="30"/>
      <c r="E43" s="23" t="str">
        <f>+IF(B43="","",INDEX(V_MAQUINARIA,MATCH(B43,LISTA_MAQUINARIA,0)))</f>
        <v/>
      </c>
      <c r="F43" s="3">
        <f>+$G$20</f>
        <v>225</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225</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225</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225</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0</v>
      </c>
      <c r="K47" s="9"/>
      <c r="M47" s="24">
        <f>SUM(M42:M46)</f>
        <v>0</v>
      </c>
      <c r="N47" s="24">
        <f>SUM(N42:N46)</f>
        <v>0</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t="s">
        <v>304</v>
      </c>
      <c r="C50" s="30">
        <v>1</v>
      </c>
      <c r="D50" s="22">
        <f>+IF(B50="","",INDEX(F_PRESTACIONAL,MATCH(B50,L_PERSONAL,)))</f>
        <v>1.6352</v>
      </c>
      <c r="E50" s="23">
        <f>+IF(B50="","",INDEX(V_H_MANODEOBRA,MATCH(B50,L_PERSONAL,0)))</f>
        <v>24658.815999999999</v>
      </c>
      <c r="F50" s="3">
        <f>+$G$20</f>
        <v>225</v>
      </c>
      <c r="G50" s="26">
        <f>+IF(C50="","",(E50*C50)/F50)</f>
        <v>109.59473777777777</v>
      </c>
    </row>
    <row r="51" spans="2:7" x14ac:dyDescent="0.3">
      <c r="B51" s="27"/>
      <c r="C51" s="30"/>
      <c r="D51" s="22" t="str">
        <f>+IF(B51="","",INDEX(F_PRESTACIONAL,MATCH(B51,L_PERSONAL,)))</f>
        <v/>
      </c>
      <c r="E51" s="23" t="str">
        <f>+IF(B51="","",INDEX(V_H_MANODEOBRA,MATCH(B51,L_PERSONAL,0)))</f>
        <v/>
      </c>
      <c r="F51" s="3">
        <f>+$G$20</f>
        <v>225</v>
      </c>
      <c r="G51" s="26" t="str">
        <f>+IF(C51="","",(E51*C51)/F51)</f>
        <v/>
      </c>
    </row>
    <row r="52" spans="2:7" x14ac:dyDescent="0.3">
      <c r="B52" s="27"/>
      <c r="C52" s="30"/>
      <c r="D52" s="22" t="str">
        <f>+IF(B52="","",INDEX(F_PRESTACIONAL,MATCH(B52,L_PERSONAL,)))</f>
        <v/>
      </c>
      <c r="E52" s="23" t="str">
        <f>+IF(B52="","",INDEX(V_H_MANODEOBRA,MATCH(B52,L_PERSONAL,0)))</f>
        <v/>
      </c>
      <c r="F52" s="3">
        <f>+$G$20</f>
        <v>225</v>
      </c>
      <c r="G52" s="26" t="str">
        <f>+IF(C52="","",(E52*C52)/F52)</f>
        <v/>
      </c>
    </row>
    <row r="53" spans="2:7" x14ac:dyDescent="0.3">
      <c r="B53" s="27"/>
      <c r="C53" s="30"/>
      <c r="D53" s="22" t="str">
        <f>+IF(B53="","",INDEX(F_PRESTACIONAL,MATCH(B53,L_PERSONAL,)))</f>
        <v/>
      </c>
      <c r="E53" s="23" t="str">
        <f>+IF(B53="","",INDEX(V_H_MANODEOBRA,MATCH(B53,L_PERSONAL,0)))</f>
        <v/>
      </c>
      <c r="F53" s="3">
        <f>+$G$20</f>
        <v>225</v>
      </c>
      <c r="G53" s="26" t="str">
        <f>+IF(C53="","",(E53*C53)/F53)</f>
        <v/>
      </c>
    </row>
    <row r="54" spans="2:7" x14ac:dyDescent="0.3">
      <c r="B54" s="27"/>
      <c r="C54" s="30"/>
      <c r="D54" s="22" t="str">
        <f>+IF(B54="","",INDEX(F_PRESTACIONAL,MATCH(B54,L_PERSONAL,)))</f>
        <v/>
      </c>
      <c r="E54" s="23" t="str">
        <f>+IF(B54="","",INDEX(V_H_MANODEOBRA,MATCH(B54,L_PERSONAL,0)))</f>
        <v/>
      </c>
      <c r="F54" s="3">
        <f>+$G$20</f>
        <v>225</v>
      </c>
      <c r="G54" s="26" t="str">
        <f>+IF(C54="","",(E54*C54)/F54)</f>
        <v/>
      </c>
    </row>
    <row r="55" spans="2:7" x14ac:dyDescent="0.3">
      <c r="B55" s="9"/>
      <c r="G55" s="26">
        <f>SUM(G50:G54)</f>
        <v>109.59473777777777</v>
      </c>
    </row>
    <row r="56" spans="2:7" ht="17.25" thickBot="1" x14ac:dyDescent="0.35">
      <c r="B56" s="9"/>
      <c r="G56" s="11"/>
    </row>
    <row r="57" spans="2:7" ht="17.25" thickBot="1" x14ac:dyDescent="0.35">
      <c r="B57" s="610" t="s">
        <v>98</v>
      </c>
      <c r="C57" s="611"/>
      <c r="D57" s="611"/>
      <c r="E57" s="611"/>
      <c r="F57" s="612"/>
      <c r="G57" s="66">
        <f>+G55+G47+G39+G28</f>
        <v>10369.594737777777</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1244.3513685333332</v>
      </c>
    </row>
    <row r="61" spans="2:7" x14ac:dyDescent="0.3">
      <c r="B61" s="613" t="s">
        <v>86</v>
      </c>
      <c r="C61" s="614"/>
      <c r="D61" s="614"/>
      <c r="E61" s="614"/>
      <c r="F61" s="22">
        <f>+IMPREVISTOS</f>
        <v>0.03</v>
      </c>
      <c r="G61" s="26">
        <f>+$G$57*F61</f>
        <v>311.08784213333331</v>
      </c>
    </row>
    <row r="62" spans="2:7" x14ac:dyDescent="0.3">
      <c r="B62" s="613" t="s">
        <v>87</v>
      </c>
      <c r="C62" s="614"/>
      <c r="D62" s="614"/>
      <c r="E62" s="614"/>
      <c r="F62" s="22">
        <f>+UTILIDAD</f>
        <v>0.05</v>
      </c>
      <c r="G62" s="26">
        <f>+$G$57*F62</f>
        <v>518.47973688888885</v>
      </c>
    </row>
    <row r="63" spans="2:7" x14ac:dyDescent="0.3">
      <c r="B63" s="596" t="s">
        <v>100</v>
      </c>
      <c r="C63" s="597"/>
      <c r="D63" s="597"/>
      <c r="E63" s="597"/>
      <c r="F63" s="597"/>
      <c r="G63" s="53">
        <f>SUM(G60:G62)</f>
        <v>2073.9189475555554</v>
      </c>
    </row>
    <row r="64" spans="2:7" ht="17.25" thickBot="1" x14ac:dyDescent="0.35">
      <c r="B64" s="9"/>
      <c r="G64" s="44"/>
    </row>
    <row r="65" spans="2:7" ht="17.25" thickBot="1" x14ac:dyDescent="0.35">
      <c r="B65" s="598" t="s">
        <v>101</v>
      </c>
      <c r="C65" s="599"/>
      <c r="D65" s="599"/>
      <c r="E65" s="599"/>
      <c r="F65" s="600"/>
      <c r="G65" s="65">
        <f>+G63+G57</f>
        <v>12443.513685333333</v>
      </c>
    </row>
    <row r="66" spans="2:7" x14ac:dyDescent="0.3">
      <c r="B66" s="6"/>
      <c r="C66" s="7"/>
      <c r="D66" s="7"/>
      <c r="E66" s="7"/>
      <c r="F66" s="7"/>
      <c r="G66" s="8"/>
    </row>
    <row r="67" spans="2:7" x14ac:dyDescent="0.3">
      <c r="B67" s="9"/>
      <c r="G67" s="11"/>
    </row>
    <row r="68" spans="2:7" x14ac:dyDescent="0.3">
      <c r="B68" s="69" t="s">
        <v>123</v>
      </c>
      <c r="C68" s="67"/>
      <c r="D68" s="67"/>
      <c r="E68" s="67"/>
      <c r="F68" s="67"/>
      <c r="G68" s="70"/>
    </row>
    <row r="69" spans="2:7" x14ac:dyDescent="0.3">
      <c r="B69" s="71"/>
      <c r="C69" s="67"/>
      <c r="D69" s="67"/>
      <c r="E69" s="67"/>
      <c r="F69" s="67"/>
      <c r="G69" s="70"/>
    </row>
    <row r="70" spans="2:7" x14ac:dyDescent="0.3">
      <c r="B70" s="72"/>
      <c r="C70" s="68"/>
      <c r="D70" s="68"/>
      <c r="E70" s="68"/>
      <c r="F70" s="68"/>
      <c r="G70" s="73"/>
    </row>
    <row r="71" spans="2:7" x14ac:dyDescent="0.3">
      <c r="B71" s="71"/>
      <c r="C71" s="67"/>
      <c r="D71" s="67"/>
      <c r="E71" s="67"/>
      <c r="F71" s="67"/>
      <c r="G71" s="70"/>
    </row>
    <row r="72" spans="2:7" ht="17.25" thickBot="1" x14ac:dyDescent="0.35">
      <c r="B72" s="15"/>
      <c r="C72" s="13"/>
      <c r="D72" s="13"/>
      <c r="E72" s="13"/>
      <c r="F72" s="13"/>
      <c r="G72" s="14"/>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count="5">
    <dataValidation type="list" allowBlank="1" showInputMessage="1" showErrorMessage="1" sqref="E102" xr:uid="{7AD9AC3C-A4D0-45B8-B031-5DC6F9A710B6}">
      <formula1>$A$103:$A$105</formula1>
    </dataValidation>
    <dataValidation type="list" allowBlank="1" showInputMessage="1" showErrorMessage="1" sqref="B13" xr:uid="{243BAD76-007D-4892-BCBC-12B93152B1B0}">
      <formula1>ITEM</formula1>
    </dataValidation>
    <dataValidation type="list" allowBlank="1" showInputMessage="1" showErrorMessage="1" sqref="B50:B54" xr:uid="{A7ED8414-5495-4981-A22A-B86A83C93139}">
      <formula1>L_PERSONAL</formula1>
    </dataValidation>
    <dataValidation type="list" allowBlank="1" showInputMessage="1" showErrorMessage="1" sqref="B31:B38" xr:uid="{60242F34-425D-4B6F-BF5E-063CC78FA917}">
      <formula1>L_MATERIALES</formula1>
    </dataValidation>
    <dataValidation type="list" allowBlank="1" showInputMessage="1" showErrorMessage="1" sqref="B23:B27 B42:B46" xr:uid="{2DB74BC2-FCDE-4210-9022-3A082401A4E7}">
      <formula1>LISTA_MAQUINARIA</formula1>
    </dataValidation>
  </dataValidations>
  <pageMargins left="0.70866141732283472" right="0.70866141732283472" top="0.74803149606299213" bottom="0.74803149606299213" header="0.31496062992125984" footer="0.31496062992125984"/>
  <pageSetup scale="45" orientation="portrait" r:id="rId1"/>
  <rowBreaks count="1" manualBreakCount="1">
    <brk id="78" max="16383" man="1"/>
  </rowBreaks>
  <colBreaks count="1" manualBreakCount="1">
    <brk id="7" max="1048575" man="1"/>
  </colBreaks>
  <drawing r:id="rId2"/>
  <tableParts count="1">
    <tablePart r:id="rId3"/>
  </tablePart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330D4-9E51-4C98-8172-E522BD8D30D1}">
  <sheetPr codeName="Hoja48"/>
  <dimension ref="A1:P105"/>
  <sheetViews>
    <sheetView showGridLines="0" view="pageBreakPreview" topLeftCell="A46" zoomScale="60" zoomScaleNormal="60" workbookViewId="0">
      <selection activeCell="C29" sqref="C29"/>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37</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18">
        <f>+IF($B$13="","",INDEX(DESCRIP_ITEM,MATCH($B$13,ITEM,0)))</f>
        <v>0</v>
      </c>
      <c r="C16" s="619"/>
      <c r="D16" s="619"/>
      <c r="E16" s="619"/>
      <c r="F16" s="619"/>
      <c r="G16" s="620"/>
    </row>
    <row r="17" spans="2:16" ht="44.25" customHeight="1" thickBot="1" x14ac:dyDescent="0.35">
      <c r="B17" s="621"/>
      <c r="C17" s="622"/>
      <c r="D17" s="622"/>
      <c r="E17" s="622"/>
      <c r="F17" s="622"/>
      <c r="G17" s="623"/>
    </row>
    <row r="18" spans="2:16" ht="17.25" thickBot="1" x14ac:dyDescent="0.35">
      <c r="B18" s="591"/>
      <c r="C18" s="579"/>
      <c r="D18" s="579"/>
      <c r="E18" s="579"/>
      <c r="G18" s="11"/>
    </row>
    <row r="19" spans="2:16" ht="17.25" thickBot="1" x14ac:dyDescent="0.35">
      <c r="B19" s="592"/>
      <c r="C19" s="593"/>
      <c r="D19" s="593"/>
      <c r="E19" s="593"/>
      <c r="F19" s="54" t="s">
        <v>89</v>
      </c>
      <c r="G19" s="25" t="str">
        <f>+IF(B13="","",INDEX(U_ITEM,MATCH(B13,ITEM,0)))</f>
        <v>UN</v>
      </c>
    </row>
    <row r="20" spans="2:16" ht="17.25" thickBot="1" x14ac:dyDescent="0.35">
      <c r="B20" s="592"/>
      <c r="C20" s="593"/>
      <c r="D20" s="593"/>
      <c r="E20" s="593"/>
      <c r="F20" s="55" t="s">
        <v>90</v>
      </c>
      <c r="G20" s="56">
        <v>7</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c r="C23" s="3" t="str">
        <f>+IF(B23="","",INDEX(U_MAQUINARIA,MATCH(B23,LISTA_MAQUINARIA,0)))</f>
        <v/>
      </c>
      <c r="D23" s="30"/>
      <c r="E23" s="23" t="str">
        <f>+IF(B23="","",INDEX(V_MAQUINARIA,MATCH(B23,LISTA_MAQUINARIA,0)))</f>
        <v/>
      </c>
      <c r="F23" s="3">
        <f>G20</f>
        <v>7</v>
      </c>
      <c r="G23" s="26" t="str">
        <f>+IF(B23="","",(D23*E23)/F23)</f>
        <v/>
      </c>
      <c r="K23" s="9"/>
      <c r="L23" s="23" t="str">
        <f>IF(B23="","",INDEX(V_COMBUSTIBLE_H,MATCH(B23,LISTA_MAQUINARIA,0)))</f>
        <v/>
      </c>
      <c r="M23" s="23" t="str">
        <f>+IF(L23="","",(L23*D23)/F23)</f>
        <v/>
      </c>
      <c r="N23" s="23" t="str">
        <f>IF(G23="","",G23-M23)</f>
        <v/>
      </c>
      <c r="P23" s="11"/>
    </row>
    <row r="24" spans="2:16" x14ac:dyDescent="0.3">
      <c r="B24" s="27"/>
      <c r="C24" s="3" t="str">
        <f>+IF(B24="","",INDEX(U_MAQUINARIA,MATCH(B24,LISTA_MAQUINARIA,0)))</f>
        <v/>
      </c>
      <c r="D24" s="30"/>
      <c r="E24" s="23" t="str">
        <f>+IF(B24="","",INDEX(V_MAQUINARIA,MATCH(B24,LISTA_MAQUINARIA,0)))</f>
        <v/>
      </c>
      <c r="F24" s="3">
        <f>$G$20</f>
        <v>7</v>
      </c>
      <c r="G24" s="26" t="str">
        <f>+IF(B24="","",(D24*E24)/F24)</f>
        <v/>
      </c>
      <c r="K24" s="9"/>
      <c r="L24" s="3" t="str">
        <f>IF(B24="","",INDEX(V_COMBUSTIBLE_H,MATCH(B24,LISTA_MAQUINARIA,0)))</f>
        <v/>
      </c>
      <c r="M24" s="3" t="str">
        <f>+IF(L24="","",(L24*D24)/F24)</f>
        <v/>
      </c>
      <c r="N24" s="3" t="str">
        <f>IF(G24="","",G24-M24)</f>
        <v/>
      </c>
      <c r="P24" s="11"/>
    </row>
    <row r="25" spans="2:16" x14ac:dyDescent="0.3">
      <c r="B25" s="27"/>
      <c r="C25" s="3" t="str">
        <f>+IF(B25="","",INDEX(U_MAQUINARIA,MATCH(B25,LISTA_MAQUINARIA,0)))</f>
        <v/>
      </c>
      <c r="D25" s="30"/>
      <c r="E25" s="23" t="str">
        <f>+IF(B25="","",INDEX(V_MAQUINARIA,MATCH(B25,LISTA_MAQUINARIA,0)))</f>
        <v/>
      </c>
      <c r="F25" s="3">
        <f>$G$20</f>
        <v>7</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7</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7</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0</v>
      </c>
      <c r="K28" s="9"/>
      <c r="M28" s="24">
        <f>SUM(M23:M27)</f>
        <v>0</v>
      </c>
      <c r="N28" s="24">
        <f>SUM(N23:N27)</f>
        <v>0</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t="s">
        <v>361</v>
      </c>
      <c r="C31" s="3" t="str">
        <f t="shared" ref="C31:C38" si="0">+IF(B31="","",INDEX(U_MATERIAL,MATCH(B31,L_MATERIALES,0)))</f>
        <v>UND</v>
      </c>
      <c r="D31" s="30">
        <v>1</v>
      </c>
      <c r="E31" s="23">
        <f t="shared" ref="E31:E38" si="1">+IF(B31="","",INDEX(V_UNITARIOMATERIAL,MATCH(B31,L_MATERIALES,0)))</f>
        <v>340000</v>
      </c>
      <c r="F31" s="30">
        <v>100</v>
      </c>
      <c r="G31" s="26">
        <f>IF(D31="","",(E31*D31)/F31)</f>
        <v>3400</v>
      </c>
      <c r="K31" s="9"/>
      <c r="L31" t="str">
        <f>+IF(B31="","",B31)</f>
        <v>HERRAMIENTA MENOR---</v>
      </c>
      <c r="M31">
        <f t="shared" ref="M31:M38" si="2">IF(D31="","",(D31/F31)*INDEX(CANT_PROYECTO,MATCH($B$13,ITEM,0)))</f>
        <v>0</v>
      </c>
      <c r="N31" s="1"/>
      <c r="P31" s="11"/>
    </row>
    <row r="32" spans="2:16" x14ac:dyDescent="0.3">
      <c r="B32" s="27"/>
      <c r="C32" s="3" t="str">
        <f t="shared" si="0"/>
        <v/>
      </c>
      <c r="D32" s="30"/>
      <c r="E32" s="23" t="str">
        <f t="shared" si="1"/>
        <v/>
      </c>
      <c r="F32" s="30"/>
      <c r="G32" s="26" t="str">
        <f t="shared" ref="G32:G38" si="3">IF(D32="","",(E32*D32)/F32)</f>
        <v/>
      </c>
      <c r="K32" s="9"/>
      <c r="L32" t="str">
        <f t="shared" ref="L32:L38" si="4">+IF(B32="","",B32)</f>
        <v/>
      </c>
      <c r="M32" t="str">
        <f t="shared" si="2"/>
        <v/>
      </c>
      <c r="N32" s="1"/>
      <c r="P32" s="11"/>
    </row>
    <row r="33" spans="2:16" x14ac:dyDescent="0.3">
      <c r="B33" s="27"/>
      <c r="C33" s="3" t="str">
        <f t="shared" si="0"/>
        <v/>
      </c>
      <c r="D33" s="30"/>
      <c r="E33" s="23" t="str">
        <f t="shared" si="1"/>
        <v/>
      </c>
      <c r="F33" s="30"/>
      <c r="G33" s="26" t="str">
        <f t="shared" si="3"/>
        <v/>
      </c>
      <c r="K33" s="9"/>
      <c r="L33" t="str">
        <f t="shared" si="4"/>
        <v/>
      </c>
      <c r="M33" t="str">
        <f t="shared" si="2"/>
        <v/>
      </c>
      <c r="N33" s="1"/>
      <c r="P33" s="11"/>
    </row>
    <row r="34" spans="2:16" x14ac:dyDescent="0.3">
      <c r="B34" s="27"/>
      <c r="C34" s="3" t="str">
        <f t="shared" si="0"/>
        <v/>
      </c>
      <c r="D34" s="30"/>
      <c r="E34" s="23" t="str">
        <f t="shared" si="1"/>
        <v/>
      </c>
      <c r="F34" s="30"/>
      <c r="G34" s="26" t="str">
        <f t="shared" si="3"/>
        <v/>
      </c>
      <c r="K34" s="9"/>
      <c r="L34" t="str">
        <f t="shared" si="4"/>
        <v/>
      </c>
      <c r="M34" t="str">
        <f t="shared" si="2"/>
        <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3400</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c r="C42" s="3" t="str">
        <f>+IF(B42="","",INDEX(U_MAQUINARIA,MATCH(B42,LISTA_MAQUINARIA,0)))</f>
        <v/>
      </c>
      <c r="D42" s="30"/>
      <c r="E42" s="23" t="str">
        <f>+IF(B42="","",INDEX(V_MAQUINARIA,MATCH(B42,LISTA_MAQUINARIA,0)))</f>
        <v/>
      </c>
      <c r="F42" s="3">
        <f>$G$20</f>
        <v>7</v>
      </c>
      <c r="G42" s="26" t="str">
        <f>IF(D42="","",(E42*D42)/F42)</f>
        <v/>
      </c>
      <c r="K42" s="9"/>
      <c r="L42" s="23" t="str">
        <f>IF(B42="","",INDEX(V_COMBUSTIBLE_H,MATCH(B42,LISTA_MAQUINARIA,0)))</f>
        <v/>
      </c>
      <c r="M42" s="23" t="str">
        <f>+IF(L42="","",(L42*D42)/F42)</f>
        <v/>
      </c>
      <c r="N42" s="23" t="str">
        <f>IF(G42="","",G42-M42)</f>
        <v/>
      </c>
      <c r="P42" s="11"/>
    </row>
    <row r="43" spans="2:16" x14ac:dyDescent="0.3">
      <c r="B43" s="27"/>
      <c r="C43" s="3" t="str">
        <f>+IF(B43="","",INDEX(U_MAQUINARIA,MATCH(B43,LISTA_MAQUINARIA,0)))</f>
        <v/>
      </c>
      <c r="D43" s="30"/>
      <c r="E43" s="23" t="str">
        <f>+IF(B43="","",INDEX(V_MAQUINARIA,MATCH(B43,LISTA_MAQUINARIA,0)))</f>
        <v/>
      </c>
      <c r="F43" s="3">
        <f>+$G$20</f>
        <v>7</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7</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7</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7</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0</v>
      </c>
      <c r="K47" s="9"/>
      <c r="M47" s="24">
        <f>SUM(M42:M46)</f>
        <v>0</v>
      </c>
      <c r="N47" s="24">
        <f>SUM(N42:N46)</f>
        <v>0</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t="s">
        <v>306</v>
      </c>
      <c r="C50" s="30">
        <v>1</v>
      </c>
      <c r="D50" s="22">
        <f>+IF(B50="","",INDEX(F_PRESTACIONAL,MATCH(B50,L_PERSONAL,)))</f>
        <v>2.3170181818181819</v>
      </c>
      <c r="E50" s="23">
        <f>+IF(B50="","",INDEX(V_H_MANODEOBRA,MATCH(B50,L_PERSONAL,0)))</f>
        <v>46340.36363636364</v>
      </c>
      <c r="F50" s="3">
        <f>+$G$20</f>
        <v>7</v>
      </c>
      <c r="G50" s="26">
        <f>+IF(C50="","",(E50*C50)/F50)</f>
        <v>6620.0519480519488</v>
      </c>
    </row>
    <row r="51" spans="2:7" x14ac:dyDescent="0.3">
      <c r="B51" s="27" t="s">
        <v>304</v>
      </c>
      <c r="C51" s="30">
        <v>4</v>
      </c>
      <c r="D51" s="22">
        <f>+IF(B51="","",INDEX(F_PRESTACIONAL,MATCH(B51,L_PERSONAL,)))</f>
        <v>1.6352</v>
      </c>
      <c r="E51" s="23">
        <f>+IF(B51="","",INDEX(V_H_MANODEOBRA,MATCH(B51,L_PERSONAL,0)))</f>
        <v>24658.815999999999</v>
      </c>
      <c r="F51" s="3">
        <f>+$G$20</f>
        <v>7</v>
      </c>
      <c r="G51" s="26">
        <f>+IF(C51="","",(E51*C51)/F51)</f>
        <v>14090.751999999999</v>
      </c>
    </row>
    <row r="52" spans="2:7" x14ac:dyDescent="0.3">
      <c r="B52" s="27"/>
      <c r="C52" s="30"/>
      <c r="D52" s="22" t="str">
        <f>+IF(B52="","",INDEX(F_PRESTACIONAL,MATCH(B52,L_PERSONAL,)))</f>
        <v/>
      </c>
      <c r="E52" s="23" t="str">
        <f>+IF(B52="","",INDEX(V_H_MANODEOBRA,MATCH(B52,L_PERSONAL,0)))</f>
        <v/>
      </c>
      <c r="F52" s="3">
        <f>+$G$20</f>
        <v>7</v>
      </c>
      <c r="G52" s="26" t="str">
        <f>+IF(C52="","",(E52*C52)/F52)</f>
        <v/>
      </c>
    </row>
    <row r="53" spans="2:7" x14ac:dyDescent="0.3">
      <c r="B53" s="27"/>
      <c r="C53" s="30"/>
      <c r="D53" s="22" t="str">
        <f>+IF(B53="","",INDEX(F_PRESTACIONAL,MATCH(B53,L_PERSONAL,)))</f>
        <v/>
      </c>
      <c r="E53" s="23" t="str">
        <f>+IF(B53="","",INDEX(V_H_MANODEOBRA,MATCH(B53,L_PERSONAL,0)))</f>
        <v/>
      </c>
      <c r="F53" s="3">
        <f>+$G$20</f>
        <v>7</v>
      </c>
      <c r="G53" s="26" t="str">
        <f>+IF(C53="","",(E53*C53)/F53)</f>
        <v/>
      </c>
    </row>
    <row r="54" spans="2:7" x14ac:dyDescent="0.3">
      <c r="B54" s="27"/>
      <c r="C54" s="30"/>
      <c r="D54" s="22" t="str">
        <f>+IF(B54="","",INDEX(F_PRESTACIONAL,MATCH(B54,L_PERSONAL,)))</f>
        <v/>
      </c>
      <c r="E54" s="23" t="str">
        <f>+IF(B54="","",INDEX(V_H_MANODEOBRA,MATCH(B54,L_PERSONAL,0)))</f>
        <v/>
      </c>
      <c r="F54" s="3">
        <f>+$G$20</f>
        <v>7</v>
      </c>
      <c r="G54" s="26" t="str">
        <f>+IF(C54="","",(E54*C54)/F54)</f>
        <v/>
      </c>
    </row>
    <row r="55" spans="2:7" x14ac:dyDescent="0.3">
      <c r="B55" s="9"/>
      <c r="G55" s="26">
        <f>SUM(G50:G54)</f>
        <v>20710.803948051947</v>
      </c>
    </row>
    <row r="56" spans="2:7" ht="17.25" thickBot="1" x14ac:dyDescent="0.35">
      <c r="B56" s="9"/>
      <c r="G56" s="11"/>
    </row>
    <row r="57" spans="2:7" ht="17.25" thickBot="1" x14ac:dyDescent="0.35">
      <c r="B57" s="610" t="s">
        <v>98</v>
      </c>
      <c r="C57" s="611"/>
      <c r="D57" s="611"/>
      <c r="E57" s="611"/>
      <c r="F57" s="612"/>
      <c r="G57" s="66">
        <f>+G55+G47+G39+G28</f>
        <v>24110.803948051947</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2893.2964737662337</v>
      </c>
    </row>
    <row r="61" spans="2:7" x14ac:dyDescent="0.3">
      <c r="B61" s="613" t="s">
        <v>86</v>
      </c>
      <c r="C61" s="614"/>
      <c r="D61" s="614"/>
      <c r="E61" s="614"/>
      <c r="F61" s="22">
        <f>+IMPREVISTOS</f>
        <v>0.03</v>
      </c>
      <c r="G61" s="26">
        <f>+$G$57*F61</f>
        <v>723.32411844155843</v>
      </c>
    </row>
    <row r="62" spans="2:7" x14ac:dyDescent="0.3">
      <c r="B62" s="613" t="s">
        <v>87</v>
      </c>
      <c r="C62" s="614"/>
      <c r="D62" s="614"/>
      <c r="E62" s="614"/>
      <c r="F62" s="22">
        <f>+UTILIDAD</f>
        <v>0.05</v>
      </c>
      <c r="G62" s="26">
        <f>+$G$57*F62</f>
        <v>1205.5401974025974</v>
      </c>
    </row>
    <row r="63" spans="2:7" x14ac:dyDescent="0.3">
      <c r="B63" s="596" t="s">
        <v>100</v>
      </c>
      <c r="C63" s="597"/>
      <c r="D63" s="597"/>
      <c r="E63" s="597"/>
      <c r="F63" s="597"/>
      <c r="G63" s="53">
        <f>SUM(G60:G62)</f>
        <v>4822.1607896103897</v>
      </c>
    </row>
    <row r="64" spans="2:7" ht="17.25" thickBot="1" x14ac:dyDescent="0.35">
      <c r="B64" s="9"/>
      <c r="G64" s="44"/>
    </row>
    <row r="65" spans="2:7" ht="17.25" thickBot="1" x14ac:dyDescent="0.35">
      <c r="B65" s="598" t="s">
        <v>101</v>
      </c>
      <c r="C65" s="599"/>
      <c r="D65" s="599"/>
      <c r="E65" s="599"/>
      <c r="F65" s="600"/>
      <c r="G65" s="65">
        <f>+G63+G57</f>
        <v>28932.964737662336</v>
      </c>
    </row>
    <row r="66" spans="2:7" x14ac:dyDescent="0.3">
      <c r="B66" s="6"/>
      <c r="C66" s="7"/>
      <c r="D66" s="7"/>
      <c r="E66" s="7"/>
      <c r="F66" s="7"/>
      <c r="G66" s="8"/>
    </row>
    <row r="67" spans="2:7" x14ac:dyDescent="0.3">
      <c r="B67" s="9"/>
      <c r="G67" s="11"/>
    </row>
    <row r="68" spans="2:7" x14ac:dyDescent="0.3">
      <c r="B68" s="69" t="s">
        <v>123</v>
      </c>
      <c r="C68" s="67"/>
      <c r="D68" s="67"/>
      <c r="E68" s="67"/>
      <c r="F68" s="67"/>
      <c r="G68" s="70"/>
    </row>
    <row r="69" spans="2:7" x14ac:dyDescent="0.3">
      <c r="B69" s="71"/>
      <c r="C69" s="67"/>
      <c r="D69" s="67"/>
      <c r="E69" s="67"/>
      <c r="F69" s="67"/>
      <c r="G69" s="70"/>
    </row>
    <row r="70" spans="2:7" x14ac:dyDescent="0.3">
      <c r="B70" s="72"/>
      <c r="C70" s="68"/>
      <c r="D70" s="68"/>
      <c r="E70" s="68"/>
      <c r="F70" s="68"/>
      <c r="G70" s="73"/>
    </row>
    <row r="71" spans="2:7" x14ac:dyDescent="0.3">
      <c r="B71" s="71"/>
      <c r="C71" s="67"/>
      <c r="D71" s="67"/>
      <c r="E71" s="67"/>
      <c r="F71" s="67"/>
      <c r="G71" s="70"/>
    </row>
    <row r="72" spans="2:7" ht="17.25" thickBot="1" x14ac:dyDescent="0.35">
      <c r="B72" s="15"/>
      <c r="C72" s="13"/>
      <c r="D72" s="13"/>
      <c r="E72" s="13"/>
      <c r="F72" s="13"/>
      <c r="G72" s="14"/>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count="5">
    <dataValidation type="list" allowBlank="1" showInputMessage="1" showErrorMessage="1" sqref="E102" xr:uid="{CA19BAB3-E7CE-4ADC-9EE3-A31D064FA344}">
      <formula1>$A$103:$A$105</formula1>
    </dataValidation>
    <dataValidation type="list" allowBlank="1" showInputMessage="1" showErrorMessage="1" sqref="B13" xr:uid="{017E408A-287C-4B26-ACE8-A38910C37F60}">
      <formula1>ITEM</formula1>
    </dataValidation>
    <dataValidation type="list" allowBlank="1" showInputMessage="1" showErrorMessage="1" sqref="B50:B54" xr:uid="{AA3469C8-D6EE-45FB-A786-C7B7DAD30551}">
      <formula1>L_PERSONAL</formula1>
    </dataValidation>
    <dataValidation type="list" allowBlank="1" showInputMessage="1" showErrorMessage="1" sqref="B31:B38" xr:uid="{AF92F88F-F509-45E0-84AD-A806BC6787BE}">
      <formula1>L_MATERIALES</formula1>
    </dataValidation>
    <dataValidation type="list" allowBlank="1" showInputMessage="1" showErrorMessage="1" sqref="B23:B27 B42:B46" xr:uid="{E5C1A293-744C-4614-A25D-D55F0CA21176}">
      <formula1>LISTA_MAQUINARIA</formula1>
    </dataValidation>
  </dataValidations>
  <pageMargins left="0.70866141732283472" right="0.70866141732283472" top="0.74803149606299213" bottom="0.74803149606299213" header="0.31496062992125984" footer="0.31496062992125984"/>
  <pageSetup scale="45" orientation="portrait" r:id="rId1"/>
  <rowBreaks count="1" manualBreakCount="1">
    <brk id="78" max="16383" man="1"/>
  </rowBreaks>
  <colBreaks count="1" manualBreakCount="1">
    <brk id="7" max="1048575" man="1"/>
  </colBreaks>
  <drawing r:id="rId2"/>
  <tableParts count="1">
    <tablePart r:id="rId3"/>
  </tablePart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B96F4A-D9AA-4037-9745-C3B741E642B5}">
  <sheetPr codeName="Hoja49"/>
  <dimension ref="A1:P105"/>
  <sheetViews>
    <sheetView showGridLines="0" view="pageBreakPreview" zoomScale="60" zoomScaleNormal="60" workbookViewId="0">
      <selection activeCell="G65" sqref="G65"/>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38</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18">
        <f>+IF($B$13="","",INDEX(DESCRIP_ITEM,MATCH($B$13,ITEM,0)))</f>
        <v>0</v>
      </c>
      <c r="C16" s="619"/>
      <c r="D16" s="619"/>
      <c r="E16" s="619"/>
      <c r="F16" s="619"/>
      <c r="G16" s="620"/>
    </row>
    <row r="17" spans="2:16" ht="44.25" customHeight="1" thickBot="1" x14ac:dyDescent="0.35">
      <c r="B17" s="621"/>
      <c r="C17" s="622"/>
      <c r="D17" s="622"/>
      <c r="E17" s="622"/>
      <c r="F17" s="622"/>
      <c r="G17" s="623"/>
    </row>
    <row r="18" spans="2:16" ht="17.25" thickBot="1" x14ac:dyDescent="0.35">
      <c r="B18" s="591"/>
      <c r="C18" s="579"/>
      <c r="D18" s="579"/>
      <c r="E18" s="579"/>
      <c r="G18" s="11"/>
    </row>
    <row r="19" spans="2:16" ht="17.25" thickBot="1" x14ac:dyDescent="0.35">
      <c r="B19" s="592"/>
      <c r="C19" s="593"/>
      <c r="D19" s="593"/>
      <c r="E19" s="593"/>
      <c r="F19" s="54" t="s">
        <v>89</v>
      </c>
      <c r="G19" s="25" t="str">
        <f>+IF(B13="","",INDEX(U_ITEM,MATCH(B13,ITEM,0)))</f>
        <v>UN</v>
      </c>
    </row>
    <row r="20" spans="2:16" ht="17.25" thickBot="1" x14ac:dyDescent="0.35">
      <c r="B20" s="592"/>
      <c r="C20" s="593"/>
      <c r="D20" s="593"/>
      <c r="E20" s="593"/>
      <c r="F20" s="55" t="s">
        <v>90</v>
      </c>
      <c r="G20" s="172">
        <v>7</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c r="C23" s="3" t="str">
        <f>+IF(B23="","",INDEX(U_MAQUINARIA,MATCH(B23,LISTA_MAQUINARIA,0)))</f>
        <v/>
      </c>
      <c r="D23" s="30"/>
      <c r="E23" s="23" t="str">
        <f>+IF(B23="","",INDEX(V_MAQUINARIA,MATCH(B23,LISTA_MAQUINARIA,0)))</f>
        <v/>
      </c>
      <c r="F23" s="3">
        <f>$G$20</f>
        <v>7</v>
      </c>
      <c r="G23" s="26" t="str">
        <f>+IF(B23="","",(D23*E23)/F23)</f>
        <v/>
      </c>
      <c r="K23" s="9"/>
      <c r="L23" s="23" t="str">
        <f>IF(B23="","",INDEX(V_COMBUSTIBLE_H,MATCH(B23,LISTA_MAQUINARIA,0)))</f>
        <v/>
      </c>
      <c r="M23" s="23" t="str">
        <f>+IF(L23="","",(L23*D23)/F23)</f>
        <v/>
      </c>
      <c r="N23" s="23" t="str">
        <f>IF(G23="","",G23-M23)</f>
        <v/>
      </c>
      <c r="P23" s="11"/>
    </row>
    <row r="24" spans="2:16" x14ac:dyDescent="0.3">
      <c r="B24" s="27"/>
      <c r="C24" s="3" t="str">
        <f>+IF(B24="","",INDEX(U_MAQUINARIA,MATCH(B24,LISTA_MAQUINARIA,0)))</f>
        <v/>
      </c>
      <c r="D24" s="30"/>
      <c r="E24" s="23" t="str">
        <f>+IF(B24="","",INDEX(V_MAQUINARIA,MATCH(B24,LISTA_MAQUINARIA,0)))</f>
        <v/>
      </c>
      <c r="F24" s="3">
        <f>$G$20</f>
        <v>7</v>
      </c>
      <c r="G24" s="26" t="str">
        <f>+IF(B24="","",(D24*E24)/F24)</f>
        <v/>
      </c>
      <c r="K24" s="9"/>
      <c r="L24" s="3" t="str">
        <f>IF(B24="","",INDEX(V_COMBUSTIBLE_H,MATCH(B24,LISTA_MAQUINARIA,0)))</f>
        <v/>
      </c>
      <c r="M24" s="3" t="str">
        <f>+IF(L24="","",(L24*D24)/F24)</f>
        <v/>
      </c>
      <c r="N24" s="3" t="str">
        <f>IF(G24="","",G24-M24)</f>
        <v/>
      </c>
      <c r="P24" s="11"/>
    </row>
    <row r="25" spans="2:16" x14ac:dyDescent="0.3">
      <c r="B25" s="27"/>
      <c r="C25" s="3" t="str">
        <f>+IF(B25="","",INDEX(U_MAQUINARIA,MATCH(B25,LISTA_MAQUINARIA,0)))</f>
        <v/>
      </c>
      <c r="D25" s="30"/>
      <c r="E25" s="23" t="str">
        <f>+IF(B25="","",INDEX(V_MAQUINARIA,MATCH(B25,LISTA_MAQUINARIA,0)))</f>
        <v/>
      </c>
      <c r="F25" s="3">
        <f>$G$20</f>
        <v>7</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7</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7</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0</v>
      </c>
      <c r="K28" s="9"/>
      <c r="M28" s="24">
        <f>SUM(M23:M27)</f>
        <v>0</v>
      </c>
      <c r="N28" s="24">
        <f>SUM(N23:N27)</f>
        <v>0</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t="s">
        <v>361</v>
      </c>
      <c r="C31" s="3" t="str">
        <f t="shared" ref="C31:C38" si="0">+IF(B31="","",INDEX(U_MATERIAL,MATCH(B31,L_MATERIALES,0)))</f>
        <v>UND</v>
      </c>
      <c r="D31" s="30">
        <v>1</v>
      </c>
      <c r="E31" s="23">
        <f t="shared" ref="E31:E38" si="1">+IF(B31="","",INDEX(V_UNITARIOMATERIAL,MATCH(B31,L_MATERIALES,0)))</f>
        <v>340000</v>
      </c>
      <c r="F31" s="30">
        <v>100</v>
      </c>
      <c r="G31" s="26">
        <f>IF(D31="","",(E31*D31)/F31)</f>
        <v>3400</v>
      </c>
      <c r="K31" s="9"/>
      <c r="L31" t="str">
        <f>+IF(B31="","",B31)</f>
        <v>HERRAMIENTA MENOR---</v>
      </c>
      <c r="M31">
        <f t="shared" ref="M31:M38" si="2">IF(D31="","",(D31/F31)*INDEX(CANT_PROYECTO,MATCH($B$13,ITEM,0)))</f>
        <v>0</v>
      </c>
      <c r="N31" s="1"/>
      <c r="P31" s="11"/>
    </row>
    <row r="32" spans="2:16" x14ac:dyDescent="0.3">
      <c r="B32" s="27"/>
      <c r="C32" s="3" t="str">
        <f t="shared" si="0"/>
        <v/>
      </c>
      <c r="D32" s="30"/>
      <c r="E32" s="23" t="str">
        <f t="shared" si="1"/>
        <v/>
      </c>
      <c r="F32" s="30"/>
      <c r="G32" s="26" t="str">
        <f t="shared" ref="G32:G38" si="3">IF(D32="","",(E32*D32)/F32)</f>
        <v/>
      </c>
      <c r="K32" s="9"/>
      <c r="L32" t="str">
        <f t="shared" ref="L32:L38" si="4">+IF(B32="","",B32)</f>
        <v/>
      </c>
      <c r="M32" t="str">
        <f t="shared" si="2"/>
        <v/>
      </c>
      <c r="N32" s="1"/>
      <c r="P32" s="11"/>
    </row>
    <row r="33" spans="2:16" x14ac:dyDescent="0.3">
      <c r="B33" s="27"/>
      <c r="C33" s="3" t="str">
        <f t="shared" si="0"/>
        <v/>
      </c>
      <c r="D33" s="30"/>
      <c r="E33" s="23" t="str">
        <f t="shared" si="1"/>
        <v/>
      </c>
      <c r="F33" s="30"/>
      <c r="G33" s="26" t="str">
        <f t="shared" si="3"/>
        <v/>
      </c>
      <c r="K33" s="9"/>
      <c r="L33" t="str">
        <f t="shared" si="4"/>
        <v/>
      </c>
      <c r="M33" t="str">
        <f t="shared" si="2"/>
        <v/>
      </c>
      <c r="N33" s="1"/>
      <c r="P33" s="11"/>
    </row>
    <row r="34" spans="2:16" x14ac:dyDescent="0.3">
      <c r="B34" s="27"/>
      <c r="C34" s="3" t="str">
        <f t="shared" si="0"/>
        <v/>
      </c>
      <c r="D34" s="30"/>
      <c r="E34" s="23" t="str">
        <f t="shared" si="1"/>
        <v/>
      </c>
      <c r="F34" s="30"/>
      <c r="G34" s="26" t="str">
        <f t="shared" si="3"/>
        <v/>
      </c>
      <c r="K34" s="9"/>
      <c r="L34" t="str">
        <f t="shared" si="4"/>
        <v/>
      </c>
      <c r="M34" t="str">
        <f t="shared" si="2"/>
        <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3400</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c r="C42" s="3" t="str">
        <f>+IF(B42="","",INDEX(U_MAQUINARIA,MATCH(B42,LISTA_MAQUINARIA,0)))</f>
        <v/>
      </c>
      <c r="D42" s="30"/>
      <c r="E42" s="23" t="str">
        <f>+IF(B42="","",INDEX(V_MAQUINARIA,MATCH(B42,LISTA_MAQUINARIA,0)))</f>
        <v/>
      </c>
      <c r="F42" s="3">
        <f>$G$20</f>
        <v>7</v>
      </c>
      <c r="G42" s="26" t="str">
        <f>IF(D42="","",(E42*D42)/F42)</f>
        <v/>
      </c>
      <c r="K42" s="9"/>
      <c r="L42" s="23" t="str">
        <f>IF(B42="","",INDEX(V_COMBUSTIBLE_H,MATCH(B42,LISTA_MAQUINARIA,0)))</f>
        <v/>
      </c>
      <c r="M42" s="23" t="str">
        <f>+IF(L42="","",(L42*D42)/F42)</f>
        <v/>
      </c>
      <c r="N42" s="23" t="str">
        <f>IF(G42="","",G42-M42)</f>
        <v/>
      </c>
      <c r="P42" s="11"/>
    </row>
    <row r="43" spans="2:16" x14ac:dyDescent="0.3">
      <c r="B43" s="27"/>
      <c r="C43" s="3" t="str">
        <f>+IF(B43="","",INDEX(U_MAQUINARIA,MATCH(B43,LISTA_MAQUINARIA,0)))</f>
        <v/>
      </c>
      <c r="D43" s="30"/>
      <c r="E43" s="23" t="str">
        <f>+IF(B43="","",INDEX(V_MAQUINARIA,MATCH(B43,LISTA_MAQUINARIA,0)))</f>
        <v/>
      </c>
      <c r="F43" s="3">
        <f>+$G$20</f>
        <v>7</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7</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7</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7</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0</v>
      </c>
      <c r="K47" s="9"/>
      <c r="M47" s="24">
        <f>SUM(M42:M46)</f>
        <v>0</v>
      </c>
      <c r="N47" s="24">
        <f>SUM(N42:N46)</f>
        <v>0</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t="s">
        <v>306</v>
      </c>
      <c r="C50" s="30">
        <v>1</v>
      </c>
      <c r="D50" s="22">
        <f>+IF(B50="","",INDEX(F_PRESTACIONAL,MATCH(B50,L_PERSONAL,)))</f>
        <v>2.3170181818181819</v>
      </c>
      <c r="E50" s="23">
        <f>+IF(B50="","",INDEX(V_H_MANODEOBRA,MATCH(B50,L_PERSONAL,0)))</f>
        <v>46340.36363636364</v>
      </c>
      <c r="F50" s="3">
        <f>+$G$20</f>
        <v>7</v>
      </c>
      <c r="G50" s="26">
        <f>+IF(C50="","",(E50*C50)/F50)</f>
        <v>6620.0519480519488</v>
      </c>
    </row>
    <row r="51" spans="2:7" x14ac:dyDescent="0.3">
      <c r="B51" s="27" t="s">
        <v>304</v>
      </c>
      <c r="C51" s="30">
        <v>4</v>
      </c>
      <c r="D51" s="22">
        <f>+IF(B51="","",INDEX(F_PRESTACIONAL,MATCH(B51,L_PERSONAL,)))</f>
        <v>1.6352</v>
      </c>
      <c r="E51" s="23">
        <f>+IF(B51="","",INDEX(V_H_MANODEOBRA,MATCH(B51,L_PERSONAL,0)))</f>
        <v>24658.815999999999</v>
      </c>
      <c r="F51" s="3">
        <f>+$G$20</f>
        <v>7</v>
      </c>
      <c r="G51" s="26">
        <f>+IF(C51="","",(E51*C51)/F51)</f>
        <v>14090.751999999999</v>
      </c>
    </row>
    <row r="52" spans="2:7" x14ac:dyDescent="0.3">
      <c r="B52" s="27"/>
      <c r="C52" s="30"/>
      <c r="D52" s="22" t="str">
        <f>+IF(B52="","",INDEX(F_PRESTACIONAL,MATCH(B52,L_PERSONAL,)))</f>
        <v/>
      </c>
      <c r="E52" s="23" t="str">
        <f>+IF(B52="","",INDEX(V_H_MANODEOBRA,MATCH(B52,L_PERSONAL,0)))</f>
        <v/>
      </c>
      <c r="F52" s="3">
        <f>+$G$20</f>
        <v>7</v>
      </c>
      <c r="G52" s="26" t="str">
        <f>+IF(C52="","",(E52*C52)/F52)</f>
        <v/>
      </c>
    </row>
    <row r="53" spans="2:7" x14ac:dyDescent="0.3">
      <c r="B53" s="27"/>
      <c r="C53" s="30"/>
      <c r="D53" s="22" t="str">
        <f>+IF(B53="","",INDEX(F_PRESTACIONAL,MATCH(B53,L_PERSONAL,)))</f>
        <v/>
      </c>
      <c r="E53" s="23" t="str">
        <f>+IF(B53="","",INDEX(V_H_MANODEOBRA,MATCH(B53,L_PERSONAL,0)))</f>
        <v/>
      </c>
      <c r="F53" s="3">
        <f>+$G$20</f>
        <v>7</v>
      </c>
      <c r="G53" s="26" t="str">
        <f>+IF(C53="","",(E53*C53)/F53)</f>
        <v/>
      </c>
    </row>
    <row r="54" spans="2:7" x14ac:dyDescent="0.3">
      <c r="B54" s="27"/>
      <c r="C54" s="30"/>
      <c r="D54" s="22" t="str">
        <f>+IF(B54="","",INDEX(F_PRESTACIONAL,MATCH(B54,L_PERSONAL,)))</f>
        <v/>
      </c>
      <c r="E54" s="23" t="str">
        <f>+IF(B54="","",INDEX(V_H_MANODEOBRA,MATCH(B54,L_PERSONAL,0)))</f>
        <v/>
      </c>
      <c r="F54" s="3">
        <f>+$G$20</f>
        <v>7</v>
      </c>
      <c r="G54" s="26" t="str">
        <f>+IF(C54="","",(E54*C54)/F54)</f>
        <v/>
      </c>
    </row>
    <row r="55" spans="2:7" x14ac:dyDescent="0.3">
      <c r="B55" s="9"/>
      <c r="G55" s="26">
        <f>SUM(G50:G54)</f>
        <v>20710.803948051947</v>
      </c>
    </row>
    <row r="56" spans="2:7" ht="17.25" thickBot="1" x14ac:dyDescent="0.35">
      <c r="B56" s="9"/>
      <c r="G56" s="11"/>
    </row>
    <row r="57" spans="2:7" ht="17.25" thickBot="1" x14ac:dyDescent="0.35">
      <c r="B57" s="610" t="s">
        <v>98</v>
      </c>
      <c r="C57" s="611"/>
      <c r="D57" s="611"/>
      <c r="E57" s="611"/>
      <c r="F57" s="612"/>
      <c r="G57" s="66">
        <f>+G55+G47+G39+G28</f>
        <v>24110.803948051947</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2893.2964737662337</v>
      </c>
    </row>
    <row r="61" spans="2:7" x14ac:dyDescent="0.3">
      <c r="B61" s="613" t="s">
        <v>86</v>
      </c>
      <c r="C61" s="614"/>
      <c r="D61" s="614"/>
      <c r="E61" s="614"/>
      <c r="F61" s="22">
        <f>+IMPREVISTOS</f>
        <v>0.03</v>
      </c>
      <c r="G61" s="26">
        <f>+$G$57*F61</f>
        <v>723.32411844155843</v>
      </c>
    </row>
    <row r="62" spans="2:7" x14ac:dyDescent="0.3">
      <c r="B62" s="613" t="s">
        <v>87</v>
      </c>
      <c r="C62" s="614"/>
      <c r="D62" s="614"/>
      <c r="E62" s="614"/>
      <c r="F62" s="22">
        <f>+UTILIDAD</f>
        <v>0.05</v>
      </c>
      <c r="G62" s="26">
        <f>+$G$57*F62</f>
        <v>1205.5401974025974</v>
      </c>
    </row>
    <row r="63" spans="2:7" x14ac:dyDescent="0.3">
      <c r="B63" s="596" t="s">
        <v>100</v>
      </c>
      <c r="C63" s="597"/>
      <c r="D63" s="597"/>
      <c r="E63" s="597"/>
      <c r="F63" s="597"/>
      <c r="G63" s="53">
        <f>SUM(G60:G62)</f>
        <v>4822.1607896103897</v>
      </c>
    </row>
    <row r="64" spans="2:7" ht="17.25" thickBot="1" x14ac:dyDescent="0.35">
      <c r="B64" s="9"/>
      <c r="G64" s="44"/>
    </row>
    <row r="65" spans="2:7" ht="17.25" thickBot="1" x14ac:dyDescent="0.35">
      <c r="B65" s="598" t="s">
        <v>101</v>
      </c>
      <c r="C65" s="599"/>
      <c r="D65" s="599"/>
      <c r="E65" s="599"/>
      <c r="F65" s="600"/>
      <c r="G65" s="65">
        <f>+G63+G57</f>
        <v>28932.964737662336</v>
      </c>
    </row>
    <row r="66" spans="2:7" x14ac:dyDescent="0.3">
      <c r="B66" s="6"/>
      <c r="C66" s="7"/>
      <c r="D66" s="7"/>
      <c r="E66" s="7"/>
      <c r="F66" s="7"/>
      <c r="G66" s="8"/>
    </row>
    <row r="67" spans="2:7" x14ac:dyDescent="0.3">
      <c r="B67" s="9"/>
      <c r="G67" s="11"/>
    </row>
    <row r="68" spans="2:7" x14ac:dyDescent="0.3">
      <c r="B68" s="69" t="s">
        <v>123</v>
      </c>
      <c r="C68" s="67"/>
      <c r="D68" s="67"/>
      <c r="E68" s="67"/>
      <c r="F68" s="67"/>
      <c r="G68" s="70"/>
    </row>
    <row r="69" spans="2:7" x14ac:dyDescent="0.3">
      <c r="B69" s="71"/>
      <c r="C69" s="67"/>
      <c r="D69" s="67"/>
      <c r="E69" s="67"/>
      <c r="F69" s="67"/>
      <c r="G69" s="70"/>
    </row>
    <row r="70" spans="2:7" x14ac:dyDescent="0.3">
      <c r="B70" s="72"/>
      <c r="C70" s="68"/>
      <c r="D70" s="68"/>
      <c r="E70" s="68"/>
      <c r="F70" s="68"/>
      <c r="G70" s="73"/>
    </row>
    <row r="71" spans="2:7" x14ac:dyDescent="0.3">
      <c r="B71" s="71"/>
      <c r="C71" s="67"/>
      <c r="D71" s="67"/>
      <c r="E71" s="67"/>
      <c r="F71" s="67"/>
      <c r="G71" s="70"/>
    </row>
    <row r="72" spans="2:7" ht="17.25" thickBot="1" x14ac:dyDescent="0.35">
      <c r="B72" s="15"/>
      <c r="C72" s="13"/>
      <c r="D72" s="13"/>
      <c r="E72" s="13"/>
      <c r="F72" s="13"/>
      <c r="G72" s="14"/>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count="5">
    <dataValidation type="list" allowBlank="1" showInputMessage="1" showErrorMessage="1" sqref="E102" xr:uid="{49A0163F-F79D-431E-897B-A95017013F7D}">
      <formula1>$A$103:$A$105</formula1>
    </dataValidation>
    <dataValidation type="list" allowBlank="1" showInputMessage="1" showErrorMessage="1" sqref="B13" xr:uid="{7F5EEFF0-0812-4B99-9616-F712E9B4C901}">
      <formula1>ITEM</formula1>
    </dataValidation>
    <dataValidation type="list" allowBlank="1" showInputMessage="1" showErrorMessage="1" sqref="B50:B54" xr:uid="{1D6BDFD9-C0A1-4903-8E48-A3C2F079A881}">
      <formula1>L_PERSONAL</formula1>
    </dataValidation>
    <dataValidation type="list" allowBlank="1" showInputMessage="1" showErrorMessage="1" sqref="B31:B38" xr:uid="{C0F72FAD-1035-4F56-9AE2-D70B0DBA0CDF}">
      <formula1>L_MATERIALES</formula1>
    </dataValidation>
    <dataValidation type="list" allowBlank="1" showInputMessage="1" showErrorMessage="1" sqref="B23:B27 B42:B46" xr:uid="{4279E4F2-7EB0-4014-AF30-52BB20708CBE}">
      <formula1>LISTA_MAQUINARIA</formula1>
    </dataValidation>
  </dataValidations>
  <pageMargins left="0.70866141732283472" right="0.70866141732283472" top="0.74803149606299213" bottom="0.74803149606299213" header="0.31496062992125984" footer="0.31496062992125984"/>
  <pageSetup scale="45" orientation="portrait" r:id="rId1"/>
  <rowBreaks count="1" manualBreakCount="1">
    <brk id="78" max="16383" man="1"/>
  </rowBreaks>
  <colBreaks count="1" manualBreakCount="1">
    <brk id="7" max="1048575" man="1"/>
  </colBreaks>
  <drawing r:id="rId2"/>
  <tableParts count="1">
    <tablePart r:id="rId3"/>
  </tablePart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05F3C-0947-400B-8FBF-73BADF5525CC}">
  <sheetPr codeName="Hoja50"/>
  <dimension ref="A1:P105"/>
  <sheetViews>
    <sheetView showGridLines="0" view="pageBreakPreview" zoomScale="60" zoomScaleNormal="60" workbookViewId="0">
      <selection activeCell="G65" sqref="G65"/>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39</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18">
        <f>+IF($B$13="","",INDEX(DESCRIP_ITEM,MATCH($B$13,ITEM,0)))</f>
        <v>0</v>
      </c>
      <c r="C16" s="619"/>
      <c r="D16" s="619"/>
      <c r="E16" s="619"/>
      <c r="F16" s="619"/>
      <c r="G16" s="620"/>
    </row>
    <row r="17" spans="2:16" ht="44.25" customHeight="1" thickBot="1" x14ac:dyDescent="0.35">
      <c r="B17" s="621"/>
      <c r="C17" s="622"/>
      <c r="D17" s="622"/>
      <c r="E17" s="622"/>
      <c r="F17" s="622"/>
      <c r="G17" s="623"/>
    </row>
    <row r="18" spans="2:16" ht="17.25" thickBot="1" x14ac:dyDescent="0.35">
      <c r="B18" s="591"/>
      <c r="C18" s="579"/>
      <c r="D18" s="579"/>
      <c r="E18" s="579"/>
      <c r="G18" s="11"/>
    </row>
    <row r="19" spans="2:16" ht="17.25" thickBot="1" x14ac:dyDescent="0.35">
      <c r="B19" s="592"/>
      <c r="C19" s="593"/>
      <c r="D19" s="593"/>
      <c r="E19" s="593"/>
      <c r="F19" s="54" t="s">
        <v>89</v>
      </c>
      <c r="G19" s="25" t="str">
        <f>+IF(B13="","",INDEX(U_ITEM,MATCH(B13,ITEM,0)))</f>
        <v>UN</v>
      </c>
    </row>
    <row r="20" spans="2:16" ht="17.25" thickBot="1" x14ac:dyDescent="0.35">
      <c r="B20" s="592"/>
      <c r="C20" s="593"/>
      <c r="D20" s="593"/>
      <c r="E20" s="593"/>
      <c r="F20" s="55" t="s">
        <v>90</v>
      </c>
      <c r="G20" s="56">
        <v>7</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c r="C23" s="3" t="str">
        <f>+IF(B23="","",INDEX(U_MAQUINARIA,MATCH(B23,LISTA_MAQUINARIA,0)))</f>
        <v/>
      </c>
      <c r="D23" s="30"/>
      <c r="E23" s="23" t="str">
        <f>+IF(B23="","",INDEX(V_MAQUINARIA,MATCH(B23,LISTA_MAQUINARIA,0)))</f>
        <v/>
      </c>
      <c r="F23" s="3">
        <f>$G$20</f>
        <v>7</v>
      </c>
      <c r="G23" s="26" t="str">
        <f>+IF(B23="","",(D23*E23)/F23)</f>
        <v/>
      </c>
      <c r="K23" s="9"/>
      <c r="L23" s="23" t="str">
        <f>IF(B23="","",INDEX(V_COMBUSTIBLE_H,MATCH(B23,LISTA_MAQUINARIA,0)))</f>
        <v/>
      </c>
      <c r="M23" s="23" t="str">
        <f>+IF(L23="","",(L23*D23)/F23)</f>
        <v/>
      </c>
      <c r="N23" s="23" t="str">
        <f>IF(G23="","",G23-M23)</f>
        <v/>
      </c>
      <c r="P23" s="11"/>
    </row>
    <row r="24" spans="2:16" x14ac:dyDescent="0.3">
      <c r="B24" s="27"/>
      <c r="C24" s="3" t="str">
        <f>+IF(B24="","",INDEX(U_MAQUINARIA,MATCH(B24,LISTA_MAQUINARIA,0)))</f>
        <v/>
      </c>
      <c r="D24" s="30"/>
      <c r="E24" s="23" t="str">
        <f>+IF(B24="","",INDEX(V_MAQUINARIA,MATCH(B24,LISTA_MAQUINARIA,0)))</f>
        <v/>
      </c>
      <c r="F24" s="3">
        <f>$G$20</f>
        <v>7</v>
      </c>
      <c r="G24" s="26" t="str">
        <f>+IF(B24="","",(D24*E24)/F24)</f>
        <v/>
      </c>
      <c r="K24" s="9"/>
      <c r="L24" s="3" t="str">
        <f>IF(B24="","",INDEX(V_COMBUSTIBLE_H,MATCH(B24,LISTA_MAQUINARIA,0)))</f>
        <v/>
      </c>
      <c r="M24" s="3" t="str">
        <f>+IF(L24="","",(L24*D24)/F24)</f>
        <v/>
      </c>
      <c r="N24" s="3" t="str">
        <f>IF(G24="","",G24-M24)</f>
        <v/>
      </c>
      <c r="P24" s="11"/>
    </row>
    <row r="25" spans="2:16" x14ac:dyDescent="0.3">
      <c r="B25" s="27"/>
      <c r="C25" s="3" t="str">
        <f>+IF(B25="","",INDEX(U_MAQUINARIA,MATCH(B25,LISTA_MAQUINARIA,0)))</f>
        <v/>
      </c>
      <c r="D25" s="30"/>
      <c r="E25" s="23" t="str">
        <f>+IF(B25="","",INDEX(V_MAQUINARIA,MATCH(B25,LISTA_MAQUINARIA,0)))</f>
        <v/>
      </c>
      <c r="F25" s="3">
        <f>$G$20</f>
        <v>7</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7</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7</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0</v>
      </c>
      <c r="K28" s="9"/>
      <c r="M28" s="24">
        <f>SUM(M23:M27)</f>
        <v>0</v>
      </c>
      <c r="N28" s="24">
        <f>SUM(N23:N27)</f>
        <v>0</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t="s">
        <v>431</v>
      </c>
      <c r="C31" s="3" t="str">
        <f t="shared" ref="C31:C38" si="0">+IF(B31="","",INDEX(U_MATERIAL,MATCH(B31,L_MATERIALES,0)))</f>
        <v>und</v>
      </c>
      <c r="D31" s="30">
        <v>1</v>
      </c>
      <c r="E31" s="23">
        <f t="shared" ref="E31:E38" si="1">+IF(B31="","",INDEX(V_UNITARIOMATERIAL,MATCH(B31,L_MATERIALES,0)))</f>
        <v>25000</v>
      </c>
      <c r="F31" s="30">
        <v>1</v>
      </c>
      <c r="G31" s="26">
        <f>IF(D31="","",(E31*D31)/F31)</f>
        <v>25000</v>
      </c>
      <c r="K31" s="9"/>
      <c r="L31" t="str">
        <f>+IF(B31="","",B31)</f>
        <v>conector bimetalico---</v>
      </c>
      <c r="M31">
        <f t="shared" ref="M31:M38" si="2">IF(D31="","",(D31/F31)*INDEX(CANT_PROYECTO,MATCH($B$13,ITEM,0)))</f>
        <v>0</v>
      </c>
      <c r="N31" s="1"/>
      <c r="P31" s="11"/>
    </row>
    <row r="32" spans="2:16" x14ac:dyDescent="0.3">
      <c r="B32" s="27"/>
      <c r="C32" s="3" t="str">
        <f t="shared" si="0"/>
        <v/>
      </c>
      <c r="D32" s="30"/>
      <c r="E32" s="23" t="str">
        <f t="shared" si="1"/>
        <v/>
      </c>
      <c r="F32" s="30"/>
      <c r="G32" s="26" t="str">
        <f t="shared" ref="G32:G38" si="3">IF(D32="","",(E32*D32)/F32)</f>
        <v/>
      </c>
      <c r="K32" s="9"/>
      <c r="L32" t="str">
        <f t="shared" ref="L32:L38" si="4">+IF(B32="","",B32)</f>
        <v/>
      </c>
      <c r="M32" t="str">
        <f t="shared" si="2"/>
        <v/>
      </c>
      <c r="N32" s="1"/>
      <c r="P32" s="11"/>
    </row>
    <row r="33" spans="2:16" x14ac:dyDescent="0.3">
      <c r="B33" s="27"/>
      <c r="C33" s="3" t="str">
        <f t="shared" si="0"/>
        <v/>
      </c>
      <c r="D33" s="30"/>
      <c r="E33" s="23" t="str">
        <f t="shared" si="1"/>
        <v/>
      </c>
      <c r="F33" s="30"/>
      <c r="G33" s="26" t="str">
        <f t="shared" si="3"/>
        <v/>
      </c>
      <c r="K33" s="9"/>
      <c r="L33" t="str">
        <f t="shared" si="4"/>
        <v/>
      </c>
      <c r="M33" t="str">
        <f t="shared" si="2"/>
        <v/>
      </c>
      <c r="N33" s="1"/>
      <c r="P33" s="11"/>
    </row>
    <row r="34" spans="2:16" x14ac:dyDescent="0.3">
      <c r="B34" s="27"/>
      <c r="C34" s="3" t="str">
        <f t="shared" si="0"/>
        <v/>
      </c>
      <c r="D34" s="30"/>
      <c r="E34" s="23" t="str">
        <f t="shared" si="1"/>
        <v/>
      </c>
      <c r="F34" s="30"/>
      <c r="G34" s="26" t="str">
        <f t="shared" si="3"/>
        <v/>
      </c>
      <c r="K34" s="9"/>
      <c r="L34" t="str">
        <f t="shared" si="4"/>
        <v/>
      </c>
      <c r="M34" t="str">
        <f t="shared" si="2"/>
        <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25000</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c r="C42" s="3" t="str">
        <f>+IF(B42="","",INDEX(U_MAQUINARIA,MATCH(B42,LISTA_MAQUINARIA,0)))</f>
        <v/>
      </c>
      <c r="D42" s="30"/>
      <c r="E42" s="23" t="str">
        <f>+IF(B42="","",INDEX(V_MAQUINARIA,MATCH(B42,LISTA_MAQUINARIA,0)))</f>
        <v/>
      </c>
      <c r="F42" s="3">
        <f>$G$20</f>
        <v>7</v>
      </c>
      <c r="G42" s="26" t="str">
        <f>IF(D42="","",(E42*D42)/F42)</f>
        <v/>
      </c>
      <c r="K42" s="9"/>
      <c r="L42" s="23" t="str">
        <f>IF(B42="","",INDEX(V_COMBUSTIBLE_H,MATCH(B42,LISTA_MAQUINARIA,0)))</f>
        <v/>
      </c>
      <c r="M42" s="23" t="str">
        <f>+IF(L42="","",(L42*D42)/F42)</f>
        <v/>
      </c>
      <c r="N42" s="23" t="str">
        <f>IF(G42="","",G42-M42)</f>
        <v/>
      </c>
      <c r="P42" s="11"/>
    </row>
    <row r="43" spans="2:16" x14ac:dyDescent="0.3">
      <c r="B43" s="27"/>
      <c r="C43" s="3" t="str">
        <f>+IF(B43="","",INDEX(U_MAQUINARIA,MATCH(B43,LISTA_MAQUINARIA,0)))</f>
        <v/>
      </c>
      <c r="D43" s="30"/>
      <c r="E43" s="23" t="str">
        <f>+IF(B43="","",INDEX(V_MAQUINARIA,MATCH(B43,LISTA_MAQUINARIA,0)))</f>
        <v/>
      </c>
      <c r="F43" s="3">
        <f>+$G$20</f>
        <v>7</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7</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7</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7</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0</v>
      </c>
      <c r="K47" s="9"/>
      <c r="M47" s="24">
        <f>SUM(M42:M46)</f>
        <v>0</v>
      </c>
      <c r="N47" s="24">
        <f>SUM(N42:N46)</f>
        <v>0</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t="s">
        <v>306</v>
      </c>
      <c r="C50" s="30">
        <v>1</v>
      </c>
      <c r="D50" s="22">
        <f>+IF(B50="","",INDEX(F_PRESTACIONAL,MATCH(B50,L_PERSONAL,)))</f>
        <v>2.3170181818181819</v>
      </c>
      <c r="E50" s="23">
        <f>+IF(B50="","",INDEX(V_H_MANODEOBRA,MATCH(B50,L_PERSONAL,0)))</f>
        <v>46340.36363636364</v>
      </c>
      <c r="F50" s="3">
        <f>+$G$20</f>
        <v>7</v>
      </c>
      <c r="G50" s="26">
        <f>+IF(C50="","",(E50*C50)/F50)</f>
        <v>6620.0519480519488</v>
      </c>
    </row>
    <row r="51" spans="2:7" x14ac:dyDescent="0.3">
      <c r="B51" s="27" t="s">
        <v>304</v>
      </c>
      <c r="C51" s="30">
        <v>3</v>
      </c>
      <c r="D51" s="22">
        <f>+IF(B51="","",INDEX(F_PRESTACIONAL,MATCH(B51,L_PERSONAL,)))</f>
        <v>1.6352</v>
      </c>
      <c r="E51" s="23">
        <f>+IF(B51="","",INDEX(V_H_MANODEOBRA,MATCH(B51,L_PERSONAL,0)))</f>
        <v>24658.815999999999</v>
      </c>
      <c r="F51" s="3">
        <f>+$G$20</f>
        <v>7</v>
      </c>
      <c r="G51" s="26">
        <f>+IF(C51="","",(E51*C51)/F51)</f>
        <v>10568.064</v>
      </c>
    </row>
    <row r="52" spans="2:7" x14ac:dyDescent="0.3">
      <c r="B52" s="27"/>
      <c r="C52" s="30"/>
      <c r="D52" s="22" t="str">
        <f>+IF(B52="","",INDEX(F_PRESTACIONAL,MATCH(B52,L_PERSONAL,)))</f>
        <v/>
      </c>
      <c r="E52" s="23" t="str">
        <f>+IF(B52="","",INDEX(V_H_MANODEOBRA,MATCH(B52,L_PERSONAL,0)))</f>
        <v/>
      </c>
      <c r="F52" s="3">
        <f>+$G$20</f>
        <v>7</v>
      </c>
      <c r="G52" s="26" t="str">
        <f>+IF(C52="","",(E52*C52)/F52)</f>
        <v/>
      </c>
    </row>
    <row r="53" spans="2:7" x14ac:dyDescent="0.3">
      <c r="B53" s="27"/>
      <c r="C53" s="30"/>
      <c r="D53" s="22" t="str">
        <f>+IF(B53="","",INDEX(F_PRESTACIONAL,MATCH(B53,L_PERSONAL,)))</f>
        <v/>
      </c>
      <c r="E53" s="23" t="str">
        <f>+IF(B53="","",INDEX(V_H_MANODEOBRA,MATCH(B53,L_PERSONAL,0)))</f>
        <v/>
      </c>
      <c r="F53" s="3">
        <f>+$G$20</f>
        <v>7</v>
      </c>
      <c r="G53" s="26" t="str">
        <f>+IF(C53="","",(E53*C53)/F53)</f>
        <v/>
      </c>
    </row>
    <row r="54" spans="2:7" x14ac:dyDescent="0.3">
      <c r="B54" s="27"/>
      <c r="C54" s="30"/>
      <c r="D54" s="22" t="str">
        <f>+IF(B54="","",INDEX(F_PRESTACIONAL,MATCH(B54,L_PERSONAL,)))</f>
        <v/>
      </c>
      <c r="E54" s="23" t="str">
        <f>+IF(B54="","",INDEX(V_H_MANODEOBRA,MATCH(B54,L_PERSONAL,0)))</f>
        <v/>
      </c>
      <c r="F54" s="3">
        <f>+$G$20</f>
        <v>7</v>
      </c>
      <c r="G54" s="26" t="str">
        <f>+IF(C54="","",(E54*C54)/F54)</f>
        <v/>
      </c>
    </row>
    <row r="55" spans="2:7" x14ac:dyDescent="0.3">
      <c r="B55" s="9"/>
      <c r="G55" s="26">
        <f>SUM(G50:G54)</f>
        <v>17188.115948051949</v>
      </c>
    </row>
    <row r="56" spans="2:7" ht="17.25" thickBot="1" x14ac:dyDescent="0.35">
      <c r="B56" s="9"/>
      <c r="G56" s="11"/>
    </row>
    <row r="57" spans="2:7" ht="17.25" thickBot="1" x14ac:dyDescent="0.35">
      <c r="B57" s="610" t="s">
        <v>98</v>
      </c>
      <c r="C57" s="611"/>
      <c r="D57" s="611"/>
      <c r="E57" s="611"/>
      <c r="F57" s="612"/>
      <c r="G57" s="66">
        <f>+G55+G47+G39+G28</f>
        <v>42188.115948051949</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5062.573913766234</v>
      </c>
    </row>
    <row r="61" spans="2:7" x14ac:dyDescent="0.3">
      <c r="B61" s="613" t="s">
        <v>86</v>
      </c>
      <c r="C61" s="614"/>
      <c r="D61" s="614"/>
      <c r="E61" s="614"/>
      <c r="F61" s="22">
        <f>+IMPREVISTOS</f>
        <v>0.03</v>
      </c>
      <c r="G61" s="26">
        <f>+$G$57*F61</f>
        <v>1265.6434784415585</v>
      </c>
    </row>
    <row r="62" spans="2:7" x14ac:dyDescent="0.3">
      <c r="B62" s="613" t="s">
        <v>87</v>
      </c>
      <c r="C62" s="614"/>
      <c r="D62" s="614"/>
      <c r="E62" s="614"/>
      <c r="F62" s="22">
        <f>+UTILIDAD</f>
        <v>0.05</v>
      </c>
      <c r="G62" s="26">
        <f>+$G$57*F62</f>
        <v>2109.4057974025977</v>
      </c>
    </row>
    <row r="63" spans="2:7" x14ac:dyDescent="0.3">
      <c r="B63" s="596" t="s">
        <v>100</v>
      </c>
      <c r="C63" s="597"/>
      <c r="D63" s="597"/>
      <c r="E63" s="597"/>
      <c r="F63" s="597"/>
      <c r="G63" s="53">
        <f>SUM(G60:G62)</f>
        <v>8437.6231896103909</v>
      </c>
    </row>
    <row r="64" spans="2:7" ht="17.25" thickBot="1" x14ac:dyDescent="0.35">
      <c r="B64" s="9"/>
      <c r="G64" s="44"/>
    </row>
    <row r="65" spans="2:7" ht="17.25" thickBot="1" x14ac:dyDescent="0.35">
      <c r="B65" s="598" t="s">
        <v>101</v>
      </c>
      <c r="C65" s="599"/>
      <c r="D65" s="599"/>
      <c r="E65" s="599"/>
      <c r="F65" s="600"/>
      <c r="G65" s="65">
        <f>+G63+G57</f>
        <v>50625.739137662342</v>
      </c>
    </row>
    <row r="66" spans="2:7" x14ac:dyDescent="0.3">
      <c r="B66" s="6"/>
      <c r="C66" s="7"/>
      <c r="D66" s="7"/>
      <c r="E66" s="7"/>
      <c r="F66" s="7"/>
      <c r="G66" s="8"/>
    </row>
    <row r="67" spans="2:7" x14ac:dyDescent="0.3">
      <c r="B67" s="9"/>
      <c r="G67" s="11"/>
    </row>
    <row r="68" spans="2:7" x14ac:dyDescent="0.3">
      <c r="B68" s="69" t="s">
        <v>123</v>
      </c>
      <c r="C68" s="67"/>
      <c r="D68" s="67"/>
      <c r="E68" s="67"/>
      <c r="F68" s="67"/>
      <c r="G68" s="70"/>
    </row>
    <row r="69" spans="2:7" x14ac:dyDescent="0.3">
      <c r="B69" s="71"/>
      <c r="C69" s="67"/>
      <c r="D69" s="67"/>
      <c r="E69" s="67"/>
      <c r="F69" s="67"/>
      <c r="G69" s="70"/>
    </row>
    <row r="70" spans="2:7" x14ac:dyDescent="0.3">
      <c r="B70" s="72"/>
      <c r="C70" s="68"/>
      <c r="D70" s="68"/>
      <c r="E70" s="68"/>
      <c r="F70" s="68"/>
      <c r="G70" s="73"/>
    </row>
    <row r="71" spans="2:7" x14ac:dyDescent="0.3">
      <c r="B71" s="71"/>
      <c r="C71" s="67"/>
      <c r="D71" s="67"/>
      <c r="E71" s="67"/>
      <c r="F71" s="67"/>
      <c r="G71" s="70"/>
    </row>
    <row r="72" spans="2:7" ht="17.25" thickBot="1" x14ac:dyDescent="0.35">
      <c r="B72" s="15"/>
      <c r="C72" s="13"/>
      <c r="D72" s="13"/>
      <c r="E72" s="13"/>
      <c r="F72" s="13"/>
      <c r="G72" s="14"/>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count="5">
    <dataValidation type="list" allowBlank="1" showInputMessage="1" showErrorMessage="1" sqref="E102" xr:uid="{1D21D2FC-8C0B-462B-9071-71BC4757452C}">
      <formula1>$A$103:$A$105</formula1>
    </dataValidation>
    <dataValidation type="list" allowBlank="1" showInputMessage="1" showErrorMessage="1" sqref="B13" xr:uid="{990B094E-E7F3-4F89-9387-5E6B4D9ABDE9}">
      <formula1>ITEM</formula1>
    </dataValidation>
    <dataValidation type="list" allowBlank="1" showInputMessage="1" showErrorMessage="1" sqref="B50:B54" xr:uid="{2FB296B2-9444-42EB-ABA0-17D143B7D908}">
      <formula1>L_PERSONAL</formula1>
    </dataValidation>
    <dataValidation type="list" allowBlank="1" showInputMessage="1" showErrorMessage="1" sqref="B31:B38" xr:uid="{9297CF97-1C82-4241-B6E1-BA90A4F6CE55}">
      <formula1>L_MATERIALES</formula1>
    </dataValidation>
    <dataValidation type="list" allowBlank="1" showInputMessage="1" showErrorMessage="1" sqref="B23:B27 B42:B46" xr:uid="{F0375DA6-D336-444B-9224-0ECE14C19FBF}">
      <formula1>LISTA_MAQUINARIA</formula1>
    </dataValidation>
  </dataValidations>
  <pageMargins left="0.70866141732283472" right="0.70866141732283472" top="0.74803149606299213" bottom="0.74803149606299213" header="0.31496062992125984" footer="0.31496062992125984"/>
  <pageSetup scale="45" orientation="portrait" r:id="rId1"/>
  <rowBreaks count="1" manualBreakCount="1">
    <brk id="78" max="16383" man="1"/>
  </rowBreaks>
  <colBreaks count="1" manualBreakCount="1">
    <brk id="7" max="1048575" man="1"/>
  </colBreaks>
  <drawing r:id="rId2"/>
  <tableParts count="1">
    <tablePart r:id="rId3"/>
  </tablePart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25923-CEB4-4CF3-A641-5C0C900042D0}">
  <sheetPr codeName="Hoja51"/>
  <dimension ref="A1:P105"/>
  <sheetViews>
    <sheetView showGridLines="0" view="pageBreakPreview" zoomScale="60" zoomScaleNormal="60" workbookViewId="0">
      <selection activeCell="B1" sqref="B1:G78"/>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40</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18" t="str">
        <f>+IF($B$13="","",INDEX(DESCRIP_ITEM,MATCH($B$13,ITEM,0)))</f>
        <v>Suministro e instalación de barra de cobre para equipotencialidad de tierra de 12 perforaciones y dimensiones 300x50x10mm ubicada en el sitio indicado por los planos del SPT.</v>
      </c>
      <c r="C16" s="619"/>
      <c r="D16" s="619"/>
      <c r="E16" s="619"/>
      <c r="F16" s="619"/>
      <c r="G16" s="620"/>
    </row>
    <row r="17" spans="2:16" ht="44.25" customHeight="1" thickBot="1" x14ac:dyDescent="0.35">
      <c r="B17" s="621"/>
      <c r="C17" s="622"/>
      <c r="D17" s="622"/>
      <c r="E17" s="622"/>
      <c r="F17" s="622"/>
      <c r="G17" s="623"/>
    </row>
    <row r="18" spans="2:16" ht="17.25" thickBot="1" x14ac:dyDescent="0.35">
      <c r="B18" s="591"/>
      <c r="C18" s="579"/>
      <c r="D18" s="579"/>
      <c r="E18" s="579"/>
      <c r="G18" s="11"/>
    </row>
    <row r="19" spans="2:16" ht="17.25" thickBot="1" x14ac:dyDescent="0.35">
      <c r="B19" s="592"/>
      <c r="C19" s="593"/>
      <c r="D19" s="593"/>
      <c r="E19" s="593"/>
      <c r="F19" s="54" t="s">
        <v>89</v>
      </c>
      <c r="G19" s="25" t="str">
        <f>+IF(B13="","",INDEX(U_ITEM,MATCH(B13,ITEM,0)))</f>
        <v>UN</v>
      </c>
    </row>
    <row r="20" spans="2:16" ht="17.25" thickBot="1" x14ac:dyDescent="0.35">
      <c r="B20" s="592"/>
      <c r="C20" s="593"/>
      <c r="D20" s="593"/>
      <c r="E20" s="593"/>
      <c r="F20" s="55" t="s">
        <v>90</v>
      </c>
      <c r="G20" s="56">
        <v>3.48</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c r="C23" s="3" t="str">
        <f>+IF(B23="","",INDEX(U_MAQUINARIA,MATCH(B23,LISTA_MAQUINARIA,0)))</f>
        <v/>
      </c>
      <c r="D23" s="30"/>
      <c r="E23" s="23" t="str">
        <f>+IF(B23="","",INDEX(V_MAQUINARIA,MATCH(B23,LISTA_MAQUINARIA,0)))</f>
        <v/>
      </c>
      <c r="F23" s="3">
        <f>$G$20</f>
        <v>3.48</v>
      </c>
      <c r="G23" s="26" t="str">
        <f>+IF(B23="","",(D23*E23)/F23)</f>
        <v/>
      </c>
      <c r="K23" s="9"/>
      <c r="L23" s="23" t="str">
        <f>IF(B23="","",INDEX(V_COMBUSTIBLE_H,MATCH(B23,LISTA_MAQUINARIA,0)))</f>
        <v/>
      </c>
      <c r="M23" s="23" t="str">
        <f>+IF(L23="","",(L23*D23)/F23)</f>
        <v/>
      </c>
      <c r="N23" s="23" t="str">
        <f>IF(G23="","",G23-M23)</f>
        <v/>
      </c>
      <c r="P23" s="11"/>
    </row>
    <row r="24" spans="2:16" x14ac:dyDescent="0.3">
      <c r="B24" s="27"/>
      <c r="C24" s="3" t="str">
        <f>+IF(B24="","",INDEX(U_MAQUINARIA,MATCH(B24,LISTA_MAQUINARIA,0)))</f>
        <v/>
      </c>
      <c r="D24" s="30"/>
      <c r="E24" s="23" t="str">
        <f>+IF(B24="","",INDEX(V_MAQUINARIA,MATCH(B24,LISTA_MAQUINARIA,0)))</f>
        <v/>
      </c>
      <c r="F24" s="3">
        <f>$G$20</f>
        <v>3.48</v>
      </c>
      <c r="G24" s="26" t="str">
        <f>+IF(B24="","",(D24*E24)/F24)</f>
        <v/>
      </c>
      <c r="K24" s="9"/>
      <c r="L24" s="3" t="str">
        <f>IF(B24="","",INDEX(V_COMBUSTIBLE_H,MATCH(B24,LISTA_MAQUINARIA,0)))</f>
        <v/>
      </c>
      <c r="M24" s="3" t="str">
        <f>+IF(L24="","",(L24*D24)/F24)</f>
        <v/>
      </c>
      <c r="N24" s="3" t="str">
        <f>IF(G24="","",G24-M24)</f>
        <v/>
      </c>
      <c r="P24" s="11"/>
    </row>
    <row r="25" spans="2:16" x14ac:dyDescent="0.3">
      <c r="B25" s="27"/>
      <c r="C25" s="3" t="str">
        <f>+IF(B25="","",INDEX(U_MAQUINARIA,MATCH(B25,LISTA_MAQUINARIA,0)))</f>
        <v/>
      </c>
      <c r="D25" s="30"/>
      <c r="E25" s="23" t="str">
        <f>+IF(B25="","",INDEX(V_MAQUINARIA,MATCH(B25,LISTA_MAQUINARIA,0)))</f>
        <v/>
      </c>
      <c r="F25" s="3">
        <f>$G$20</f>
        <v>3.48</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3.48</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3.48</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0</v>
      </c>
      <c r="K28" s="9"/>
      <c r="M28" s="24">
        <f>SUM(M23:M27)</f>
        <v>0</v>
      </c>
      <c r="N28" s="24">
        <f>SUM(N23:N27)</f>
        <v>0</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t="s">
        <v>433</v>
      </c>
      <c r="C31" s="3" t="str">
        <f t="shared" ref="C31:C38" si="0">+IF(B31="","",INDEX(U_MATERIAL,MATCH(B31,L_MATERIALES,0)))</f>
        <v>und</v>
      </c>
      <c r="D31" s="30">
        <v>1</v>
      </c>
      <c r="E31" s="23">
        <f t="shared" ref="E31:E38" si="1">+IF(B31="","",INDEX(V_UNITARIOMATERIAL,MATCH(B31,L_MATERIALES,0)))</f>
        <v>350000</v>
      </c>
      <c r="F31" s="30">
        <v>1</v>
      </c>
      <c r="G31" s="26">
        <f>IF(D31="","",(E31*D31)/F31)</f>
        <v>350000</v>
      </c>
      <c r="K31" s="9"/>
      <c r="L31" t="str">
        <f>+IF(B31="","",B31)</f>
        <v>Barra de cobre---</v>
      </c>
      <c r="M31">
        <f t="shared" ref="M31:M38" si="2">IF(D31="","",(D31/F31)*INDEX(CANT_PROYECTO,MATCH($B$13,ITEM,0)))</f>
        <v>2</v>
      </c>
      <c r="N31" s="1"/>
      <c r="P31" s="11"/>
    </row>
    <row r="32" spans="2:16" x14ac:dyDescent="0.3">
      <c r="B32" s="27" t="s">
        <v>361</v>
      </c>
      <c r="C32" s="3" t="str">
        <f t="shared" si="0"/>
        <v>UND</v>
      </c>
      <c r="D32" s="30">
        <v>1</v>
      </c>
      <c r="E32" s="23">
        <f t="shared" si="1"/>
        <v>340000</v>
      </c>
      <c r="F32" s="30">
        <v>100</v>
      </c>
      <c r="G32" s="26">
        <f t="shared" ref="G32:G38" si="3">IF(D32="","",(E32*D32)/F32)</f>
        <v>3400</v>
      </c>
      <c r="K32" s="9"/>
      <c r="L32" t="str">
        <f t="shared" ref="L32:L38" si="4">+IF(B32="","",B32)</f>
        <v>HERRAMIENTA MENOR---</v>
      </c>
      <c r="M32">
        <f t="shared" si="2"/>
        <v>0.02</v>
      </c>
      <c r="N32" s="1"/>
      <c r="P32" s="11"/>
    </row>
    <row r="33" spans="2:16" x14ac:dyDescent="0.3">
      <c r="B33" s="27"/>
      <c r="C33" s="3" t="str">
        <f t="shared" si="0"/>
        <v/>
      </c>
      <c r="D33" s="30"/>
      <c r="E33" s="23" t="str">
        <f t="shared" si="1"/>
        <v/>
      </c>
      <c r="F33" s="30"/>
      <c r="G33" s="26" t="str">
        <f t="shared" si="3"/>
        <v/>
      </c>
      <c r="K33" s="9"/>
      <c r="L33" t="str">
        <f t="shared" si="4"/>
        <v/>
      </c>
      <c r="M33" t="str">
        <f t="shared" si="2"/>
        <v/>
      </c>
      <c r="N33" s="1"/>
      <c r="P33" s="11"/>
    </row>
    <row r="34" spans="2:16" x14ac:dyDescent="0.3">
      <c r="B34" s="27"/>
      <c r="C34" s="3" t="str">
        <f t="shared" si="0"/>
        <v/>
      </c>
      <c r="D34" s="30"/>
      <c r="E34" s="23" t="str">
        <f t="shared" si="1"/>
        <v/>
      </c>
      <c r="F34" s="30"/>
      <c r="G34" s="26" t="str">
        <f t="shared" si="3"/>
        <v/>
      </c>
      <c r="K34" s="9"/>
      <c r="L34" t="str">
        <f t="shared" si="4"/>
        <v/>
      </c>
      <c r="M34" t="str">
        <f t="shared" si="2"/>
        <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353400</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t="s">
        <v>368</v>
      </c>
      <c r="C42" s="3" t="str">
        <f>+IF(B42="","",INDEX(U_MAQUINARIA,MATCH(B42,LISTA_MAQUINARIA,0)))</f>
        <v>VALOR / HORA</v>
      </c>
      <c r="D42" s="30">
        <v>1</v>
      </c>
      <c r="E42" s="23">
        <f>+IF(B42="","",INDEX(V_MAQUINARIA,MATCH(B42,LISTA_MAQUINARIA,0)))</f>
        <v>58531.818181818184</v>
      </c>
      <c r="F42" s="3">
        <f>$G$20</f>
        <v>3.48</v>
      </c>
      <c r="G42" s="26">
        <f>IF(D42="","",(E42*D42)/F42)</f>
        <v>16819.487983281088</v>
      </c>
      <c r="K42" s="9"/>
      <c r="L42" s="23">
        <f>IF(B42="","",INDEX(V_COMBUSTIBLE_H,MATCH(B42,LISTA_MAQUINARIA,0)))</f>
        <v>21600</v>
      </c>
      <c r="M42" s="23">
        <f>+IF(L42="","",(L42*D42)/F42)</f>
        <v>6206.8965517241377</v>
      </c>
      <c r="N42" s="23">
        <f>IF(G42="","",G42-M42)</f>
        <v>10612.59143155695</v>
      </c>
      <c r="P42" s="11"/>
    </row>
    <row r="43" spans="2:16" x14ac:dyDescent="0.3">
      <c r="B43" s="27"/>
      <c r="C43" s="3" t="str">
        <f>+IF(B43="","",INDEX(U_MAQUINARIA,MATCH(B43,LISTA_MAQUINARIA,0)))</f>
        <v/>
      </c>
      <c r="D43" s="30"/>
      <c r="E43" s="23" t="str">
        <f>+IF(B43="","",INDEX(V_MAQUINARIA,MATCH(B43,LISTA_MAQUINARIA,0)))</f>
        <v/>
      </c>
      <c r="F43" s="3">
        <f>+$G$20</f>
        <v>3.48</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3.48</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3.48</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3.48</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16819.487983281088</v>
      </c>
      <c r="K47" s="9"/>
      <c r="M47" s="24">
        <f>SUM(M42:M46)</f>
        <v>6206.8965517241377</v>
      </c>
      <c r="N47" s="24">
        <f>SUM(N42:N46)</f>
        <v>10612.59143155695</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t="s">
        <v>306</v>
      </c>
      <c r="C50" s="30">
        <v>1</v>
      </c>
      <c r="D50" s="22">
        <f>+IF(B50="","",INDEX(F_PRESTACIONAL,MATCH(B50,L_PERSONAL,)))</f>
        <v>2.3170181818181819</v>
      </c>
      <c r="E50" s="23">
        <f>+IF(B50="","",INDEX(V_H_MANODEOBRA,MATCH(B50,L_PERSONAL,0)))</f>
        <v>46340.36363636364</v>
      </c>
      <c r="F50" s="3">
        <f>+$G$20</f>
        <v>3.48</v>
      </c>
      <c r="G50" s="26">
        <f>+IF(C50="","",(E50*C50)/F50)</f>
        <v>13316.196447230932</v>
      </c>
    </row>
    <row r="51" spans="2:7" x14ac:dyDescent="0.3">
      <c r="B51" s="27" t="s">
        <v>304</v>
      </c>
      <c r="C51" s="30">
        <v>2</v>
      </c>
      <c r="D51" s="22">
        <f>+IF(B51="","",INDEX(F_PRESTACIONAL,MATCH(B51,L_PERSONAL,)))</f>
        <v>1.6352</v>
      </c>
      <c r="E51" s="23">
        <f>+IF(B51="","",INDEX(V_H_MANODEOBRA,MATCH(B51,L_PERSONAL,0)))</f>
        <v>24658.815999999999</v>
      </c>
      <c r="F51" s="3">
        <f>+$G$20</f>
        <v>3.48</v>
      </c>
      <c r="G51" s="26">
        <f>+IF(C51="","",(E51*C51)/F51)</f>
        <v>14171.733333333334</v>
      </c>
    </row>
    <row r="52" spans="2:7" x14ac:dyDescent="0.3">
      <c r="B52" s="27"/>
      <c r="C52" s="30"/>
      <c r="D52" s="22" t="str">
        <f>+IF(B52="","",INDEX(F_PRESTACIONAL,MATCH(B52,L_PERSONAL,)))</f>
        <v/>
      </c>
      <c r="E52" s="23" t="str">
        <f>+IF(B52="","",INDEX(V_H_MANODEOBRA,MATCH(B52,L_PERSONAL,0)))</f>
        <v/>
      </c>
      <c r="F52" s="3">
        <f>+$G$20</f>
        <v>3.48</v>
      </c>
      <c r="G52" s="26" t="str">
        <f>+IF(C52="","",(E52*C52)/F52)</f>
        <v/>
      </c>
    </row>
    <row r="53" spans="2:7" x14ac:dyDescent="0.3">
      <c r="B53" s="27"/>
      <c r="C53" s="30"/>
      <c r="D53" s="22" t="str">
        <f>+IF(B53="","",INDEX(F_PRESTACIONAL,MATCH(B53,L_PERSONAL,)))</f>
        <v/>
      </c>
      <c r="E53" s="23" t="str">
        <f>+IF(B53="","",INDEX(V_H_MANODEOBRA,MATCH(B53,L_PERSONAL,0)))</f>
        <v/>
      </c>
      <c r="F53" s="3">
        <f>+$G$20</f>
        <v>3.48</v>
      </c>
      <c r="G53" s="26" t="str">
        <f>+IF(C53="","",(E53*C53)/F53)</f>
        <v/>
      </c>
    </row>
    <row r="54" spans="2:7" x14ac:dyDescent="0.3">
      <c r="B54" s="27"/>
      <c r="C54" s="30"/>
      <c r="D54" s="22" t="str">
        <f>+IF(B54="","",INDEX(F_PRESTACIONAL,MATCH(B54,L_PERSONAL,)))</f>
        <v/>
      </c>
      <c r="E54" s="23" t="str">
        <f>+IF(B54="","",INDEX(V_H_MANODEOBRA,MATCH(B54,L_PERSONAL,0)))</f>
        <v/>
      </c>
      <c r="F54" s="3">
        <f>+$G$20</f>
        <v>3.48</v>
      </c>
      <c r="G54" s="26" t="str">
        <f>+IF(C54="","",(E54*C54)/F54)</f>
        <v/>
      </c>
    </row>
    <row r="55" spans="2:7" x14ac:dyDescent="0.3">
      <c r="B55" s="9"/>
      <c r="G55" s="26">
        <f>SUM(G50:G54)</f>
        <v>27487.929780564264</v>
      </c>
    </row>
    <row r="56" spans="2:7" ht="17.25" thickBot="1" x14ac:dyDescent="0.35">
      <c r="B56" s="9"/>
      <c r="G56" s="11"/>
    </row>
    <row r="57" spans="2:7" ht="17.25" thickBot="1" x14ac:dyDescent="0.35">
      <c r="B57" s="610" t="s">
        <v>98</v>
      </c>
      <c r="C57" s="611"/>
      <c r="D57" s="611"/>
      <c r="E57" s="611"/>
      <c r="F57" s="612"/>
      <c r="G57" s="66">
        <f>+G55+G47+G39+G28</f>
        <v>397707.41776384535</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47724.890131661443</v>
      </c>
    </row>
    <row r="61" spans="2:7" x14ac:dyDescent="0.3">
      <c r="B61" s="613" t="s">
        <v>86</v>
      </c>
      <c r="C61" s="614"/>
      <c r="D61" s="614"/>
      <c r="E61" s="614"/>
      <c r="F61" s="22">
        <f>+IMPREVISTOS</f>
        <v>0.03</v>
      </c>
      <c r="G61" s="26">
        <f>+$G$57*F61</f>
        <v>11931.222532915361</v>
      </c>
    </row>
    <row r="62" spans="2:7" x14ac:dyDescent="0.3">
      <c r="B62" s="613" t="s">
        <v>87</v>
      </c>
      <c r="C62" s="614"/>
      <c r="D62" s="614"/>
      <c r="E62" s="614"/>
      <c r="F62" s="22">
        <f>+UTILIDAD</f>
        <v>0.05</v>
      </c>
      <c r="G62" s="26">
        <f>+$G$57*F62</f>
        <v>19885.370888192268</v>
      </c>
    </row>
    <row r="63" spans="2:7" x14ac:dyDescent="0.3">
      <c r="B63" s="596" t="s">
        <v>100</v>
      </c>
      <c r="C63" s="597"/>
      <c r="D63" s="597"/>
      <c r="E63" s="597"/>
      <c r="F63" s="597"/>
      <c r="G63" s="53">
        <f>SUM(G60:G62)</f>
        <v>79541.483552769074</v>
      </c>
    </row>
    <row r="64" spans="2:7" ht="17.25" thickBot="1" x14ac:dyDescent="0.35">
      <c r="B64" s="9"/>
      <c r="G64" s="44"/>
    </row>
    <row r="65" spans="2:7" ht="17.25" thickBot="1" x14ac:dyDescent="0.35">
      <c r="B65" s="598" t="s">
        <v>101</v>
      </c>
      <c r="C65" s="599"/>
      <c r="D65" s="599"/>
      <c r="E65" s="599"/>
      <c r="F65" s="600"/>
      <c r="G65" s="65">
        <f>+G63+G57</f>
        <v>477248.90131661441</v>
      </c>
    </row>
    <row r="66" spans="2:7" x14ac:dyDescent="0.3">
      <c r="B66" s="6"/>
      <c r="C66" s="7"/>
      <c r="D66" s="7"/>
      <c r="E66" s="7"/>
      <c r="F66" s="7"/>
      <c r="G66" s="8"/>
    </row>
    <row r="67" spans="2:7" x14ac:dyDescent="0.3">
      <c r="B67" s="9"/>
      <c r="G67" s="11"/>
    </row>
    <row r="68" spans="2:7" x14ac:dyDescent="0.3">
      <c r="B68" s="69" t="s">
        <v>123</v>
      </c>
      <c r="C68" s="67"/>
      <c r="D68" s="67"/>
      <c r="E68" s="67"/>
      <c r="F68" s="67"/>
      <c r="G68" s="70"/>
    </row>
    <row r="69" spans="2:7" x14ac:dyDescent="0.3">
      <c r="B69" s="71"/>
      <c r="C69" s="67"/>
      <c r="D69" s="67"/>
      <c r="E69" s="67"/>
      <c r="F69" s="67"/>
      <c r="G69" s="70"/>
    </row>
    <row r="70" spans="2:7" x14ac:dyDescent="0.3">
      <c r="B70" s="72"/>
      <c r="C70" s="68"/>
      <c r="D70" s="68"/>
      <c r="E70" s="68"/>
      <c r="F70" s="68"/>
      <c r="G70" s="73"/>
    </row>
    <row r="71" spans="2:7" x14ac:dyDescent="0.3">
      <c r="B71" s="71"/>
      <c r="C71" s="67"/>
      <c r="D71" s="67"/>
      <c r="E71" s="67"/>
      <c r="F71" s="67"/>
      <c r="G71" s="70"/>
    </row>
    <row r="72" spans="2:7" ht="17.25" thickBot="1" x14ac:dyDescent="0.35">
      <c r="B72" s="15"/>
      <c r="C72" s="13"/>
      <c r="D72" s="13"/>
      <c r="E72" s="13"/>
      <c r="F72" s="13"/>
      <c r="G72" s="14"/>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count="5">
    <dataValidation type="list" allowBlank="1" showInputMessage="1" showErrorMessage="1" sqref="E102" xr:uid="{2E34E2C8-4722-4479-BEC6-5959E6B0C1A8}">
      <formula1>$A$103:$A$105</formula1>
    </dataValidation>
    <dataValidation type="list" allowBlank="1" showInputMessage="1" showErrorMessage="1" sqref="B13" xr:uid="{461D731E-108C-4414-851E-B6A0F9E6F05C}">
      <formula1>ITEM</formula1>
    </dataValidation>
    <dataValidation type="list" allowBlank="1" showInputMessage="1" showErrorMessage="1" sqref="B50:B54" xr:uid="{FE54DB32-E329-4021-A2AF-DAD26CC2B9C4}">
      <formula1>L_PERSONAL</formula1>
    </dataValidation>
    <dataValidation type="list" allowBlank="1" showInputMessage="1" showErrorMessage="1" sqref="B31:B38" xr:uid="{AF232CD6-76D4-4AA4-9A39-32D67431234A}">
      <formula1>L_MATERIALES</formula1>
    </dataValidation>
    <dataValidation type="list" allowBlank="1" showInputMessage="1" showErrorMessage="1" sqref="B23:B27 B42:B46" xr:uid="{7F90ECFE-40BC-4E4F-8699-B67C044EFCE2}">
      <formula1>LISTA_MAQUINARIA</formula1>
    </dataValidation>
  </dataValidations>
  <pageMargins left="1.6141732283464567" right="0.70866141732283472" top="0.74803149606299213" bottom="0.74803149606299213" header="0.31496062992125984" footer="0.31496062992125984"/>
  <pageSetup scale="45" orientation="portrait" r:id="rId1"/>
  <rowBreaks count="1" manualBreakCount="1">
    <brk id="78" max="16383" man="1"/>
  </rowBreaks>
  <colBreaks count="1" manualBreakCount="1">
    <brk id="7" max="1048575" man="1"/>
  </colBreaks>
  <drawing r:id="rId2"/>
  <tableParts count="1">
    <tablePart r:id="rId3"/>
  </tablePart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429159-CABB-43D5-A85C-A547584EE397}">
  <sheetPr codeName="Hoja52"/>
  <dimension ref="A1:P105"/>
  <sheetViews>
    <sheetView showGridLines="0" view="pageBreakPreview" zoomScale="60" zoomScaleNormal="60" workbookViewId="0">
      <selection activeCell="B1" sqref="B1:G78"/>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41</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18" t="str">
        <f>+IF($B$13="","",INDEX(DESCRIP_ITEM,MATCH($B$13,ITEM,0)))</f>
        <v xml:space="preserve">Suministro e Instalación de varilla de cobre-cobre 100%, de 5/8" x 2.44 m. Incluye el empleo de las herrramientas adecuadas para el enterramiento de la varilla en tierra, </v>
      </c>
      <c r="C16" s="619"/>
      <c r="D16" s="619"/>
      <c r="E16" s="619"/>
      <c r="F16" s="619"/>
      <c r="G16" s="620"/>
    </row>
    <row r="17" spans="2:16" ht="44.25" customHeight="1" thickBot="1" x14ac:dyDescent="0.35">
      <c r="B17" s="621"/>
      <c r="C17" s="622"/>
      <c r="D17" s="622"/>
      <c r="E17" s="622"/>
      <c r="F17" s="622"/>
      <c r="G17" s="623"/>
    </row>
    <row r="18" spans="2:16" ht="17.25" thickBot="1" x14ac:dyDescent="0.35">
      <c r="B18" s="591"/>
      <c r="C18" s="579"/>
      <c r="D18" s="579"/>
      <c r="E18" s="579"/>
      <c r="G18" s="11"/>
    </row>
    <row r="19" spans="2:16" ht="17.25" thickBot="1" x14ac:dyDescent="0.35">
      <c r="B19" s="592"/>
      <c r="C19" s="593"/>
      <c r="D19" s="593"/>
      <c r="E19" s="593"/>
      <c r="F19" s="54" t="s">
        <v>89</v>
      </c>
      <c r="G19" s="25" t="str">
        <f>+IF(B13="","",INDEX(U_ITEM,MATCH(B13,ITEM,0)))</f>
        <v>UN</v>
      </c>
    </row>
    <row r="20" spans="2:16" ht="17.25" thickBot="1" x14ac:dyDescent="0.35">
      <c r="B20" s="592"/>
      <c r="C20" s="593"/>
      <c r="D20" s="593"/>
      <c r="E20" s="593"/>
      <c r="F20" s="55" t="s">
        <v>90</v>
      </c>
      <c r="G20" s="56">
        <v>3.48</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c r="C23" s="3" t="str">
        <f>+IF(B23="","",INDEX(U_MAQUINARIA,MATCH(B23,LISTA_MAQUINARIA,0)))</f>
        <v/>
      </c>
      <c r="D23" s="30"/>
      <c r="E23" s="23" t="str">
        <f>+IF(B23="","",INDEX(V_MAQUINARIA,MATCH(B23,LISTA_MAQUINARIA,0)))</f>
        <v/>
      </c>
      <c r="F23" s="3">
        <f>$G$20</f>
        <v>3.48</v>
      </c>
      <c r="G23" s="26" t="str">
        <f>+IF(B23="","",(D23*E23)/F23)</f>
        <v/>
      </c>
      <c r="K23" s="9"/>
      <c r="L23" s="23" t="str">
        <f>IF(B23="","",INDEX(V_COMBUSTIBLE_H,MATCH(B23,LISTA_MAQUINARIA,0)))</f>
        <v/>
      </c>
      <c r="M23" s="23" t="str">
        <f>+IF(L23="","",(L23*D23)/F23)</f>
        <v/>
      </c>
      <c r="N23" s="23" t="str">
        <f>IF(G23="","",G23-M23)</f>
        <v/>
      </c>
      <c r="P23" s="11"/>
    </row>
    <row r="24" spans="2:16" x14ac:dyDescent="0.3">
      <c r="B24" s="27"/>
      <c r="C24" s="3" t="str">
        <f>+IF(B24="","",INDEX(U_MAQUINARIA,MATCH(B24,LISTA_MAQUINARIA,0)))</f>
        <v/>
      </c>
      <c r="D24" s="30"/>
      <c r="E24" s="23" t="str">
        <f>+IF(B24="","",INDEX(V_MAQUINARIA,MATCH(B24,LISTA_MAQUINARIA,0)))</f>
        <v/>
      </c>
      <c r="F24" s="3">
        <f>$G$20</f>
        <v>3.48</v>
      </c>
      <c r="G24" s="26" t="str">
        <f>+IF(B24="","",(D24*E24)/F24)</f>
        <v/>
      </c>
      <c r="K24" s="9"/>
      <c r="L24" s="3" t="str">
        <f>IF(B24="","",INDEX(V_COMBUSTIBLE_H,MATCH(B24,LISTA_MAQUINARIA,0)))</f>
        <v/>
      </c>
      <c r="M24" s="3" t="str">
        <f>+IF(L24="","",(L24*D24)/F24)</f>
        <v/>
      </c>
      <c r="N24" s="3" t="str">
        <f>IF(G24="","",G24-M24)</f>
        <v/>
      </c>
      <c r="P24" s="11"/>
    </row>
    <row r="25" spans="2:16" x14ac:dyDescent="0.3">
      <c r="B25" s="27"/>
      <c r="C25" s="3" t="str">
        <f>+IF(B25="","",INDEX(U_MAQUINARIA,MATCH(B25,LISTA_MAQUINARIA,0)))</f>
        <v/>
      </c>
      <c r="D25" s="30"/>
      <c r="E25" s="23" t="str">
        <f>+IF(B25="","",INDEX(V_MAQUINARIA,MATCH(B25,LISTA_MAQUINARIA,0)))</f>
        <v/>
      </c>
      <c r="F25" s="3">
        <f>$G$20</f>
        <v>3.48</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3.48</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3.48</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0</v>
      </c>
      <c r="K28" s="9"/>
      <c r="M28" s="24">
        <f>SUM(M23:M27)</f>
        <v>0</v>
      </c>
      <c r="N28" s="24">
        <f>SUM(N23:N27)</f>
        <v>0</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t="s">
        <v>433</v>
      </c>
      <c r="C31" s="3" t="str">
        <f t="shared" ref="C31:C38" si="0">+IF(B31="","",INDEX(U_MATERIAL,MATCH(B31,L_MATERIALES,0)))</f>
        <v>und</v>
      </c>
      <c r="D31" s="30">
        <v>1</v>
      </c>
      <c r="E31" s="23">
        <f t="shared" ref="E31:E38" si="1">+IF(B31="","",INDEX(V_UNITARIOMATERIAL,MATCH(B31,L_MATERIALES,0)))</f>
        <v>350000</v>
      </c>
      <c r="F31" s="30">
        <v>1</v>
      </c>
      <c r="G31" s="26">
        <f>IF(D31="","",(E31*D31)/F31)</f>
        <v>350000</v>
      </c>
      <c r="K31" s="9"/>
      <c r="L31" t="str">
        <f>+IF(B31="","",B31)</f>
        <v>Barra de cobre---</v>
      </c>
      <c r="M31">
        <f t="shared" ref="M31:M38" si="2">IF(D31="","",(D31/F31)*INDEX(CANT_PROYECTO,MATCH($B$13,ITEM,0)))</f>
        <v>394</v>
      </c>
      <c r="N31" s="1"/>
      <c r="P31" s="11"/>
    </row>
    <row r="32" spans="2:16" x14ac:dyDescent="0.3">
      <c r="B32" s="27" t="s">
        <v>361</v>
      </c>
      <c r="C32" s="3" t="str">
        <f t="shared" si="0"/>
        <v>UND</v>
      </c>
      <c r="D32" s="30">
        <v>1</v>
      </c>
      <c r="E32" s="23">
        <f t="shared" si="1"/>
        <v>340000</v>
      </c>
      <c r="F32" s="30">
        <v>100</v>
      </c>
      <c r="G32" s="26">
        <f t="shared" ref="G32:G38" si="3">IF(D32="","",(E32*D32)/F32)</f>
        <v>3400</v>
      </c>
      <c r="K32" s="9"/>
      <c r="L32" t="str">
        <f t="shared" ref="L32:L38" si="4">+IF(B32="","",B32)</f>
        <v>HERRAMIENTA MENOR---</v>
      </c>
      <c r="M32">
        <f t="shared" si="2"/>
        <v>3.94</v>
      </c>
      <c r="N32" s="1"/>
      <c r="P32" s="11"/>
    </row>
    <row r="33" spans="2:16" x14ac:dyDescent="0.3">
      <c r="B33" s="27"/>
      <c r="C33" s="3" t="str">
        <f t="shared" si="0"/>
        <v/>
      </c>
      <c r="D33" s="30"/>
      <c r="E33" s="23" t="str">
        <f t="shared" si="1"/>
        <v/>
      </c>
      <c r="F33" s="30"/>
      <c r="G33" s="26" t="str">
        <f t="shared" si="3"/>
        <v/>
      </c>
      <c r="K33" s="9"/>
      <c r="L33" t="str">
        <f t="shared" si="4"/>
        <v/>
      </c>
      <c r="M33" t="str">
        <f t="shared" si="2"/>
        <v/>
      </c>
      <c r="N33" s="1"/>
      <c r="P33" s="11"/>
    </row>
    <row r="34" spans="2:16" x14ac:dyDescent="0.3">
      <c r="B34" s="27"/>
      <c r="C34" s="3" t="str">
        <f t="shared" si="0"/>
        <v/>
      </c>
      <c r="D34" s="30"/>
      <c r="E34" s="23" t="str">
        <f t="shared" si="1"/>
        <v/>
      </c>
      <c r="F34" s="30"/>
      <c r="G34" s="26" t="str">
        <f t="shared" si="3"/>
        <v/>
      </c>
      <c r="K34" s="9"/>
      <c r="L34" t="str">
        <f t="shared" si="4"/>
        <v/>
      </c>
      <c r="M34" t="str">
        <f t="shared" si="2"/>
        <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353400</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t="s">
        <v>368</v>
      </c>
      <c r="C42" s="3" t="str">
        <f>+IF(B42="","",INDEX(U_MAQUINARIA,MATCH(B42,LISTA_MAQUINARIA,0)))</f>
        <v>VALOR / HORA</v>
      </c>
      <c r="D42" s="30">
        <v>1</v>
      </c>
      <c r="E42" s="23">
        <f>+IF(B42="","",INDEX(V_MAQUINARIA,MATCH(B42,LISTA_MAQUINARIA,0)))</f>
        <v>58531.818181818184</v>
      </c>
      <c r="F42" s="3">
        <f>$G$20</f>
        <v>3.48</v>
      </c>
      <c r="G42" s="26">
        <f>IF(D42="","",(E42*D42)/F42)</f>
        <v>16819.487983281088</v>
      </c>
      <c r="K42" s="9"/>
      <c r="L42" s="23">
        <f>IF(B42="","",INDEX(V_COMBUSTIBLE_H,MATCH(B42,LISTA_MAQUINARIA,0)))</f>
        <v>21600</v>
      </c>
      <c r="M42" s="23">
        <f>+IF(L42="","",(L42*D42)/F42)</f>
        <v>6206.8965517241377</v>
      </c>
      <c r="N42" s="23">
        <f>IF(G42="","",G42-M42)</f>
        <v>10612.59143155695</v>
      </c>
      <c r="P42" s="11"/>
    </row>
    <row r="43" spans="2:16" x14ac:dyDescent="0.3">
      <c r="B43" s="27"/>
      <c r="C43" s="3" t="str">
        <f>+IF(B43="","",INDEX(U_MAQUINARIA,MATCH(B43,LISTA_MAQUINARIA,0)))</f>
        <v/>
      </c>
      <c r="D43" s="30"/>
      <c r="E43" s="23" t="str">
        <f>+IF(B43="","",INDEX(V_MAQUINARIA,MATCH(B43,LISTA_MAQUINARIA,0)))</f>
        <v/>
      </c>
      <c r="F43" s="3">
        <f>+$G$20</f>
        <v>3.48</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3.48</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3.48</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3.48</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16819.487983281088</v>
      </c>
      <c r="K47" s="9"/>
      <c r="M47" s="24">
        <f>SUM(M42:M46)</f>
        <v>6206.8965517241377</v>
      </c>
      <c r="N47" s="24">
        <f>SUM(N42:N46)</f>
        <v>10612.59143155695</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t="s">
        <v>304</v>
      </c>
      <c r="C50" s="30">
        <v>2</v>
      </c>
      <c r="D50" s="22">
        <f>+IF(B50="","",INDEX(F_PRESTACIONAL,MATCH(B50,L_PERSONAL,)))</f>
        <v>1.6352</v>
      </c>
      <c r="E50" s="23">
        <f>+IF(B50="","",INDEX(V_H_MANODEOBRA,MATCH(B50,L_PERSONAL,0)))</f>
        <v>24658.815999999999</v>
      </c>
      <c r="F50" s="3">
        <f>+$G$20</f>
        <v>3.48</v>
      </c>
      <c r="G50" s="26">
        <f>+IF(C50="","",(E50*C50)/F50)</f>
        <v>14171.733333333334</v>
      </c>
    </row>
    <row r="51" spans="2:7" x14ac:dyDescent="0.3">
      <c r="B51" s="27" t="s">
        <v>306</v>
      </c>
      <c r="C51" s="30">
        <v>1</v>
      </c>
      <c r="D51" s="22">
        <f>+IF(B51="","",INDEX(F_PRESTACIONAL,MATCH(B51,L_PERSONAL,)))</f>
        <v>2.3170181818181819</v>
      </c>
      <c r="E51" s="23">
        <f>+IF(B51="","",INDEX(V_H_MANODEOBRA,MATCH(B51,L_PERSONAL,0)))</f>
        <v>46340.36363636364</v>
      </c>
      <c r="F51" s="3">
        <f>+$G$20</f>
        <v>3.48</v>
      </c>
      <c r="G51" s="26">
        <f>+IF(C51="","",(E51*C51)/F51)</f>
        <v>13316.196447230932</v>
      </c>
    </row>
    <row r="52" spans="2:7" x14ac:dyDescent="0.3">
      <c r="B52" s="27"/>
      <c r="C52" s="30"/>
      <c r="D52" s="22" t="str">
        <f>+IF(B52="","",INDEX(F_PRESTACIONAL,MATCH(B52,L_PERSONAL,)))</f>
        <v/>
      </c>
      <c r="E52" s="23" t="str">
        <f>+IF(B52="","",INDEX(V_H_MANODEOBRA,MATCH(B52,L_PERSONAL,0)))</f>
        <v/>
      </c>
      <c r="F52" s="3">
        <f>+$G$20</f>
        <v>3.48</v>
      </c>
      <c r="G52" s="26" t="str">
        <f>+IF(C52="","",(E52*C52)/F52)</f>
        <v/>
      </c>
    </row>
    <row r="53" spans="2:7" x14ac:dyDescent="0.3">
      <c r="B53" s="27"/>
      <c r="C53" s="30"/>
      <c r="D53" s="22" t="str">
        <f>+IF(B53="","",INDEX(F_PRESTACIONAL,MATCH(B53,L_PERSONAL,)))</f>
        <v/>
      </c>
      <c r="E53" s="23" t="str">
        <f>+IF(B53="","",INDEX(V_H_MANODEOBRA,MATCH(B53,L_PERSONAL,0)))</f>
        <v/>
      </c>
      <c r="F53" s="3">
        <f>+$G$20</f>
        <v>3.48</v>
      </c>
      <c r="G53" s="26" t="str">
        <f>+IF(C53="","",(E53*C53)/F53)</f>
        <v/>
      </c>
    </row>
    <row r="54" spans="2:7" x14ac:dyDescent="0.3">
      <c r="B54" s="27"/>
      <c r="C54" s="30"/>
      <c r="D54" s="22" t="str">
        <f>+IF(B54="","",INDEX(F_PRESTACIONAL,MATCH(B54,L_PERSONAL,)))</f>
        <v/>
      </c>
      <c r="E54" s="23" t="str">
        <f>+IF(B54="","",INDEX(V_H_MANODEOBRA,MATCH(B54,L_PERSONAL,0)))</f>
        <v/>
      </c>
      <c r="F54" s="3">
        <f>+$G$20</f>
        <v>3.48</v>
      </c>
      <c r="G54" s="26" t="str">
        <f>+IF(C54="","",(E54*C54)/F54)</f>
        <v/>
      </c>
    </row>
    <row r="55" spans="2:7" x14ac:dyDescent="0.3">
      <c r="B55" s="9"/>
      <c r="G55" s="26">
        <f>SUM(G50:G54)</f>
        <v>27487.929780564264</v>
      </c>
    </row>
    <row r="56" spans="2:7" ht="17.25" thickBot="1" x14ac:dyDescent="0.35">
      <c r="B56" s="9"/>
      <c r="G56" s="11"/>
    </row>
    <row r="57" spans="2:7" ht="17.25" thickBot="1" x14ac:dyDescent="0.35">
      <c r="B57" s="610" t="s">
        <v>98</v>
      </c>
      <c r="C57" s="611"/>
      <c r="D57" s="611"/>
      <c r="E57" s="611"/>
      <c r="F57" s="612"/>
      <c r="G57" s="66">
        <f>+G55+G47+G39+G28</f>
        <v>397707.41776384535</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47724.890131661443</v>
      </c>
    </row>
    <row r="61" spans="2:7" x14ac:dyDescent="0.3">
      <c r="B61" s="613" t="s">
        <v>86</v>
      </c>
      <c r="C61" s="614"/>
      <c r="D61" s="614"/>
      <c r="E61" s="614"/>
      <c r="F61" s="22">
        <f>+IMPREVISTOS</f>
        <v>0.03</v>
      </c>
      <c r="G61" s="26">
        <f>+$G$57*F61</f>
        <v>11931.222532915361</v>
      </c>
    </row>
    <row r="62" spans="2:7" x14ac:dyDescent="0.3">
      <c r="B62" s="613" t="s">
        <v>87</v>
      </c>
      <c r="C62" s="614"/>
      <c r="D62" s="614"/>
      <c r="E62" s="614"/>
      <c r="F62" s="22">
        <f>+UTILIDAD</f>
        <v>0.05</v>
      </c>
      <c r="G62" s="26">
        <f>+$G$57*F62</f>
        <v>19885.370888192268</v>
      </c>
    </row>
    <row r="63" spans="2:7" x14ac:dyDescent="0.3">
      <c r="B63" s="596" t="s">
        <v>100</v>
      </c>
      <c r="C63" s="597"/>
      <c r="D63" s="597"/>
      <c r="E63" s="597"/>
      <c r="F63" s="597"/>
      <c r="G63" s="53">
        <f>SUM(G60:G62)</f>
        <v>79541.483552769074</v>
      </c>
    </row>
    <row r="64" spans="2:7" ht="17.25" thickBot="1" x14ac:dyDescent="0.35">
      <c r="B64" s="9"/>
      <c r="G64" s="44"/>
    </row>
    <row r="65" spans="2:7" ht="17.25" thickBot="1" x14ac:dyDescent="0.35">
      <c r="B65" s="598" t="s">
        <v>101</v>
      </c>
      <c r="C65" s="599"/>
      <c r="D65" s="599"/>
      <c r="E65" s="599"/>
      <c r="F65" s="600"/>
      <c r="G65" s="65">
        <f>+G63+G57</f>
        <v>477248.90131661441</v>
      </c>
    </row>
    <row r="66" spans="2:7" x14ac:dyDescent="0.3">
      <c r="B66" s="6"/>
      <c r="C66" s="7"/>
      <c r="D66" s="7"/>
      <c r="E66" s="7"/>
      <c r="F66" s="7"/>
      <c r="G66" s="8"/>
    </row>
    <row r="67" spans="2:7" x14ac:dyDescent="0.3">
      <c r="B67" s="9"/>
      <c r="G67" s="11"/>
    </row>
    <row r="68" spans="2:7" x14ac:dyDescent="0.3">
      <c r="B68" s="69" t="s">
        <v>123</v>
      </c>
      <c r="C68" s="67"/>
      <c r="D68" s="67"/>
      <c r="E68" s="67"/>
      <c r="F68" s="67"/>
      <c r="G68" s="70"/>
    </row>
    <row r="69" spans="2:7" x14ac:dyDescent="0.3">
      <c r="B69" s="71"/>
      <c r="C69" s="67"/>
      <c r="D69" s="67"/>
      <c r="E69" s="67"/>
      <c r="F69" s="67"/>
      <c r="G69" s="70"/>
    </row>
    <row r="70" spans="2:7" x14ac:dyDescent="0.3">
      <c r="B70" s="72"/>
      <c r="C70" s="68"/>
      <c r="D70" s="68"/>
      <c r="E70" s="68"/>
      <c r="F70" s="68"/>
      <c r="G70" s="73"/>
    </row>
    <row r="71" spans="2:7" x14ac:dyDescent="0.3">
      <c r="B71" s="71"/>
      <c r="C71" s="67"/>
      <c r="D71" s="67"/>
      <c r="E71" s="67"/>
      <c r="F71" s="67"/>
      <c r="G71" s="70"/>
    </row>
    <row r="72" spans="2:7" ht="17.25" thickBot="1" x14ac:dyDescent="0.35">
      <c r="B72" s="15"/>
      <c r="C72" s="13"/>
      <c r="D72" s="13"/>
      <c r="E72" s="13"/>
      <c r="F72" s="13"/>
      <c r="G72" s="14"/>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count="5">
    <dataValidation type="list" allowBlank="1" showInputMessage="1" showErrorMessage="1" sqref="E102" xr:uid="{FEE09151-537A-442E-A362-DC07A94B0E1E}">
      <formula1>$A$103:$A$105</formula1>
    </dataValidation>
    <dataValidation type="list" allowBlank="1" showInputMessage="1" showErrorMessage="1" sqref="B13" xr:uid="{FC000C6D-7E3F-4EEC-A169-935F04290404}">
      <formula1>ITEM</formula1>
    </dataValidation>
    <dataValidation type="list" allowBlank="1" showInputMessage="1" showErrorMessage="1" sqref="B50:B54" xr:uid="{5F45E4C2-F573-454B-B16E-43E2B78E05E9}">
      <formula1>L_PERSONAL</formula1>
    </dataValidation>
    <dataValidation type="list" allowBlank="1" showInputMessage="1" showErrorMessage="1" sqref="B31:B38" xr:uid="{00BFC245-FF99-4080-AECE-0DED0C090FFD}">
      <formula1>L_MATERIALES</formula1>
    </dataValidation>
    <dataValidation type="list" allowBlank="1" showInputMessage="1" showErrorMessage="1" sqref="B23:B27 B42:B46" xr:uid="{06DADFBD-2A0F-469B-AB39-2CAEEC5D8487}">
      <formula1>LISTA_MAQUINARIA</formula1>
    </dataValidation>
  </dataValidations>
  <pageMargins left="0.70866141732283472" right="0.70866141732283472" top="0.74803149606299213" bottom="0.74803149606299213" header="0.31496062992125984" footer="0.31496062992125984"/>
  <pageSetup scale="45" orientation="portrait" r:id="rId1"/>
  <rowBreaks count="1" manualBreakCount="1">
    <brk id="78" max="16383" man="1"/>
  </rowBreaks>
  <colBreaks count="1" manualBreakCount="1">
    <brk id="7" max="1048575" man="1"/>
  </colBreaks>
  <drawing r:id="rId2"/>
  <tableParts count="1">
    <tablePart r:id="rId3"/>
  </tableParts>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5F6A4-8B32-411B-B24E-921C2132E782}">
  <sheetPr codeName="Hoja53"/>
  <dimension ref="A1:P105"/>
  <sheetViews>
    <sheetView showGridLines="0" view="pageBreakPreview" zoomScale="60" zoomScaleNormal="48" workbookViewId="0">
      <selection activeCell="B1" sqref="B1:G78"/>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42</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18" t="str">
        <f>+IF($B$13="","",INDEX(DESCRIP_ITEM,MATCH($B$13,ITEM,0)))</f>
        <v>Suministro e Instalación de latiguillo de 1.5 m de cable de cobre aislado 1x6AWG de color verde para puesta a tierra entre trackers. Incluye el suministro e instalación del conector bimetálico con agujero de 1/4"  en ambas puntas del latiguillo para adozar al torque tubo, Incluye el suministro y montaje de bridas o amarres plasticos con protección UV. incluye el mecanizado del torquetubo para la conexión, incluye dos tornillos autoroscantes acorde al terminal (1/4" x 3/4" aprox) y accesorios que permitan una correcta fijación y aplicación de galvanizado en frío en la zona mecanizada (si aplica). Los elementos deben tener protección contra la corrosión.</v>
      </c>
      <c r="C16" s="619"/>
      <c r="D16" s="619"/>
      <c r="E16" s="619"/>
      <c r="F16" s="619"/>
      <c r="G16" s="620"/>
    </row>
    <row r="17" spans="2:16" ht="96.4" customHeight="1" thickBot="1" x14ac:dyDescent="0.35">
      <c r="B17" s="621"/>
      <c r="C17" s="622"/>
      <c r="D17" s="622"/>
      <c r="E17" s="622"/>
      <c r="F17" s="622"/>
      <c r="G17" s="623"/>
    </row>
    <row r="18" spans="2:16" ht="17.25" thickBot="1" x14ac:dyDescent="0.35">
      <c r="B18" s="591"/>
      <c r="C18" s="579"/>
      <c r="D18" s="579"/>
      <c r="E18" s="579"/>
      <c r="G18" s="11"/>
    </row>
    <row r="19" spans="2:16" ht="17.25" thickBot="1" x14ac:dyDescent="0.35">
      <c r="B19" s="592"/>
      <c r="C19" s="593"/>
      <c r="D19" s="593"/>
      <c r="E19" s="593"/>
      <c r="F19" s="54" t="s">
        <v>89</v>
      </c>
      <c r="G19" s="25" t="str">
        <f>+IF(B13="","",INDEX(U_ITEM,MATCH(B13,ITEM,0)))</f>
        <v>UN</v>
      </c>
    </row>
    <row r="20" spans="2:16" ht="17.25" thickBot="1" x14ac:dyDescent="0.35">
      <c r="B20" s="592"/>
      <c r="C20" s="593"/>
      <c r="D20" s="593"/>
      <c r="E20" s="593"/>
      <c r="F20" s="55" t="s">
        <v>90</v>
      </c>
      <c r="G20" s="56">
        <v>71</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c r="C23" s="3" t="str">
        <f>+IF(B23="","",INDEX(U_MAQUINARIA,MATCH(B23,LISTA_MAQUINARIA,0)))</f>
        <v/>
      </c>
      <c r="D23" s="30"/>
      <c r="E23" s="23" t="str">
        <f>+IF(B23="","",INDEX(V_MAQUINARIA,MATCH(B23,LISTA_MAQUINARIA,0)))</f>
        <v/>
      </c>
      <c r="F23" s="3">
        <f>$G$20</f>
        <v>71</v>
      </c>
      <c r="G23" s="26" t="str">
        <f>+IF(B23="","",(D23*E23)/F23)</f>
        <v/>
      </c>
      <c r="K23" s="9"/>
      <c r="L23" s="23" t="str">
        <f>IF(B23="","",INDEX(V_COMBUSTIBLE_H,MATCH(B23,LISTA_MAQUINARIA,0)))</f>
        <v/>
      </c>
      <c r="M23" s="23" t="str">
        <f>+IF(L23="","",(L23*D23)/F23)</f>
        <v/>
      </c>
      <c r="N23" s="23" t="str">
        <f>IF(G23="","",G23-M23)</f>
        <v/>
      </c>
      <c r="P23" s="11"/>
    </row>
    <row r="24" spans="2:16" x14ac:dyDescent="0.3">
      <c r="B24" s="27"/>
      <c r="C24" s="3" t="str">
        <f>+IF(B24="","",INDEX(U_MAQUINARIA,MATCH(B24,LISTA_MAQUINARIA,0)))</f>
        <v/>
      </c>
      <c r="D24" s="30"/>
      <c r="E24" s="23" t="str">
        <f>+IF(B24="","",INDEX(V_MAQUINARIA,MATCH(B24,LISTA_MAQUINARIA,0)))</f>
        <v/>
      </c>
      <c r="F24" s="3">
        <f>$G$20</f>
        <v>71</v>
      </c>
      <c r="G24" s="26" t="str">
        <f>+IF(B24="","",(D24*E24)/F24)</f>
        <v/>
      </c>
      <c r="K24" s="9"/>
      <c r="L24" s="3" t="str">
        <f>IF(B24="","",INDEX(V_COMBUSTIBLE_H,MATCH(B24,LISTA_MAQUINARIA,0)))</f>
        <v/>
      </c>
      <c r="M24" s="3" t="str">
        <f>+IF(L24="","",(L24*D24)/F24)</f>
        <v/>
      </c>
      <c r="N24" s="3" t="str">
        <f>IF(G24="","",G24-M24)</f>
        <v/>
      </c>
      <c r="P24" s="11"/>
    </row>
    <row r="25" spans="2:16" x14ac:dyDescent="0.3">
      <c r="B25" s="27"/>
      <c r="C25" s="3" t="str">
        <f>+IF(B25="","",INDEX(U_MAQUINARIA,MATCH(B25,LISTA_MAQUINARIA,0)))</f>
        <v/>
      </c>
      <c r="D25" s="30"/>
      <c r="E25" s="23" t="str">
        <f>+IF(B25="","",INDEX(V_MAQUINARIA,MATCH(B25,LISTA_MAQUINARIA,0)))</f>
        <v/>
      </c>
      <c r="F25" s="3">
        <f>$G$20</f>
        <v>71</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71</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71</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0</v>
      </c>
      <c r="K28" s="9"/>
      <c r="M28" s="24">
        <f>SUM(M23:M27)</f>
        <v>0</v>
      </c>
      <c r="N28" s="24">
        <f>SUM(N23:N27)</f>
        <v>0</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t="s">
        <v>436</v>
      </c>
      <c r="C31" s="3" t="str">
        <f t="shared" ref="C31:C38" si="0">+IF(B31="","",INDEX(U_MATERIAL,MATCH(B31,L_MATERIALES,0)))</f>
        <v>ml</v>
      </c>
      <c r="D31" s="30">
        <v>1.5</v>
      </c>
      <c r="E31" s="23">
        <f t="shared" ref="E31:E38" si="1">+IF(B31="","",INDEX(V_UNITARIOMATERIAL,MATCH(B31,L_MATERIALES,0)))</f>
        <v>18500</v>
      </c>
      <c r="F31" s="30">
        <v>1</v>
      </c>
      <c r="G31" s="26">
        <f>IF(D31="","",(E31*D31)/F31)</f>
        <v>27750</v>
      </c>
      <c r="K31" s="9"/>
      <c r="M31">
        <f t="shared" ref="M31:M38" si="2">IF(D31="","",(D31/F31)*INDEX(CANT_PROYECTO,MATCH($B$13,ITEM,0)))</f>
        <v>2220</v>
      </c>
      <c r="N31" s="1"/>
      <c r="P31" s="11"/>
    </row>
    <row r="32" spans="2:16" x14ac:dyDescent="0.3">
      <c r="B32" s="27" t="s">
        <v>361</v>
      </c>
      <c r="C32" s="3" t="str">
        <f t="shared" si="0"/>
        <v>UND</v>
      </c>
      <c r="D32" s="30">
        <v>1</v>
      </c>
      <c r="E32" s="23">
        <f t="shared" si="1"/>
        <v>340000</v>
      </c>
      <c r="F32" s="30">
        <v>100</v>
      </c>
      <c r="G32" s="26">
        <f t="shared" ref="G32:G38" si="3">IF(D32="","",(E32*D32)/F32)</f>
        <v>3400</v>
      </c>
      <c r="K32" s="9"/>
      <c r="L32" t="str">
        <f t="shared" ref="L32:L38" si="4">+IF(B32="","",B32)</f>
        <v>HERRAMIENTA MENOR---</v>
      </c>
      <c r="M32">
        <f t="shared" si="2"/>
        <v>14.8</v>
      </c>
      <c r="N32" s="1"/>
      <c r="P32" s="11"/>
    </row>
    <row r="33" spans="2:16" x14ac:dyDescent="0.3">
      <c r="B33" s="27" t="s">
        <v>429</v>
      </c>
      <c r="C33" s="3" t="str">
        <f t="shared" si="0"/>
        <v>und</v>
      </c>
      <c r="D33" s="30">
        <v>2</v>
      </c>
      <c r="E33" s="23">
        <f t="shared" si="1"/>
        <v>8900</v>
      </c>
      <c r="F33" s="30">
        <v>1</v>
      </c>
      <c r="G33" s="26">
        <f t="shared" si="3"/>
        <v>17800</v>
      </c>
      <c r="K33" s="9"/>
      <c r="L33" t="str">
        <f t="shared" si="4"/>
        <v>Perno + arandela---</v>
      </c>
      <c r="M33">
        <f t="shared" si="2"/>
        <v>2960</v>
      </c>
      <c r="N33" s="1"/>
      <c r="P33" s="11"/>
    </row>
    <row r="34" spans="2:16" x14ac:dyDescent="0.3">
      <c r="B34" s="27" t="s">
        <v>396</v>
      </c>
      <c r="C34" s="3" t="str">
        <f t="shared" si="0"/>
        <v>UND</v>
      </c>
      <c r="D34" s="30">
        <v>2</v>
      </c>
      <c r="E34" s="23">
        <f t="shared" si="1"/>
        <v>1925.0000000000002</v>
      </c>
      <c r="F34" s="30">
        <v>1</v>
      </c>
      <c r="G34" s="26">
        <f t="shared" si="3"/>
        <v>3850.0000000000005</v>
      </c>
      <c r="K34" s="9"/>
      <c r="L34" t="str">
        <f t="shared" si="4"/>
        <v>BRIDA PLASTICA UV---</v>
      </c>
      <c r="M34">
        <f t="shared" si="2"/>
        <v>2960</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52800</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t="s">
        <v>455</v>
      </c>
      <c r="C42" s="3">
        <f>+IF(B42="","",INDEX(U_MAQUINARIA,MATCH(B42,LISTA_MAQUINARIA,0)))</f>
        <v>0</v>
      </c>
      <c r="D42" s="30">
        <v>1</v>
      </c>
      <c r="E42" s="23">
        <f>+IF(B42="","",INDEX(V_MAQUINARIA,MATCH(B42,LISTA_MAQUINARIA,0)))</f>
        <v>101145.45454545454</v>
      </c>
      <c r="F42" s="3">
        <f>$G$20</f>
        <v>71</v>
      </c>
      <c r="G42" s="26">
        <f>IF(D42="","",(E42*D42)/F42)</f>
        <v>1424.5838668373879</v>
      </c>
      <c r="K42" s="9"/>
      <c r="L42" s="23">
        <f>IF(B42="","",INDEX(V_COMBUSTIBLE_H,MATCH(B42,LISTA_MAQUINARIA,0)))</f>
        <v>21600</v>
      </c>
      <c r="M42" s="23">
        <f>+IF(L42="","",(L42*D42)/F42)</f>
        <v>304.22535211267603</v>
      </c>
      <c r="N42" s="23">
        <f>IF(G42="","",G42-M42)</f>
        <v>1120.3585147247118</v>
      </c>
      <c r="P42" s="11"/>
    </row>
    <row r="43" spans="2:16" x14ac:dyDescent="0.3">
      <c r="B43" s="27"/>
      <c r="C43" s="3" t="str">
        <f>+IF(B43="","",INDEX(U_MAQUINARIA,MATCH(B43,LISTA_MAQUINARIA,0)))</f>
        <v/>
      </c>
      <c r="D43" s="30"/>
      <c r="E43" s="23" t="str">
        <f>+IF(B43="","",INDEX(V_MAQUINARIA,MATCH(B43,LISTA_MAQUINARIA,0)))</f>
        <v/>
      </c>
      <c r="F43" s="3">
        <f>+$G$20</f>
        <v>71</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71</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71</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71</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1424.5838668373879</v>
      </c>
      <c r="K47" s="9"/>
      <c r="M47" s="24">
        <f>SUM(M42:M46)</f>
        <v>304.22535211267603</v>
      </c>
      <c r="N47" s="24">
        <f>SUM(N42:N46)</f>
        <v>1120.3585147247118</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t="s">
        <v>298</v>
      </c>
      <c r="C50" s="30">
        <v>1</v>
      </c>
      <c r="D50" s="22">
        <f>+IF(B50="","",INDEX(F_PRESTACIONAL,MATCH(B50,L_PERSONAL,)))</f>
        <v>1.6352</v>
      </c>
      <c r="E50" s="23">
        <f>+IF(B50="","",INDEX(V_H_MANODEOBRA,MATCH(B50,L_PERSONAL,0)))</f>
        <v>40136.727272727272</v>
      </c>
      <c r="F50" s="3">
        <f>+$G$20</f>
        <v>71</v>
      </c>
      <c r="G50" s="26">
        <f>+IF(C50="","",(E50*C50)/F50)</f>
        <v>565.30601792573623</v>
      </c>
    </row>
    <row r="51" spans="2:7" x14ac:dyDescent="0.3">
      <c r="B51" s="27" t="s">
        <v>304</v>
      </c>
      <c r="C51" s="30">
        <v>10</v>
      </c>
      <c r="D51" s="22">
        <f>+IF(B51="","",INDEX(F_PRESTACIONAL,MATCH(B51,L_PERSONAL,)))</f>
        <v>1.6352</v>
      </c>
      <c r="E51" s="23">
        <f>+IF(B51="","",INDEX(V_H_MANODEOBRA,MATCH(B51,L_PERSONAL,0)))</f>
        <v>24658.815999999999</v>
      </c>
      <c r="F51" s="3">
        <f>+$G$20</f>
        <v>71</v>
      </c>
      <c r="G51" s="26">
        <f>+IF(C51="","",(E51*C51)/F51)</f>
        <v>3473.0726760563375</v>
      </c>
    </row>
    <row r="52" spans="2:7" x14ac:dyDescent="0.3">
      <c r="B52" s="27" t="s">
        <v>299</v>
      </c>
      <c r="C52" s="30">
        <v>1</v>
      </c>
      <c r="D52" s="22">
        <f>+IF(B52="","",INDEX(F_PRESTACIONAL,MATCH(B52,L_PERSONAL,)))</f>
        <v>1.6352</v>
      </c>
      <c r="E52" s="23">
        <f>+IF(B52="","",INDEX(V_H_MANODEOBRA,MATCH(B52,L_PERSONAL,0)))</f>
        <v>22298.18181818182</v>
      </c>
      <c r="F52" s="3">
        <f>+$G$20</f>
        <v>71</v>
      </c>
      <c r="G52" s="26">
        <f>+IF(C52="","",(E52*C52)/F52)</f>
        <v>314.05889884763127</v>
      </c>
    </row>
    <row r="53" spans="2:7" x14ac:dyDescent="0.3">
      <c r="B53" s="27"/>
      <c r="C53" s="30"/>
      <c r="D53" s="22" t="str">
        <f>+IF(B53="","",INDEX(F_PRESTACIONAL,MATCH(B53,L_PERSONAL,)))</f>
        <v/>
      </c>
      <c r="E53" s="23" t="str">
        <f>+IF(B53="","",INDEX(V_H_MANODEOBRA,MATCH(B53,L_PERSONAL,0)))</f>
        <v/>
      </c>
      <c r="F53" s="3">
        <f>+$G$20</f>
        <v>71</v>
      </c>
      <c r="G53" s="26" t="str">
        <f>+IF(C53="","",(E53*C53)/F53)</f>
        <v/>
      </c>
    </row>
    <row r="54" spans="2:7" x14ac:dyDescent="0.3">
      <c r="B54" s="27"/>
      <c r="C54" s="30"/>
      <c r="D54" s="22" t="str">
        <f>+IF(B54="","",INDEX(F_PRESTACIONAL,MATCH(B54,L_PERSONAL,)))</f>
        <v/>
      </c>
      <c r="E54" s="23" t="str">
        <f>+IF(B54="","",INDEX(V_H_MANODEOBRA,MATCH(B54,L_PERSONAL,0)))</f>
        <v/>
      </c>
      <c r="F54" s="3">
        <f>+$G$20</f>
        <v>71</v>
      </c>
      <c r="G54" s="26" t="str">
        <f>+IF(C54="","",(E54*C54)/F54)</f>
        <v/>
      </c>
    </row>
    <row r="55" spans="2:7" x14ac:dyDescent="0.3">
      <c r="B55" s="9"/>
      <c r="G55" s="26">
        <f>SUM(G50:G54)</f>
        <v>4352.437592829705</v>
      </c>
    </row>
    <row r="56" spans="2:7" ht="17.25" thickBot="1" x14ac:dyDescent="0.35">
      <c r="B56" s="9"/>
      <c r="G56" s="11"/>
    </row>
    <row r="57" spans="2:7" ht="17.25" thickBot="1" x14ac:dyDescent="0.35">
      <c r="B57" s="610" t="s">
        <v>98</v>
      </c>
      <c r="C57" s="611"/>
      <c r="D57" s="611"/>
      <c r="E57" s="611"/>
      <c r="F57" s="612"/>
      <c r="G57" s="66">
        <f>+G55+G47+G39+G28</f>
        <v>58577.021459667092</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7029.2425751600504</v>
      </c>
    </row>
    <row r="61" spans="2:7" x14ac:dyDescent="0.3">
      <c r="B61" s="613" t="s">
        <v>86</v>
      </c>
      <c r="C61" s="614"/>
      <c r="D61" s="614"/>
      <c r="E61" s="614"/>
      <c r="F61" s="22">
        <f>+IMPREVISTOS</f>
        <v>0.03</v>
      </c>
      <c r="G61" s="26">
        <f>+$G$57*F61</f>
        <v>1757.3106437900126</v>
      </c>
    </row>
    <row r="62" spans="2:7" x14ac:dyDescent="0.3">
      <c r="B62" s="613" t="s">
        <v>87</v>
      </c>
      <c r="C62" s="614"/>
      <c r="D62" s="614"/>
      <c r="E62" s="614"/>
      <c r="F62" s="22">
        <f>+UTILIDAD</f>
        <v>0.05</v>
      </c>
      <c r="G62" s="26">
        <f>+$G$57*F62</f>
        <v>2928.8510729833547</v>
      </c>
    </row>
    <row r="63" spans="2:7" x14ac:dyDescent="0.3">
      <c r="B63" s="596" t="s">
        <v>100</v>
      </c>
      <c r="C63" s="597"/>
      <c r="D63" s="597"/>
      <c r="E63" s="597"/>
      <c r="F63" s="597"/>
      <c r="G63" s="53">
        <f>SUM(G60:G62)</f>
        <v>11715.404291933417</v>
      </c>
    </row>
    <row r="64" spans="2:7" ht="17.25" thickBot="1" x14ac:dyDescent="0.35">
      <c r="B64" s="9"/>
      <c r="G64" s="44"/>
    </row>
    <row r="65" spans="2:7" ht="17.25" thickBot="1" x14ac:dyDescent="0.35">
      <c r="B65" s="598" t="s">
        <v>101</v>
      </c>
      <c r="C65" s="599"/>
      <c r="D65" s="599"/>
      <c r="E65" s="599"/>
      <c r="F65" s="600"/>
      <c r="G65" s="65">
        <f>+G63+G57</f>
        <v>70292.425751600502</v>
      </c>
    </row>
    <row r="66" spans="2:7" x14ac:dyDescent="0.3">
      <c r="B66" s="6"/>
      <c r="C66" s="7"/>
      <c r="D66" s="7"/>
      <c r="E66" s="7"/>
      <c r="F66" s="7"/>
      <c r="G66" s="8"/>
    </row>
    <row r="67" spans="2:7" x14ac:dyDescent="0.3">
      <c r="B67" s="9"/>
      <c r="G67" s="11"/>
    </row>
    <row r="68" spans="2:7" x14ac:dyDescent="0.3">
      <c r="B68" s="69" t="s">
        <v>123</v>
      </c>
      <c r="C68" s="67"/>
      <c r="D68" s="67"/>
      <c r="E68" s="67"/>
      <c r="F68" s="67"/>
      <c r="G68" s="70"/>
    </row>
    <row r="69" spans="2:7" x14ac:dyDescent="0.3">
      <c r="B69" s="71"/>
      <c r="C69" s="67"/>
      <c r="D69" s="67"/>
      <c r="E69" s="67"/>
      <c r="F69" s="67"/>
      <c r="G69" s="70"/>
    </row>
    <row r="70" spans="2:7" x14ac:dyDescent="0.3">
      <c r="B70" s="72"/>
      <c r="C70" s="68"/>
      <c r="D70" s="68"/>
      <c r="E70" s="68"/>
      <c r="F70" s="68"/>
      <c r="G70" s="73"/>
    </row>
    <row r="71" spans="2:7" x14ac:dyDescent="0.3">
      <c r="B71" s="71"/>
      <c r="C71" s="67"/>
      <c r="D71" s="67"/>
      <c r="E71" s="67"/>
      <c r="F71" s="67"/>
      <c r="G71" s="70"/>
    </row>
    <row r="72" spans="2:7" ht="17.25" thickBot="1" x14ac:dyDescent="0.35">
      <c r="B72" s="15"/>
      <c r="C72" s="13"/>
      <c r="D72" s="13"/>
      <c r="E72" s="13"/>
      <c r="F72" s="13"/>
      <c r="G72" s="14"/>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count="5">
    <dataValidation type="list" allowBlank="1" showInputMessage="1" showErrorMessage="1" sqref="E102" xr:uid="{E4ACF7D0-9192-4E25-B2BC-4671747AB45A}">
      <formula1>$A$103:$A$105</formula1>
    </dataValidation>
    <dataValidation type="list" allowBlank="1" showInputMessage="1" showErrorMessage="1" sqref="B13" xr:uid="{F992E2E9-5AFF-4824-A30F-6BC163033D7B}">
      <formula1>ITEM</formula1>
    </dataValidation>
    <dataValidation type="list" allowBlank="1" showInputMessage="1" showErrorMessage="1" sqref="B50:B54" xr:uid="{485C608B-58DF-4851-B524-11C39275026F}">
      <formula1>L_PERSONAL</formula1>
    </dataValidation>
    <dataValidation type="list" allowBlank="1" showInputMessage="1" showErrorMessage="1" sqref="B31:B38" xr:uid="{3E28DD5D-BD2F-4C69-9EF9-142E6316AC3D}">
      <formula1>L_MATERIALES</formula1>
    </dataValidation>
    <dataValidation type="list" allowBlank="1" showInputMessage="1" showErrorMessage="1" sqref="B23:B27 B42:B46" xr:uid="{5810D102-7EB7-4863-9E4D-7D0376650D5A}">
      <formula1>LISTA_MAQUINARIA</formula1>
    </dataValidation>
  </dataValidations>
  <pageMargins left="0.70866141732283472" right="0.70866141732283472" top="0.74803149606299213" bottom="0.74803149606299213" header="0.31496062992125984" footer="0.31496062992125984"/>
  <pageSetup scale="45" orientation="portrait" r:id="rId1"/>
  <rowBreaks count="1" manualBreakCount="1">
    <brk id="78" max="16383" man="1"/>
  </rowBreaks>
  <colBreaks count="1" manualBreakCount="1">
    <brk id="7" max="1048575" man="1"/>
  </colBreaks>
  <drawing r:id="rId2"/>
  <tableParts count="1">
    <tablePart r:id="rId3"/>
  </tablePart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A388D-2C19-4787-B35C-7A8CD85FB6E2}">
  <sheetPr codeName="Hoja54"/>
  <dimension ref="A1:P105"/>
  <sheetViews>
    <sheetView showGridLines="0" view="pageBreakPreview" zoomScale="60" zoomScaleNormal="60" workbookViewId="0">
      <selection activeCell="B1" sqref="B1:G78"/>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43</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18" t="str">
        <f>+IF($B$13="","",INDEX(DESCRIP_ITEM,MATCH($B$13,ITEM,0)))</f>
        <v>Instalación de latiguillo de cable de cobre desnudo No. 2 AWG para puesta a tierra . Incluye suministro e Instalación de conector bimetálico tipo pala de 1 hueco para calibre de 2 AWG con certificación RETIE. con tornillo , tuerca, arandela plana y arandela de presión, tendido del latiguillo hacia la excavación del SPT, la excavación manual desde estructura a la zanja del SPT y demás accesorios para fijación en forma correcta.</v>
      </c>
      <c r="C16" s="619"/>
      <c r="D16" s="619"/>
      <c r="E16" s="619"/>
      <c r="F16" s="619"/>
      <c r="G16" s="620"/>
    </row>
    <row r="17" spans="2:16" ht="118.9" customHeight="1" thickBot="1" x14ac:dyDescent="0.35">
      <c r="B17" s="621"/>
      <c r="C17" s="622"/>
      <c r="D17" s="622"/>
      <c r="E17" s="622"/>
      <c r="F17" s="622"/>
      <c r="G17" s="623"/>
    </row>
    <row r="18" spans="2:16" ht="17.25" thickBot="1" x14ac:dyDescent="0.35">
      <c r="B18" s="591"/>
      <c r="C18" s="579"/>
      <c r="D18" s="579"/>
      <c r="E18" s="579"/>
      <c r="G18" s="11"/>
    </row>
    <row r="19" spans="2:16" ht="17.25" thickBot="1" x14ac:dyDescent="0.35">
      <c r="B19" s="592"/>
      <c r="C19" s="593"/>
      <c r="D19" s="593"/>
      <c r="E19" s="593"/>
      <c r="F19" s="54" t="s">
        <v>89</v>
      </c>
      <c r="G19" s="25" t="str">
        <f>+IF(B13="","",INDEX(U_ITEM,MATCH(B13,ITEM,0)))</f>
        <v>UN</v>
      </c>
    </row>
    <row r="20" spans="2:16" ht="17.25" thickBot="1" x14ac:dyDescent="0.35">
      <c r="B20" s="592"/>
      <c r="C20" s="593"/>
      <c r="D20" s="593"/>
      <c r="E20" s="593"/>
      <c r="F20" s="55" t="s">
        <v>90</v>
      </c>
      <c r="G20" s="56">
        <v>75</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c r="C23" s="3" t="str">
        <f>+IF(B23="","",INDEX(U_MAQUINARIA,MATCH(B23,LISTA_MAQUINARIA,0)))</f>
        <v/>
      </c>
      <c r="D23" s="30"/>
      <c r="E23" s="23" t="str">
        <f>+IF(B23="","",INDEX(V_MAQUINARIA,MATCH(B23,LISTA_MAQUINARIA,0)))</f>
        <v/>
      </c>
      <c r="F23" s="3">
        <f>$G$20</f>
        <v>75</v>
      </c>
      <c r="G23" s="26" t="str">
        <f>+IF(B23="","",(D23*E23)/F23)</f>
        <v/>
      </c>
      <c r="K23" s="9"/>
      <c r="L23" s="23" t="str">
        <f>IF(B23="","",INDEX(V_COMBUSTIBLE_H,MATCH(B23,LISTA_MAQUINARIA,0)))</f>
        <v/>
      </c>
      <c r="M23" s="23" t="str">
        <f>+IF(L23="","",(L23*D23)/F23)</f>
        <v/>
      </c>
      <c r="N23" s="23" t="str">
        <f>IF(G23="","",G23-M23)</f>
        <v/>
      </c>
      <c r="P23" s="11"/>
    </row>
    <row r="24" spans="2:16" x14ac:dyDescent="0.3">
      <c r="B24" s="27"/>
      <c r="C24" s="3" t="str">
        <f>+IF(B24="","",INDEX(U_MAQUINARIA,MATCH(B24,LISTA_MAQUINARIA,0)))</f>
        <v/>
      </c>
      <c r="D24" s="30"/>
      <c r="E24" s="23" t="str">
        <f>+IF(B24="","",INDEX(V_MAQUINARIA,MATCH(B24,LISTA_MAQUINARIA,0)))</f>
        <v/>
      </c>
      <c r="F24" s="3">
        <f>$G$20</f>
        <v>75</v>
      </c>
      <c r="G24" s="26" t="str">
        <f>+IF(B24="","",(D24*E24)/F24)</f>
        <v/>
      </c>
      <c r="K24" s="9"/>
      <c r="L24" s="3" t="str">
        <f>IF(B24="","",INDEX(V_COMBUSTIBLE_H,MATCH(B24,LISTA_MAQUINARIA,0)))</f>
        <v/>
      </c>
      <c r="M24" s="3" t="str">
        <f>+IF(L24="","",(L24*D24)/F24)</f>
        <v/>
      </c>
      <c r="N24" s="3" t="str">
        <f>IF(G24="","",G24-M24)</f>
        <v/>
      </c>
      <c r="P24" s="11"/>
    </row>
    <row r="25" spans="2:16" x14ac:dyDescent="0.3">
      <c r="B25" s="27"/>
      <c r="C25" s="3" t="str">
        <f>+IF(B25="","",INDEX(U_MAQUINARIA,MATCH(B25,LISTA_MAQUINARIA,0)))</f>
        <v/>
      </c>
      <c r="D25" s="30"/>
      <c r="E25" s="23" t="str">
        <f>+IF(B25="","",INDEX(V_MAQUINARIA,MATCH(B25,LISTA_MAQUINARIA,0)))</f>
        <v/>
      </c>
      <c r="F25" s="3">
        <f>$G$20</f>
        <v>75</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75</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75</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0</v>
      </c>
      <c r="K28" s="9"/>
      <c r="M28" s="24">
        <f>SUM(M23:M27)</f>
        <v>0</v>
      </c>
      <c r="N28" s="24">
        <f>SUM(N23:N27)</f>
        <v>0</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t="s">
        <v>361</v>
      </c>
      <c r="C31" s="3" t="str">
        <f t="shared" ref="C31:C38" si="0">+IF(B31="","",INDEX(U_MATERIAL,MATCH(B31,L_MATERIALES,0)))</f>
        <v>UND</v>
      </c>
      <c r="D31" s="30">
        <v>1</v>
      </c>
      <c r="E31" s="23">
        <f t="shared" ref="E31:E38" si="1">+IF(B31="","",INDEX(V_UNITARIOMATERIAL,MATCH(B31,L_MATERIALES,0)))</f>
        <v>340000</v>
      </c>
      <c r="F31" s="30">
        <v>350</v>
      </c>
      <c r="G31" s="26">
        <f>IF(D31="","",(E31*D31)/F31)</f>
        <v>971.42857142857144</v>
      </c>
      <c r="K31" s="9"/>
      <c r="L31" t="str">
        <f>+IF(B31="","",B31)</f>
        <v>HERRAMIENTA MENOR---</v>
      </c>
      <c r="M31">
        <f t="shared" ref="M31:M38" si="2">IF(D31="","",(D31/F31)*INDEX(CANT_PROYECTO,MATCH($B$13,ITEM,0)))</f>
        <v>5.4285714285714288</v>
      </c>
      <c r="N31" s="1"/>
      <c r="P31" s="11"/>
    </row>
    <row r="32" spans="2:16" x14ac:dyDescent="0.3">
      <c r="B32" s="27" t="s">
        <v>429</v>
      </c>
      <c r="C32" s="3" t="str">
        <f t="shared" si="0"/>
        <v>und</v>
      </c>
      <c r="D32" s="30">
        <v>1</v>
      </c>
      <c r="E32" s="23">
        <f t="shared" si="1"/>
        <v>8900</v>
      </c>
      <c r="F32" s="30">
        <v>1</v>
      </c>
      <c r="G32" s="26">
        <f t="shared" ref="G32:G38" si="3">IF(D32="","",(E32*D32)/F32)</f>
        <v>8900</v>
      </c>
      <c r="K32" s="9"/>
      <c r="L32" t="str">
        <f t="shared" ref="L32:L38" si="4">+IF(B32="","",B32)</f>
        <v>Perno + arandela---</v>
      </c>
      <c r="M32">
        <f t="shared" si="2"/>
        <v>1900</v>
      </c>
      <c r="N32" s="1"/>
      <c r="P32" s="11"/>
    </row>
    <row r="33" spans="2:16" x14ac:dyDescent="0.3">
      <c r="B33" s="27" t="s">
        <v>527</v>
      </c>
      <c r="C33" s="3" t="str">
        <f t="shared" si="0"/>
        <v>und</v>
      </c>
      <c r="D33" s="30">
        <v>1</v>
      </c>
      <c r="E33" s="23">
        <f t="shared" si="1"/>
        <v>11570</v>
      </c>
      <c r="F33" s="30">
        <v>1</v>
      </c>
      <c r="G33" s="26">
        <f t="shared" si="3"/>
        <v>11570</v>
      </c>
      <c r="K33" s="9"/>
      <c r="L33" t="str">
        <f t="shared" si="4"/>
        <v>Conector de conductor bimetalico ---</v>
      </c>
      <c r="M33">
        <f t="shared" si="2"/>
        <v>1900</v>
      </c>
      <c r="N33" s="1"/>
      <c r="P33" s="11"/>
    </row>
    <row r="34" spans="2:16" x14ac:dyDescent="0.3">
      <c r="B34" s="27" t="s">
        <v>530</v>
      </c>
      <c r="C34" s="3" t="str">
        <f t="shared" si="0"/>
        <v>und</v>
      </c>
      <c r="D34" s="30">
        <v>1</v>
      </c>
      <c r="E34" s="23">
        <f t="shared" si="1"/>
        <v>6695</v>
      </c>
      <c r="F34" s="30">
        <v>1</v>
      </c>
      <c r="G34" s="26">
        <f t="shared" si="3"/>
        <v>6695</v>
      </c>
      <c r="K34" s="9"/>
      <c r="L34" t="str">
        <f t="shared" si="4"/>
        <v>Termocontraible---</v>
      </c>
      <c r="M34">
        <f t="shared" si="2"/>
        <v>1900</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28136.428571428572</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t="s">
        <v>455</v>
      </c>
      <c r="C42" s="3">
        <f>+IF(B42="","",INDEX(U_MAQUINARIA,MATCH(B42,LISTA_MAQUINARIA,0)))</f>
        <v>0</v>
      </c>
      <c r="D42" s="30">
        <v>1</v>
      </c>
      <c r="E42" s="23">
        <f>+IF(B42="","",INDEX(V_MAQUINARIA,MATCH(B42,LISTA_MAQUINARIA,0)))</f>
        <v>101145.45454545454</v>
      </c>
      <c r="F42" s="3">
        <f>$G$20</f>
        <v>75</v>
      </c>
      <c r="G42" s="26">
        <f>IF(D42="","",(E42*D42)/F42)</f>
        <v>1348.6060606060605</v>
      </c>
      <c r="K42" s="9"/>
      <c r="L42" s="23">
        <f>IF(B42="","",INDEX(V_COMBUSTIBLE_H,MATCH(B42,LISTA_MAQUINARIA,0)))</f>
        <v>21600</v>
      </c>
      <c r="M42" s="23">
        <f>+IF(L42="","",(L42*D42)/F42)</f>
        <v>288</v>
      </c>
      <c r="N42" s="23">
        <f>IF(G42="","",G42-M42)</f>
        <v>1060.6060606060605</v>
      </c>
      <c r="P42" s="11"/>
    </row>
    <row r="43" spans="2:16" x14ac:dyDescent="0.3">
      <c r="B43" s="27"/>
      <c r="C43" s="3" t="str">
        <f>+IF(B43="","",INDEX(U_MAQUINARIA,MATCH(B43,LISTA_MAQUINARIA,0)))</f>
        <v/>
      </c>
      <c r="D43" s="30"/>
      <c r="E43" s="23" t="str">
        <f>+IF(B43="","",INDEX(V_MAQUINARIA,MATCH(B43,LISTA_MAQUINARIA,0)))</f>
        <v/>
      </c>
      <c r="F43" s="3">
        <f>+$G$20</f>
        <v>75</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75</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75</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75</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1348.6060606060605</v>
      </c>
      <c r="K47" s="9"/>
      <c r="M47" s="24">
        <f>SUM(M42:M46)</f>
        <v>288</v>
      </c>
      <c r="N47" s="24">
        <f>SUM(N42:N46)</f>
        <v>1060.6060606060605</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t="s">
        <v>298</v>
      </c>
      <c r="C50" s="30">
        <v>1</v>
      </c>
      <c r="D50" s="22">
        <f>+IF(B50="","",INDEX(F_PRESTACIONAL,MATCH(B50,L_PERSONAL,)))</f>
        <v>1.6352</v>
      </c>
      <c r="E50" s="23">
        <f>+IF(B50="","",INDEX(V_H_MANODEOBRA,MATCH(B50,L_PERSONAL,0)))</f>
        <v>40136.727272727272</v>
      </c>
      <c r="F50" s="3">
        <f>+$G$20</f>
        <v>75</v>
      </c>
      <c r="G50" s="26">
        <f>+IF(C50="","",(E50*C50)/F50)</f>
        <v>535.15636363636361</v>
      </c>
    </row>
    <row r="51" spans="2:7" x14ac:dyDescent="0.3">
      <c r="B51" s="27" t="s">
        <v>304</v>
      </c>
      <c r="C51" s="30">
        <v>14</v>
      </c>
      <c r="D51" s="22">
        <f>+IF(B51="","",INDEX(F_PRESTACIONAL,MATCH(B51,L_PERSONAL,)))</f>
        <v>1.6352</v>
      </c>
      <c r="E51" s="23">
        <f>+IF(B51="","",INDEX(V_H_MANODEOBRA,MATCH(B51,L_PERSONAL,0)))</f>
        <v>24658.815999999999</v>
      </c>
      <c r="F51" s="3">
        <f>+$G$20</f>
        <v>75</v>
      </c>
      <c r="G51" s="26">
        <f>+IF(C51="","",(E51*C51)/F51)</f>
        <v>4602.978986666667</v>
      </c>
    </row>
    <row r="52" spans="2:7" x14ac:dyDescent="0.3">
      <c r="B52" s="27" t="s">
        <v>299</v>
      </c>
      <c r="C52" s="30">
        <v>1</v>
      </c>
      <c r="D52" s="22">
        <f>+IF(B52="","",INDEX(F_PRESTACIONAL,MATCH(B52,L_PERSONAL,)))</f>
        <v>1.6352</v>
      </c>
      <c r="E52" s="23">
        <f>+IF(B52="","",INDEX(V_H_MANODEOBRA,MATCH(B52,L_PERSONAL,0)))</f>
        <v>22298.18181818182</v>
      </c>
      <c r="F52" s="3">
        <f>+$G$20</f>
        <v>75</v>
      </c>
      <c r="G52" s="26">
        <f>+IF(C52="","",(E52*C52)/F52)</f>
        <v>297.30909090909091</v>
      </c>
    </row>
    <row r="53" spans="2:7" x14ac:dyDescent="0.3">
      <c r="B53" s="27"/>
      <c r="C53" s="30"/>
      <c r="D53" s="22" t="str">
        <f>+IF(B53="","",INDEX(F_PRESTACIONAL,MATCH(B53,L_PERSONAL,)))</f>
        <v/>
      </c>
      <c r="E53" s="23" t="str">
        <f>+IF(B53="","",INDEX(V_H_MANODEOBRA,MATCH(B53,L_PERSONAL,0)))</f>
        <v/>
      </c>
      <c r="F53" s="3">
        <f>+$G$20</f>
        <v>75</v>
      </c>
      <c r="G53" s="26" t="str">
        <f>+IF(C53="","",(E53*C53)/F53)</f>
        <v/>
      </c>
    </row>
    <row r="54" spans="2:7" x14ac:dyDescent="0.3">
      <c r="B54" s="27"/>
      <c r="C54" s="30"/>
      <c r="D54" s="22" t="str">
        <f>+IF(B54="","",INDEX(F_PRESTACIONAL,MATCH(B54,L_PERSONAL,)))</f>
        <v/>
      </c>
      <c r="E54" s="23" t="str">
        <f>+IF(B54="","",INDEX(V_H_MANODEOBRA,MATCH(B54,L_PERSONAL,0)))</f>
        <v/>
      </c>
      <c r="F54" s="3">
        <f>+$G$20</f>
        <v>75</v>
      </c>
      <c r="G54" s="26" t="str">
        <f>+IF(C54="","",(E54*C54)/F54)</f>
        <v/>
      </c>
    </row>
    <row r="55" spans="2:7" x14ac:dyDescent="0.3">
      <c r="B55" s="9"/>
      <c r="G55" s="26">
        <f>SUM(G50:G54)</f>
        <v>5435.4444412121211</v>
      </c>
    </row>
    <row r="56" spans="2:7" ht="17.25" thickBot="1" x14ac:dyDescent="0.35">
      <c r="B56" s="9"/>
      <c r="G56" s="11"/>
    </row>
    <row r="57" spans="2:7" ht="17.25" thickBot="1" x14ac:dyDescent="0.35">
      <c r="B57" s="610" t="s">
        <v>98</v>
      </c>
      <c r="C57" s="611"/>
      <c r="D57" s="611"/>
      <c r="E57" s="611"/>
      <c r="F57" s="612"/>
      <c r="G57" s="66">
        <f>+G55+G47+G39+G28</f>
        <v>34920.479073246752</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4190.4574887896097</v>
      </c>
    </row>
    <row r="61" spans="2:7" x14ac:dyDescent="0.3">
      <c r="B61" s="613" t="s">
        <v>86</v>
      </c>
      <c r="C61" s="614"/>
      <c r="D61" s="614"/>
      <c r="E61" s="614"/>
      <c r="F61" s="22">
        <f>+IMPREVISTOS</f>
        <v>0.03</v>
      </c>
      <c r="G61" s="26">
        <f>+$G$57*F61</f>
        <v>1047.6143721974024</v>
      </c>
    </row>
    <row r="62" spans="2:7" x14ac:dyDescent="0.3">
      <c r="B62" s="613" t="s">
        <v>87</v>
      </c>
      <c r="C62" s="614"/>
      <c r="D62" s="614"/>
      <c r="E62" s="614"/>
      <c r="F62" s="22">
        <f>+UTILIDAD</f>
        <v>0.05</v>
      </c>
      <c r="G62" s="26">
        <f>+$G$57*F62</f>
        <v>1746.0239536623376</v>
      </c>
    </row>
    <row r="63" spans="2:7" x14ac:dyDescent="0.3">
      <c r="B63" s="596" t="s">
        <v>100</v>
      </c>
      <c r="C63" s="597"/>
      <c r="D63" s="597"/>
      <c r="E63" s="597"/>
      <c r="F63" s="597"/>
      <c r="G63" s="53">
        <f>SUM(G60:G62)</f>
        <v>6984.0958146493494</v>
      </c>
    </row>
    <row r="64" spans="2:7" ht="17.25" thickBot="1" x14ac:dyDescent="0.35">
      <c r="B64" s="9"/>
      <c r="G64" s="44"/>
    </row>
    <row r="65" spans="2:7" ht="17.25" thickBot="1" x14ac:dyDescent="0.35">
      <c r="B65" s="598" t="s">
        <v>101</v>
      </c>
      <c r="C65" s="599"/>
      <c r="D65" s="599"/>
      <c r="E65" s="599"/>
      <c r="F65" s="600"/>
      <c r="G65" s="65">
        <f>+G63+G57</f>
        <v>41904.574887896102</v>
      </c>
    </row>
    <row r="66" spans="2:7" x14ac:dyDescent="0.3">
      <c r="B66" s="6"/>
      <c r="C66" s="7"/>
      <c r="D66" s="7"/>
      <c r="E66" s="7"/>
      <c r="F66" s="7"/>
      <c r="G66" s="8"/>
    </row>
    <row r="67" spans="2:7" x14ac:dyDescent="0.3">
      <c r="B67" s="9"/>
      <c r="G67" s="11"/>
    </row>
    <row r="68" spans="2:7" x14ac:dyDescent="0.3">
      <c r="B68" s="69" t="s">
        <v>123</v>
      </c>
      <c r="C68" s="67"/>
      <c r="D68" s="67"/>
      <c r="E68" s="67"/>
      <c r="F68" s="67"/>
      <c r="G68" s="70"/>
    </row>
    <row r="69" spans="2:7" x14ac:dyDescent="0.3">
      <c r="B69" s="71"/>
      <c r="C69" s="67"/>
      <c r="D69" s="67"/>
      <c r="E69" s="67"/>
      <c r="F69" s="67"/>
      <c r="G69" s="70"/>
    </row>
    <row r="70" spans="2:7" x14ac:dyDescent="0.3">
      <c r="B70" s="72"/>
      <c r="C70" s="68"/>
      <c r="D70" s="68"/>
      <c r="E70" s="68"/>
      <c r="F70" s="68"/>
      <c r="G70" s="73"/>
    </row>
    <row r="71" spans="2:7" x14ac:dyDescent="0.3">
      <c r="B71" s="71"/>
      <c r="C71" s="67"/>
      <c r="D71" s="67"/>
      <c r="E71" s="67"/>
      <c r="F71" s="67"/>
      <c r="G71" s="70"/>
    </row>
    <row r="72" spans="2:7" ht="17.25" thickBot="1" x14ac:dyDescent="0.35">
      <c r="B72" s="15"/>
      <c r="C72" s="13"/>
      <c r="D72" s="13"/>
      <c r="E72" s="13"/>
      <c r="F72" s="13"/>
      <c r="G72" s="14"/>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count="5">
    <dataValidation type="list" allowBlank="1" showInputMessage="1" showErrorMessage="1" sqref="E102" xr:uid="{5D41210D-AA98-4B76-891D-54AA360645DA}">
      <formula1>$A$103:$A$105</formula1>
    </dataValidation>
    <dataValidation type="list" allowBlank="1" showInputMessage="1" showErrorMessage="1" sqref="B13" xr:uid="{31AB9C45-FD39-49D5-A792-0D83AD69B5EB}">
      <formula1>ITEM</formula1>
    </dataValidation>
    <dataValidation type="list" allowBlank="1" showInputMessage="1" showErrorMessage="1" sqref="B50:B54" xr:uid="{C2991E38-62EE-4FC7-A6E3-FD612DB401FD}">
      <formula1>L_PERSONAL</formula1>
    </dataValidation>
    <dataValidation type="list" allowBlank="1" showInputMessage="1" showErrorMessage="1" sqref="B31:B38" xr:uid="{D3617BAA-7405-4334-BE2E-AEE2544DE1A1}">
      <formula1>L_MATERIALES</formula1>
    </dataValidation>
    <dataValidation type="list" allowBlank="1" showInputMessage="1" showErrorMessage="1" sqref="B23:B27 B42:B46" xr:uid="{4ED62550-64B1-44B0-BC94-87BBDCB3C4A3}">
      <formula1>LISTA_MAQUINARIA</formula1>
    </dataValidation>
  </dataValidations>
  <pageMargins left="0.70866141732283472" right="0.70866141732283472" top="0.74803149606299213" bottom="0.74803149606299213" header="0.31496062992125984" footer="0.31496062992125984"/>
  <pageSetup scale="45" orientation="portrait" r:id="rId1"/>
  <rowBreaks count="1" manualBreakCount="1">
    <brk id="78" max="16383" man="1"/>
  </rowBreaks>
  <colBreaks count="1" manualBreakCount="1">
    <brk id="7" max="1048575" man="1"/>
  </colBreaks>
  <drawing r:id="rId2"/>
  <tableParts count="1">
    <tablePart r:id="rId3"/>
  </tablePart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A6A14-78F6-4D59-9929-E09BBF541DAE}">
  <sheetPr codeName="Hoja55"/>
  <dimension ref="A1:P105"/>
  <sheetViews>
    <sheetView showGridLines="0" view="pageBreakPreview" zoomScale="60" zoomScaleNormal="60" workbookViewId="0">
      <selection activeCell="B1" sqref="B1:G78"/>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44</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18" t="str">
        <f>+IF($B$13="","",INDEX(DESCRIP_ITEM,MATCH($B$13,ITEM,0)))</f>
        <v>Instalacion y suminsitro de pararrayos tipo PDCE con dispositivo de cebado electronico tipo mastil, temperatura de funcionamiento -10°C a +40°C. Consumo electrico 30 mA +-5% . Incluir accesorios de sujeción adaptacion tipo mastil, bajante en cable de cobre aislado No. 2/0 AWG, accesorios de sujeción del cable a superficie de concreto o metálica, según diseño entregado por powerchina y cumplimiento de RETIE.  Incluye la certificación de conformidad RETIE y certificación de producto del fabricante</v>
      </c>
      <c r="C16" s="619"/>
      <c r="D16" s="619"/>
      <c r="E16" s="619"/>
      <c r="F16" s="619"/>
      <c r="G16" s="620"/>
    </row>
    <row r="17" spans="2:16" ht="57" customHeight="1" thickBot="1" x14ac:dyDescent="0.35">
      <c r="B17" s="621"/>
      <c r="C17" s="622"/>
      <c r="D17" s="622"/>
      <c r="E17" s="622"/>
      <c r="F17" s="622"/>
      <c r="G17" s="623"/>
    </row>
    <row r="18" spans="2:16" ht="17.25" thickBot="1" x14ac:dyDescent="0.35">
      <c r="B18" s="591"/>
      <c r="C18" s="579"/>
      <c r="D18" s="579"/>
      <c r="E18" s="579"/>
      <c r="G18" s="11"/>
    </row>
    <row r="19" spans="2:16" ht="17.25" thickBot="1" x14ac:dyDescent="0.35">
      <c r="B19" s="592"/>
      <c r="C19" s="593"/>
      <c r="D19" s="593"/>
      <c r="E19" s="593"/>
      <c r="F19" s="54" t="s">
        <v>89</v>
      </c>
      <c r="G19" s="25" t="str">
        <f>+IF(B13="","",INDEX(U_ITEM,MATCH(B13,ITEM,0)))</f>
        <v>UN</v>
      </c>
    </row>
    <row r="20" spans="2:16" ht="17.25" thickBot="1" x14ac:dyDescent="0.35">
      <c r="B20" s="592"/>
      <c r="C20" s="593"/>
      <c r="D20" s="593"/>
      <c r="E20" s="593"/>
      <c r="F20" s="55" t="s">
        <v>90</v>
      </c>
      <c r="G20" s="56">
        <f>1/14</f>
        <v>7.1428571428571425E-2</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c r="C23" s="3" t="str">
        <f>+IF(B23="","",INDEX(U_MAQUINARIA,MATCH(B23,LISTA_MAQUINARIA,0)))</f>
        <v/>
      </c>
      <c r="D23" s="30"/>
      <c r="E23" s="23" t="str">
        <f>+IF(B23="","",INDEX(V_MAQUINARIA,MATCH(B23,LISTA_MAQUINARIA,0)))</f>
        <v/>
      </c>
      <c r="F23" s="3">
        <f>$G$20</f>
        <v>7.1428571428571425E-2</v>
      </c>
      <c r="G23" s="26" t="str">
        <f>+IF(B23="","",(D23*E23)/F23)</f>
        <v/>
      </c>
      <c r="K23" s="9"/>
      <c r="L23" s="23" t="str">
        <f>IF(B23="","",INDEX(V_COMBUSTIBLE_H,MATCH(B23,LISTA_MAQUINARIA,0)))</f>
        <v/>
      </c>
      <c r="M23" s="23" t="str">
        <f>+IF(L23="","",(L23*D23)/F23)</f>
        <v/>
      </c>
      <c r="N23" s="23" t="str">
        <f>IF(G23="","",G23-M23)</f>
        <v/>
      </c>
      <c r="P23" s="11"/>
    </row>
    <row r="24" spans="2:16" x14ac:dyDescent="0.3">
      <c r="B24" s="27"/>
      <c r="C24" s="3" t="str">
        <f>+IF(B24="","",INDEX(U_MAQUINARIA,MATCH(B24,LISTA_MAQUINARIA,0)))</f>
        <v/>
      </c>
      <c r="D24" s="30"/>
      <c r="E24" s="23" t="str">
        <f>+IF(B24="","",INDEX(V_MAQUINARIA,MATCH(B24,LISTA_MAQUINARIA,0)))</f>
        <v/>
      </c>
      <c r="F24" s="3">
        <f>$G$20</f>
        <v>7.1428571428571425E-2</v>
      </c>
      <c r="G24" s="26" t="str">
        <f>+IF(B24="","",(D24*E24)/F24)</f>
        <v/>
      </c>
      <c r="K24" s="9"/>
      <c r="L24" s="3" t="str">
        <f>IF(B24="","",INDEX(V_COMBUSTIBLE_H,MATCH(B24,LISTA_MAQUINARIA,0)))</f>
        <v/>
      </c>
      <c r="M24" s="3" t="str">
        <f>+IF(L24="","",(L24*D24)/F24)</f>
        <v/>
      </c>
      <c r="N24" s="3" t="str">
        <f>IF(G24="","",G24-M24)</f>
        <v/>
      </c>
      <c r="P24" s="11"/>
    </row>
    <row r="25" spans="2:16" x14ac:dyDescent="0.3">
      <c r="B25" s="27"/>
      <c r="C25" s="3" t="str">
        <f>+IF(B25="","",INDEX(U_MAQUINARIA,MATCH(B25,LISTA_MAQUINARIA,0)))</f>
        <v/>
      </c>
      <c r="D25" s="30"/>
      <c r="E25" s="23" t="str">
        <f>+IF(B25="","",INDEX(V_MAQUINARIA,MATCH(B25,LISTA_MAQUINARIA,0)))</f>
        <v/>
      </c>
      <c r="F25" s="3">
        <f>$G$20</f>
        <v>7.1428571428571425E-2</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7.1428571428571425E-2</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7.1428571428571425E-2</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0</v>
      </c>
      <c r="K28" s="9"/>
      <c r="M28" s="24">
        <f>SUM(M23:M27)</f>
        <v>0</v>
      </c>
      <c r="N28" s="24">
        <f>SUM(N23:N27)</f>
        <v>0</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t="s">
        <v>361</v>
      </c>
      <c r="C31" s="3" t="str">
        <f t="shared" ref="C31:C38" si="0">+IF(B31="","",INDEX(U_MATERIAL,MATCH(B31,L_MATERIALES,0)))</f>
        <v>UND</v>
      </c>
      <c r="D31" s="30">
        <v>1</v>
      </c>
      <c r="E31" s="23">
        <f t="shared" ref="E31:E38" si="1">+IF(B31="","",INDEX(V_UNITARIOMATERIAL,MATCH(B31,L_MATERIALES,0)))</f>
        <v>340000</v>
      </c>
      <c r="F31" s="30">
        <v>100</v>
      </c>
      <c r="G31" s="26">
        <f>IF(D31="","",(E31*D31)/F31)</f>
        <v>3400</v>
      </c>
      <c r="K31" s="9"/>
      <c r="L31" t="str">
        <f>+IF(B31="","",B31)</f>
        <v>HERRAMIENTA MENOR---</v>
      </c>
      <c r="M31">
        <f t="shared" ref="M31:M38" si="2">IF(D31="","",(D31/F31)*INDEX(CANT_PROYECTO,MATCH($B$13,ITEM,0)))</f>
        <v>0.64</v>
      </c>
      <c r="N31" s="1"/>
      <c r="P31" s="11"/>
    </row>
    <row r="32" spans="2:16" x14ac:dyDescent="0.3">
      <c r="B32" s="27"/>
      <c r="C32" s="3" t="str">
        <f t="shared" si="0"/>
        <v/>
      </c>
      <c r="D32" s="30"/>
      <c r="E32" s="23" t="str">
        <f t="shared" si="1"/>
        <v/>
      </c>
      <c r="F32" s="30"/>
      <c r="G32" s="26" t="str">
        <f t="shared" ref="G32:G38" si="3">IF(D32="","",(E32*D32)/F32)</f>
        <v/>
      </c>
      <c r="K32" s="9"/>
      <c r="L32" t="str">
        <f t="shared" ref="L32:L38" si="4">+IF(B32="","",B32)</f>
        <v/>
      </c>
      <c r="M32" t="str">
        <f t="shared" si="2"/>
        <v/>
      </c>
      <c r="N32" s="1"/>
      <c r="P32" s="11"/>
    </row>
    <row r="33" spans="2:16" x14ac:dyDescent="0.3">
      <c r="B33" s="27"/>
      <c r="C33" s="3" t="str">
        <f t="shared" si="0"/>
        <v/>
      </c>
      <c r="D33" s="30"/>
      <c r="E33" s="23" t="str">
        <f t="shared" si="1"/>
        <v/>
      </c>
      <c r="F33" s="30"/>
      <c r="G33" s="26" t="str">
        <f t="shared" si="3"/>
        <v/>
      </c>
      <c r="K33" s="9"/>
      <c r="L33" t="str">
        <f t="shared" si="4"/>
        <v/>
      </c>
      <c r="M33" t="str">
        <f t="shared" si="2"/>
        <v/>
      </c>
      <c r="N33" s="1"/>
      <c r="P33" s="11"/>
    </row>
    <row r="34" spans="2:16" x14ac:dyDescent="0.3">
      <c r="B34" s="27"/>
      <c r="C34" s="3" t="str">
        <f t="shared" si="0"/>
        <v/>
      </c>
      <c r="D34" s="30"/>
      <c r="E34" s="23" t="str">
        <f t="shared" si="1"/>
        <v/>
      </c>
      <c r="F34" s="30"/>
      <c r="G34" s="26" t="str">
        <f t="shared" si="3"/>
        <v/>
      </c>
      <c r="K34" s="9"/>
      <c r="L34" t="str">
        <f t="shared" si="4"/>
        <v/>
      </c>
      <c r="M34" t="str">
        <f t="shared" si="2"/>
        <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3400</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t="s">
        <v>368</v>
      </c>
      <c r="C42" s="3" t="str">
        <f>+IF(B42="","",INDEX(U_MAQUINARIA,MATCH(B42,LISTA_MAQUINARIA,0)))</f>
        <v>VALOR / HORA</v>
      </c>
      <c r="D42" s="30">
        <v>1</v>
      </c>
      <c r="E42" s="23">
        <f>+IF(B42="","",INDEX(V_MAQUINARIA,MATCH(B42,LISTA_MAQUINARIA,0)))</f>
        <v>58531.818181818184</v>
      </c>
      <c r="F42" s="3">
        <f>$G$20</f>
        <v>7.1428571428571425E-2</v>
      </c>
      <c r="G42" s="26">
        <f>IF(D42="","",(E42*D42)/F42)</f>
        <v>819445.45454545459</v>
      </c>
      <c r="K42" s="9"/>
      <c r="L42" s="23">
        <f>IF(B42="","",INDEX(V_COMBUSTIBLE_H,MATCH(B42,LISTA_MAQUINARIA,0)))</f>
        <v>21600</v>
      </c>
      <c r="M42" s="23">
        <f>+IF(L42="","",(L42*D42)/F42)</f>
        <v>302400</v>
      </c>
      <c r="N42" s="23">
        <f>IF(G42="","",G42-M42)</f>
        <v>517045.45454545459</v>
      </c>
      <c r="P42" s="11"/>
    </row>
    <row r="43" spans="2:16" x14ac:dyDescent="0.3">
      <c r="B43" s="27"/>
      <c r="C43" s="3" t="str">
        <f>+IF(B43="","",INDEX(U_MAQUINARIA,MATCH(B43,LISTA_MAQUINARIA,0)))</f>
        <v/>
      </c>
      <c r="D43" s="30"/>
      <c r="E43" s="23" t="str">
        <f>+IF(B43="","",INDEX(V_MAQUINARIA,MATCH(B43,LISTA_MAQUINARIA,0)))</f>
        <v/>
      </c>
      <c r="F43" s="3">
        <f>+$G$20</f>
        <v>7.1428571428571425E-2</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7.1428571428571425E-2</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7.1428571428571425E-2</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7.1428571428571425E-2</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819445.45454545459</v>
      </c>
      <c r="K47" s="9"/>
      <c r="M47" s="24">
        <f>SUM(M42:M46)</f>
        <v>302400</v>
      </c>
      <c r="N47" s="24">
        <f>SUM(N42:N46)</f>
        <v>517045.45454545459</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t="s">
        <v>306</v>
      </c>
      <c r="C50" s="30">
        <v>2</v>
      </c>
      <c r="D50" s="22">
        <f>+IF(B50="","",INDEX(F_PRESTACIONAL,MATCH(B50,L_PERSONAL,)))</f>
        <v>2.3170181818181819</v>
      </c>
      <c r="E50" s="23">
        <f>+IF(B50="","",INDEX(V_H_MANODEOBRA,MATCH(B50,L_PERSONAL,0)))</f>
        <v>46340.36363636364</v>
      </c>
      <c r="F50" s="3">
        <f>+$G$20</f>
        <v>7.1428571428571425E-2</v>
      </c>
      <c r="G50" s="26">
        <f>+IF(C50="","",(E50*C50)/F50)</f>
        <v>1297530.1818181819</v>
      </c>
    </row>
    <row r="51" spans="2:7" x14ac:dyDescent="0.3">
      <c r="B51" s="27" t="s">
        <v>304</v>
      </c>
      <c r="C51" s="30">
        <v>1</v>
      </c>
      <c r="D51" s="22">
        <f>+IF(B51="","",INDEX(F_PRESTACIONAL,MATCH(B51,L_PERSONAL,)))</f>
        <v>1.6352</v>
      </c>
      <c r="E51" s="23">
        <f>+IF(B51="","",INDEX(V_H_MANODEOBRA,MATCH(B51,L_PERSONAL,0)))</f>
        <v>24658.815999999999</v>
      </c>
      <c r="F51" s="3">
        <f>+$G$20</f>
        <v>7.1428571428571425E-2</v>
      </c>
      <c r="G51" s="26">
        <f>+IF(C51="","",(E51*C51)/F51)</f>
        <v>345223.424</v>
      </c>
    </row>
    <row r="52" spans="2:7" x14ac:dyDescent="0.3">
      <c r="B52" s="27"/>
      <c r="C52" s="30"/>
      <c r="D52" s="22" t="str">
        <f>+IF(B52="","",INDEX(F_PRESTACIONAL,MATCH(B52,L_PERSONAL,)))</f>
        <v/>
      </c>
      <c r="E52" s="23" t="str">
        <f>+IF(B52="","",INDEX(V_H_MANODEOBRA,MATCH(B52,L_PERSONAL,0)))</f>
        <v/>
      </c>
      <c r="F52" s="3">
        <f>+$G$20</f>
        <v>7.1428571428571425E-2</v>
      </c>
      <c r="G52" s="26" t="str">
        <f>+IF(C52="","",(E52*C52)/F52)</f>
        <v/>
      </c>
    </row>
    <row r="53" spans="2:7" x14ac:dyDescent="0.3">
      <c r="B53" s="27"/>
      <c r="C53" s="30"/>
      <c r="D53" s="22" t="str">
        <f>+IF(B53="","",INDEX(F_PRESTACIONAL,MATCH(B53,L_PERSONAL,)))</f>
        <v/>
      </c>
      <c r="E53" s="23" t="str">
        <f>+IF(B53="","",INDEX(V_H_MANODEOBRA,MATCH(B53,L_PERSONAL,0)))</f>
        <v/>
      </c>
      <c r="F53" s="3">
        <f>+$G$20</f>
        <v>7.1428571428571425E-2</v>
      </c>
      <c r="G53" s="26" t="str">
        <f>+IF(C53="","",(E53*C53)/F53)</f>
        <v/>
      </c>
    </row>
    <row r="54" spans="2:7" x14ac:dyDescent="0.3">
      <c r="B54" s="27"/>
      <c r="C54" s="30"/>
      <c r="D54" s="22" t="str">
        <f>+IF(B54="","",INDEX(F_PRESTACIONAL,MATCH(B54,L_PERSONAL,)))</f>
        <v/>
      </c>
      <c r="E54" s="23" t="str">
        <f>+IF(B54="","",INDEX(V_H_MANODEOBRA,MATCH(B54,L_PERSONAL,0)))</f>
        <v/>
      </c>
      <c r="F54" s="3">
        <f>+$G$20</f>
        <v>7.1428571428571425E-2</v>
      </c>
      <c r="G54" s="26" t="str">
        <f>+IF(C54="","",(E54*C54)/F54)</f>
        <v/>
      </c>
    </row>
    <row r="55" spans="2:7" x14ac:dyDescent="0.3">
      <c r="B55" s="9"/>
      <c r="G55" s="26">
        <f>SUM(G50:G54)</f>
        <v>1642753.6058181818</v>
      </c>
    </row>
    <row r="56" spans="2:7" ht="17.25" thickBot="1" x14ac:dyDescent="0.35">
      <c r="B56" s="9"/>
      <c r="G56" s="11"/>
    </row>
    <row r="57" spans="2:7" ht="17.25" thickBot="1" x14ac:dyDescent="0.35">
      <c r="B57" s="610" t="s">
        <v>98</v>
      </c>
      <c r="C57" s="611"/>
      <c r="D57" s="611"/>
      <c r="E57" s="611"/>
      <c r="F57" s="612"/>
      <c r="G57" s="66">
        <f>+G55+G47+G39+G28</f>
        <v>2465599.0603636364</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295871.88724363636</v>
      </c>
    </row>
    <row r="61" spans="2:7" x14ac:dyDescent="0.3">
      <c r="B61" s="613" t="s">
        <v>86</v>
      </c>
      <c r="C61" s="614"/>
      <c r="D61" s="614"/>
      <c r="E61" s="614"/>
      <c r="F61" s="22">
        <f>+IMPREVISTOS</f>
        <v>0.03</v>
      </c>
      <c r="G61" s="26">
        <f>+$G$57*F61</f>
        <v>73967.97181090909</v>
      </c>
    </row>
    <row r="62" spans="2:7" x14ac:dyDescent="0.3">
      <c r="B62" s="613" t="s">
        <v>87</v>
      </c>
      <c r="C62" s="614"/>
      <c r="D62" s="614"/>
      <c r="E62" s="614"/>
      <c r="F62" s="22">
        <f>+UTILIDAD</f>
        <v>0.05</v>
      </c>
      <c r="G62" s="26">
        <f>+$G$57*F62</f>
        <v>123279.95301818183</v>
      </c>
    </row>
    <row r="63" spans="2:7" x14ac:dyDescent="0.3">
      <c r="B63" s="596" t="s">
        <v>100</v>
      </c>
      <c r="C63" s="597"/>
      <c r="D63" s="597"/>
      <c r="E63" s="597"/>
      <c r="F63" s="597"/>
      <c r="G63" s="53">
        <f>SUM(G60:G62)</f>
        <v>493119.81207272731</v>
      </c>
    </row>
    <row r="64" spans="2:7" ht="17.25" thickBot="1" x14ac:dyDescent="0.35">
      <c r="B64" s="9"/>
      <c r="G64" s="44"/>
    </row>
    <row r="65" spans="2:7" ht="17.25" thickBot="1" x14ac:dyDescent="0.35">
      <c r="B65" s="598" t="s">
        <v>101</v>
      </c>
      <c r="C65" s="599"/>
      <c r="D65" s="599"/>
      <c r="E65" s="599"/>
      <c r="F65" s="600"/>
      <c r="G65" s="65">
        <f>+G63+G57</f>
        <v>2958718.8724363637</v>
      </c>
    </row>
    <row r="66" spans="2:7" x14ac:dyDescent="0.3">
      <c r="B66" s="6"/>
      <c r="C66" s="7"/>
      <c r="D66" s="7"/>
      <c r="E66" s="7"/>
      <c r="F66" s="7"/>
      <c r="G66" s="8"/>
    </row>
    <row r="67" spans="2:7" x14ac:dyDescent="0.3">
      <c r="B67" s="9"/>
      <c r="G67" s="11"/>
    </row>
    <row r="68" spans="2:7" x14ac:dyDescent="0.3">
      <c r="B68" s="69" t="s">
        <v>123</v>
      </c>
      <c r="C68" s="67"/>
      <c r="D68" s="67"/>
      <c r="E68" s="67"/>
      <c r="F68" s="67"/>
      <c r="G68" s="70"/>
    </row>
    <row r="69" spans="2:7" x14ac:dyDescent="0.3">
      <c r="B69" s="71"/>
      <c r="C69" s="67"/>
      <c r="D69" s="67"/>
      <c r="E69" s="67"/>
      <c r="F69" s="67"/>
      <c r="G69" s="70"/>
    </row>
    <row r="70" spans="2:7" x14ac:dyDescent="0.3">
      <c r="B70" s="72"/>
      <c r="C70" s="68"/>
      <c r="D70" s="68"/>
      <c r="E70" s="68"/>
      <c r="F70" s="68"/>
      <c r="G70" s="73"/>
    </row>
    <row r="71" spans="2:7" x14ac:dyDescent="0.3">
      <c r="B71" s="71"/>
      <c r="C71" s="67"/>
      <c r="D71" s="67"/>
      <c r="E71" s="67"/>
      <c r="F71" s="67"/>
      <c r="G71" s="70"/>
    </row>
    <row r="72" spans="2:7" ht="17.25" thickBot="1" x14ac:dyDescent="0.35">
      <c r="B72" s="15"/>
      <c r="C72" s="13"/>
      <c r="D72" s="13"/>
      <c r="E72" s="13"/>
      <c r="F72" s="13"/>
      <c r="G72" s="14"/>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count="5">
    <dataValidation type="list" allowBlank="1" showInputMessage="1" showErrorMessage="1" sqref="E102" xr:uid="{9360F179-DFAD-467C-8DFF-3EE3EAAB35DE}">
      <formula1>$A$103:$A$105</formula1>
    </dataValidation>
    <dataValidation type="list" allowBlank="1" showInputMessage="1" showErrorMessage="1" sqref="B13" xr:uid="{84A77F51-8EFD-4E92-8463-006CBEC51DDF}">
      <formula1>ITEM</formula1>
    </dataValidation>
    <dataValidation type="list" allowBlank="1" showInputMessage="1" showErrorMessage="1" sqref="B50:B54" xr:uid="{512798DE-8456-4B8E-8288-A14CFDD113F0}">
      <formula1>L_PERSONAL</formula1>
    </dataValidation>
    <dataValidation type="list" allowBlank="1" showInputMessage="1" showErrorMessage="1" sqref="B31:B38" xr:uid="{25FE1AD4-F7B6-44AC-8966-958C50CA4ABB}">
      <formula1>L_MATERIALES</formula1>
    </dataValidation>
    <dataValidation type="list" allowBlank="1" showInputMessage="1" showErrorMessage="1" sqref="B23:B27 B42:B46" xr:uid="{B2B18A16-0D40-4357-AC1B-10220ED13416}">
      <formula1>LISTA_MAQUINARIA</formula1>
    </dataValidation>
  </dataValidations>
  <pageMargins left="0.70866141732283472" right="0.70866141732283472" top="0.74803149606299213" bottom="0.74803149606299213" header="0.31496062992125984" footer="0.31496062992125984"/>
  <pageSetup scale="45" orientation="portrait" r:id="rId1"/>
  <rowBreaks count="1" manualBreakCount="1">
    <brk id="78" max="16383" man="1"/>
  </rowBreaks>
  <colBreaks count="1" manualBreakCount="1">
    <brk id="7" max="1048575" man="1"/>
  </colBreaks>
  <drawing r:id="rId2"/>
  <tableParts count="1">
    <tablePart r:id="rId3"/>
  </tablePart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515DA-971A-4D93-80A3-4537DBA12A02}">
  <sheetPr codeName="Hoja56"/>
  <dimension ref="A1:P105"/>
  <sheetViews>
    <sheetView showGridLines="0" view="pageBreakPreview" zoomScale="60" zoomScaleNormal="60" workbookViewId="0">
      <selection activeCell="B1" sqref="B1:G78"/>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45</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18" t="str">
        <f>+IF($B$13="","",INDEX(DESCRIP_ITEM,MATCH($B$13,ITEM,0)))</f>
        <v>Instalación de latiguillo en cable de cobre aislado No. 2 AWG (0,5 metros c/u)para puesta a tierra de inversor a la estructura metálica de sujeción. Incluye suministro e Instalación de conector bimetálico tipo pala de 1 hueco para calibre de 2 AWG con certificación RETIE. con tornillo , tuerca, arandela plana y arandela de presión y la sección del  termoencogible de color verde según RETIE para conectar en ambas puntas del latiguillo. Incluye mecanizado en la estructura metálica, y demás accesorios que permitan la correcta sujeción del cable a la estructura.</v>
      </c>
      <c r="C16" s="619"/>
      <c r="D16" s="619"/>
      <c r="E16" s="619"/>
      <c r="F16" s="619"/>
      <c r="G16" s="620"/>
    </row>
    <row r="17" spans="2:16" ht="90" customHeight="1" thickBot="1" x14ac:dyDescent="0.35">
      <c r="B17" s="621"/>
      <c r="C17" s="622"/>
      <c r="D17" s="622"/>
      <c r="E17" s="622"/>
      <c r="F17" s="622"/>
      <c r="G17" s="623"/>
    </row>
    <row r="18" spans="2:16" ht="17.25" thickBot="1" x14ac:dyDescent="0.35">
      <c r="B18" s="591"/>
      <c r="C18" s="579"/>
      <c r="D18" s="579"/>
      <c r="E18" s="579"/>
      <c r="G18" s="11"/>
    </row>
    <row r="19" spans="2:16" ht="17.25" thickBot="1" x14ac:dyDescent="0.35">
      <c r="B19" s="592"/>
      <c r="C19" s="593"/>
      <c r="D19" s="593"/>
      <c r="E19" s="593"/>
      <c r="F19" s="54" t="s">
        <v>89</v>
      </c>
      <c r="G19" s="25" t="str">
        <f>+IF(B13="","",INDEX(U_ITEM,MATCH(B13,ITEM,0)))</f>
        <v>UN</v>
      </c>
    </row>
    <row r="20" spans="2:16" ht="17.25" thickBot="1" x14ac:dyDescent="0.35">
      <c r="B20" s="592"/>
      <c r="C20" s="593"/>
      <c r="D20" s="593"/>
      <c r="E20" s="593"/>
      <c r="F20" s="55" t="s">
        <v>90</v>
      </c>
      <c r="G20" s="56">
        <v>74.8</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c r="C23" s="3" t="str">
        <f>+IF(B23="","",INDEX(U_MAQUINARIA,MATCH(B23,LISTA_MAQUINARIA,0)))</f>
        <v/>
      </c>
      <c r="D23" s="30"/>
      <c r="E23" s="23" t="str">
        <f>+IF(B23="","",INDEX(V_MAQUINARIA,MATCH(B23,LISTA_MAQUINARIA,0)))</f>
        <v/>
      </c>
      <c r="F23" s="3">
        <f>$G$20</f>
        <v>74.8</v>
      </c>
      <c r="G23" s="26" t="str">
        <f>+IF(B23="","",(D23*E23)/F23)</f>
        <v/>
      </c>
      <c r="K23" s="9"/>
      <c r="L23" s="23" t="str">
        <f>IF(B23="","",INDEX(V_COMBUSTIBLE_H,MATCH(B23,LISTA_MAQUINARIA,0)))</f>
        <v/>
      </c>
      <c r="M23" s="23" t="str">
        <f>+IF(L23="","",(L23*D23)/F23)</f>
        <v/>
      </c>
      <c r="N23" s="23" t="str">
        <f>IF(G23="","",G23-M23)</f>
        <v/>
      </c>
      <c r="P23" s="11"/>
    </row>
    <row r="24" spans="2:16" x14ac:dyDescent="0.3">
      <c r="B24" s="27"/>
      <c r="C24" s="3" t="str">
        <f>+IF(B24="","",INDEX(U_MAQUINARIA,MATCH(B24,LISTA_MAQUINARIA,0)))</f>
        <v/>
      </c>
      <c r="D24" s="30"/>
      <c r="E24" s="23" t="str">
        <f>+IF(B24="","",INDEX(V_MAQUINARIA,MATCH(B24,LISTA_MAQUINARIA,0)))</f>
        <v/>
      </c>
      <c r="F24" s="3">
        <f>$G$20</f>
        <v>74.8</v>
      </c>
      <c r="G24" s="26" t="str">
        <f>+IF(B24="","",(D24*E24)/F24)</f>
        <v/>
      </c>
      <c r="K24" s="9"/>
      <c r="L24" s="3" t="str">
        <f>IF(B24="","",INDEX(V_COMBUSTIBLE_H,MATCH(B24,LISTA_MAQUINARIA,0)))</f>
        <v/>
      </c>
      <c r="M24" s="3" t="str">
        <f>+IF(L24="","",(L24*D24)/F24)</f>
        <v/>
      </c>
      <c r="N24" s="3" t="str">
        <f>IF(G24="","",G24-M24)</f>
        <v/>
      </c>
      <c r="P24" s="11"/>
    </row>
    <row r="25" spans="2:16" x14ac:dyDescent="0.3">
      <c r="B25" s="27"/>
      <c r="C25" s="3" t="str">
        <f>+IF(B25="","",INDEX(U_MAQUINARIA,MATCH(B25,LISTA_MAQUINARIA,0)))</f>
        <v/>
      </c>
      <c r="D25" s="30"/>
      <c r="E25" s="23" t="str">
        <f>+IF(B25="","",INDEX(V_MAQUINARIA,MATCH(B25,LISTA_MAQUINARIA,0)))</f>
        <v/>
      </c>
      <c r="F25" s="3">
        <f>$G$20</f>
        <v>74.8</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74.8</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74.8</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0</v>
      </c>
      <c r="K28" s="9"/>
      <c r="M28" s="24">
        <f>SUM(M23:M27)</f>
        <v>0</v>
      </c>
      <c r="N28" s="24">
        <f>SUM(N23:N27)</f>
        <v>0</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t="s">
        <v>361</v>
      </c>
      <c r="C31" s="3" t="str">
        <f t="shared" ref="C31:C38" si="0">+IF(B31="","",INDEX(U_MATERIAL,MATCH(B31,L_MATERIALES,0)))</f>
        <v>UND</v>
      </c>
      <c r="D31" s="30">
        <v>1</v>
      </c>
      <c r="E31" s="23">
        <f t="shared" ref="E31:E38" si="1">+IF(B31="","",INDEX(V_UNITARIOMATERIAL,MATCH(B31,L_MATERIALES,0)))</f>
        <v>340000</v>
      </c>
      <c r="F31" s="30">
        <v>350</v>
      </c>
      <c r="G31" s="26">
        <f>IF(D31="","",(E31*D31)/F31)</f>
        <v>971.42857142857144</v>
      </c>
      <c r="K31" s="9"/>
      <c r="L31" t="str">
        <f>+IF(B31="","",B31)</f>
        <v>HERRAMIENTA MENOR---</v>
      </c>
      <c r="M31">
        <f t="shared" ref="M31:M38" si="2">IF(D31="","",(D31/F31)*INDEX(CANT_PROYECTO,MATCH($B$13,ITEM,0)))</f>
        <v>0.91428571428571426</v>
      </c>
      <c r="N31" s="1"/>
      <c r="P31" s="11"/>
    </row>
    <row r="32" spans="2:16" x14ac:dyDescent="0.3">
      <c r="B32" s="27" t="s">
        <v>527</v>
      </c>
      <c r="C32" s="3" t="str">
        <f t="shared" si="0"/>
        <v>und</v>
      </c>
      <c r="D32" s="30">
        <v>1</v>
      </c>
      <c r="E32" s="23">
        <f t="shared" si="1"/>
        <v>11570</v>
      </c>
      <c r="F32" s="30">
        <v>1</v>
      </c>
      <c r="G32" s="26">
        <f t="shared" ref="G32:G38" si="3">IF(D32="","",(E32*D32)/F32)</f>
        <v>11570</v>
      </c>
      <c r="K32" s="9"/>
      <c r="L32" t="str">
        <f t="shared" ref="L32:L38" si="4">+IF(B32="","",B32)</f>
        <v>Conector de conductor bimetalico ---</v>
      </c>
      <c r="M32">
        <f t="shared" si="2"/>
        <v>320</v>
      </c>
      <c r="N32" s="1"/>
      <c r="P32" s="11"/>
    </row>
    <row r="33" spans="2:16" x14ac:dyDescent="0.3">
      <c r="B33" s="27" t="s">
        <v>429</v>
      </c>
      <c r="C33" s="3" t="str">
        <f t="shared" si="0"/>
        <v>und</v>
      </c>
      <c r="D33" s="30">
        <v>1</v>
      </c>
      <c r="E33" s="23">
        <f t="shared" si="1"/>
        <v>8900</v>
      </c>
      <c r="F33" s="30">
        <v>1</v>
      </c>
      <c r="G33" s="26">
        <f t="shared" si="3"/>
        <v>8900</v>
      </c>
      <c r="K33" s="9"/>
      <c r="L33" t="str">
        <f t="shared" si="4"/>
        <v>Perno + arandela---</v>
      </c>
      <c r="M33">
        <f t="shared" si="2"/>
        <v>320</v>
      </c>
      <c r="N33" s="1"/>
      <c r="P33" s="11"/>
    </row>
    <row r="34" spans="2:16" x14ac:dyDescent="0.3">
      <c r="B34" s="27" t="s">
        <v>530</v>
      </c>
      <c r="C34" s="3" t="str">
        <f t="shared" si="0"/>
        <v>und</v>
      </c>
      <c r="D34" s="30">
        <v>1</v>
      </c>
      <c r="E34" s="23">
        <f t="shared" si="1"/>
        <v>6695</v>
      </c>
      <c r="F34" s="30">
        <v>1</v>
      </c>
      <c r="G34" s="26">
        <f t="shared" si="3"/>
        <v>6695</v>
      </c>
      <c r="K34" s="9"/>
      <c r="L34" t="str">
        <f t="shared" si="4"/>
        <v>Termocontraible---</v>
      </c>
      <c r="M34">
        <f t="shared" si="2"/>
        <v>320</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28136.428571428572</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t="s">
        <v>455</v>
      </c>
      <c r="C42" s="3">
        <f>+IF(B42="","",INDEX(U_MAQUINARIA,MATCH(B42,LISTA_MAQUINARIA,0)))</f>
        <v>0</v>
      </c>
      <c r="D42" s="30">
        <v>1</v>
      </c>
      <c r="E42" s="23">
        <f>+IF(B42="","",INDEX(V_MAQUINARIA,MATCH(B42,LISTA_MAQUINARIA,0)))</f>
        <v>101145.45454545454</v>
      </c>
      <c r="F42" s="3">
        <f>$G$20</f>
        <v>74.8</v>
      </c>
      <c r="G42" s="26">
        <f>IF(D42="","",(E42*D42)/F42)</f>
        <v>1352.2119591638309</v>
      </c>
      <c r="K42" s="9"/>
      <c r="L42" s="23">
        <f>IF(B42="","",INDEX(V_COMBUSTIBLE_H,MATCH(B42,LISTA_MAQUINARIA,0)))</f>
        <v>21600</v>
      </c>
      <c r="M42" s="23">
        <f>+IF(L42="","",(L42*D42)/F42)</f>
        <v>288.77005347593587</v>
      </c>
      <c r="N42" s="23">
        <f>IF(G42="","",G42-M42)</f>
        <v>1063.4419056878951</v>
      </c>
      <c r="P42" s="11"/>
    </row>
    <row r="43" spans="2:16" x14ac:dyDescent="0.3">
      <c r="B43" s="27"/>
      <c r="C43" s="3" t="str">
        <f>+IF(B43="","",INDEX(U_MAQUINARIA,MATCH(B43,LISTA_MAQUINARIA,0)))</f>
        <v/>
      </c>
      <c r="D43" s="30"/>
      <c r="E43" s="23" t="str">
        <f>+IF(B43="","",INDEX(V_MAQUINARIA,MATCH(B43,LISTA_MAQUINARIA,0)))</f>
        <v/>
      </c>
      <c r="F43" s="3">
        <f>+$G$20</f>
        <v>74.8</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74.8</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74.8</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74.8</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1352.2119591638309</v>
      </c>
      <c r="K47" s="9"/>
      <c r="M47" s="24">
        <f>SUM(M42:M46)</f>
        <v>288.77005347593587</v>
      </c>
      <c r="N47" s="24">
        <f>SUM(N42:N46)</f>
        <v>1063.4419056878951</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t="s">
        <v>298</v>
      </c>
      <c r="C50" s="30">
        <v>1</v>
      </c>
      <c r="D50" s="22">
        <f>+IF(B50="","",INDEX(F_PRESTACIONAL,MATCH(B50,L_PERSONAL,)))</f>
        <v>1.6352</v>
      </c>
      <c r="E50" s="23">
        <f>+IF(B50="","",INDEX(V_H_MANODEOBRA,MATCH(B50,L_PERSONAL,0)))</f>
        <v>40136.727272727272</v>
      </c>
      <c r="F50" s="3">
        <f>+$G$20</f>
        <v>74.8</v>
      </c>
      <c r="G50" s="26">
        <f>+IF(C50="","",(E50*C50)/F50)</f>
        <v>536.58726300437536</v>
      </c>
    </row>
    <row r="51" spans="2:7" x14ac:dyDescent="0.3">
      <c r="B51" s="27" t="s">
        <v>304</v>
      </c>
      <c r="C51" s="30">
        <v>12</v>
      </c>
      <c r="D51" s="22">
        <f>+IF(B51="","",INDEX(F_PRESTACIONAL,MATCH(B51,L_PERSONAL,)))</f>
        <v>1.6352</v>
      </c>
      <c r="E51" s="23">
        <f>+IF(B51="","",INDEX(V_H_MANODEOBRA,MATCH(B51,L_PERSONAL,0)))</f>
        <v>24658.815999999999</v>
      </c>
      <c r="F51" s="3">
        <f>+$G$20</f>
        <v>74.8</v>
      </c>
      <c r="G51" s="26">
        <f>+IF(C51="","",(E51*C51)/F51)</f>
        <v>3955.9597860962572</v>
      </c>
    </row>
    <row r="52" spans="2:7" x14ac:dyDescent="0.3">
      <c r="B52" s="27" t="s">
        <v>299</v>
      </c>
      <c r="C52" s="30">
        <v>1</v>
      </c>
      <c r="D52" s="22">
        <f>+IF(B52="","",INDEX(F_PRESTACIONAL,MATCH(B52,L_PERSONAL,)))</f>
        <v>1.6352</v>
      </c>
      <c r="E52" s="23">
        <f>+IF(B52="","",INDEX(V_H_MANODEOBRA,MATCH(B52,L_PERSONAL,0)))</f>
        <v>22298.18181818182</v>
      </c>
      <c r="F52" s="3">
        <f>+$G$20</f>
        <v>74.8</v>
      </c>
      <c r="G52" s="26">
        <f>+IF(C52="","",(E52*C52)/F52)</f>
        <v>298.10403500243075</v>
      </c>
    </row>
    <row r="53" spans="2:7" x14ac:dyDescent="0.3">
      <c r="B53" s="27"/>
      <c r="C53" s="30"/>
      <c r="D53" s="22" t="str">
        <f>+IF(B53="","",INDEX(F_PRESTACIONAL,MATCH(B53,L_PERSONAL,)))</f>
        <v/>
      </c>
      <c r="E53" s="23" t="str">
        <f>+IF(B53="","",INDEX(V_H_MANODEOBRA,MATCH(B53,L_PERSONAL,0)))</f>
        <v/>
      </c>
      <c r="F53" s="3">
        <f>+$G$20</f>
        <v>74.8</v>
      </c>
      <c r="G53" s="26" t="str">
        <f>+IF(C53="","",(E53*C53)/F53)</f>
        <v/>
      </c>
    </row>
    <row r="54" spans="2:7" x14ac:dyDescent="0.3">
      <c r="B54" s="27"/>
      <c r="C54" s="30"/>
      <c r="D54" s="22" t="str">
        <f>+IF(B54="","",INDEX(F_PRESTACIONAL,MATCH(B54,L_PERSONAL,)))</f>
        <v/>
      </c>
      <c r="E54" s="23" t="str">
        <f>+IF(B54="","",INDEX(V_H_MANODEOBRA,MATCH(B54,L_PERSONAL,0)))</f>
        <v/>
      </c>
      <c r="F54" s="3">
        <f>+$G$20</f>
        <v>74.8</v>
      </c>
      <c r="G54" s="26" t="str">
        <f>+IF(C54="","",(E54*C54)/F54)</f>
        <v/>
      </c>
    </row>
    <row r="55" spans="2:7" x14ac:dyDescent="0.3">
      <c r="B55" s="9"/>
      <c r="G55" s="26">
        <f>SUM(G50:G54)</f>
        <v>4790.6510841030631</v>
      </c>
    </row>
    <row r="56" spans="2:7" ht="17.25" thickBot="1" x14ac:dyDescent="0.35">
      <c r="B56" s="9"/>
      <c r="G56" s="11"/>
    </row>
    <row r="57" spans="2:7" ht="17.25" thickBot="1" x14ac:dyDescent="0.35">
      <c r="B57" s="610" t="s">
        <v>98</v>
      </c>
      <c r="C57" s="611"/>
      <c r="D57" s="611"/>
      <c r="E57" s="611"/>
      <c r="F57" s="612"/>
      <c r="G57" s="66">
        <f>+G55+G47+G39+G28</f>
        <v>34279.291614695467</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4113.514993763456</v>
      </c>
    </row>
    <row r="61" spans="2:7" x14ac:dyDescent="0.3">
      <c r="B61" s="613" t="s">
        <v>86</v>
      </c>
      <c r="C61" s="614"/>
      <c r="D61" s="614"/>
      <c r="E61" s="614"/>
      <c r="F61" s="22">
        <f>+IMPREVISTOS</f>
        <v>0.03</v>
      </c>
      <c r="G61" s="26">
        <f>+$G$57*F61</f>
        <v>1028.378748440864</v>
      </c>
    </row>
    <row r="62" spans="2:7" x14ac:dyDescent="0.3">
      <c r="B62" s="613" t="s">
        <v>87</v>
      </c>
      <c r="C62" s="614"/>
      <c r="D62" s="614"/>
      <c r="E62" s="614"/>
      <c r="F62" s="22">
        <f>+UTILIDAD</f>
        <v>0.05</v>
      </c>
      <c r="G62" s="26">
        <f>+$G$57*F62</f>
        <v>1713.9645807347733</v>
      </c>
    </row>
    <row r="63" spans="2:7" x14ac:dyDescent="0.3">
      <c r="B63" s="596" t="s">
        <v>100</v>
      </c>
      <c r="C63" s="597"/>
      <c r="D63" s="597"/>
      <c r="E63" s="597"/>
      <c r="F63" s="597"/>
      <c r="G63" s="53">
        <f>SUM(G60:G62)</f>
        <v>6855.8583229390933</v>
      </c>
    </row>
    <row r="64" spans="2:7" ht="17.25" thickBot="1" x14ac:dyDescent="0.35">
      <c r="B64" s="9"/>
      <c r="G64" s="44"/>
    </row>
    <row r="65" spans="2:7" ht="17.25" thickBot="1" x14ac:dyDescent="0.35">
      <c r="B65" s="598" t="s">
        <v>101</v>
      </c>
      <c r="C65" s="599"/>
      <c r="D65" s="599"/>
      <c r="E65" s="599"/>
      <c r="F65" s="600"/>
      <c r="G65" s="65">
        <f>+G63+G57</f>
        <v>41135.14993763456</v>
      </c>
    </row>
    <row r="66" spans="2:7" x14ac:dyDescent="0.3">
      <c r="B66" s="6"/>
      <c r="C66" s="7"/>
      <c r="D66" s="7"/>
      <c r="E66" s="7"/>
      <c r="F66" s="7"/>
      <c r="G66" s="8"/>
    </row>
    <row r="67" spans="2:7" x14ac:dyDescent="0.3">
      <c r="B67" s="9"/>
      <c r="G67" s="11"/>
    </row>
    <row r="68" spans="2:7" x14ac:dyDescent="0.3">
      <c r="B68" s="69" t="s">
        <v>123</v>
      </c>
      <c r="C68" s="67"/>
      <c r="D68" s="67"/>
      <c r="E68" s="67"/>
      <c r="F68" s="67"/>
      <c r="G68" s="70"/>
    </row>
    <row r="69" spans="2:7" x14ac:dyDescent="0.3">
      <c r="B69" s="71"/>
      <c r="C69" s="67"/>
      <c r="D69" s="67"/>
      <c r="E69" s="67"/>
      <c r="F69" s="67"/>
      <c r="G69" s="70"/>
    </row>
    <row r="70" spans="2:7" x14ac:dyDescent="0.3">
      <c r="B70" s="72"/>
      <c r="C70" s="68"/>
      <c r="D70" s="68"/>
      <c r="E70" s="68"/>
      <c r="F70" s="68"/>
      <c r="G70" s="73"/>
    </row>
    <row r="71" spans="2:7" x14ac:dyDescent="0.3">
      <c r="B71" s="71"/>
      <c r="C71" s="67"/>
      <c r="D71" s="67"/>
      <c r="E71" s="67"/>
      <c r="F71" s="67"/>
      <c r="G71" s="70"/>
    </row>
    <row r="72" spans="2:7" ht="17.25" thickBot="1" x14ac:dyDescent="0.35">
      <c r="B72" s="15"/>
      <c r="C72" s="13"/>
      <c r="D72" s="13"/>
      <c r="E72" s="13"/>
      <c r="F72" s="13"/>
      <c r="G72" s="14"/>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count="5">
    <dataValidation type="list" allowBlank="1" showInputMessage="1" showErrorMessage="1" sqref="E102" xr:uid="{CFF93A80-6016-40FF-934F-4255E8F75829}">
      <formula1>$A$103:$A$105</formula1>
    </dataValidation>
    <dataValidation type="list" allowBlank="1" showInputMessage="1" showErrorMessage="1" sqref="B13" xr:uid="{26BAFEA1-E5E4-44ED-A2C5-1B86CDD9F733}">
      <formula1>ITEM</formula1>
    </dataValidation>
    <dataValidation type="list" allowBlank="1" showInputMessage="1" showErrorMessage="1" sqref="B50:B54" xr:uid="{2D0F6117-46AD-4682-AAA3-94E8D6A489AB}">
      <formula1>L_PERSONAL</formula1>
    </dataValidation>
    <dataValidation type="list" allowBlank="1" showInputMessage="1" showErrorMessage="1" sqref="B31:B38" xr:uid="{0A4CF772-9B20-482B-BC66-020D212A8165}">
      <formula1>L_MATERIALES</formula1>
    </dataValidation>
    <dataValidation type="list" allowBlank="1" showInputMessage="1" showErrorMessage="1" sqref="B23:B27 B42:B46" xr:uid="{619EB518-DAF1-4D89-84D2-7B6A1347AB42}">
      <formula1>LISTA_MAQUINARIA</formula1>
    </dataValidation>
  </dataValidations>
  <pageMargins left="0.70866141732283472" right="0.70866141732283472" top="0.74803149606299213" bottom="0.74803149606299213" header="0.31496062992125984" footer="0.31496062992125984"/>
  <pageSetup scale="45" orientation="portrait" r:id="rId1"/>
  <rowBreaks count="1" manualBreakCount="1">
    <brk id="78" max="16383" man="1"/>
  </rowBreaks>
  <colBreaks count="1" manualBreakCount="1">
    <brk id="7" max="1048575" man="1"/>
  </colBreaks>
  <drawing r:id="rId2"/>
  <tableParts count="1">
    <tablePart r:id="rId3"/>
  </tablePart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5D93F2-8924-4A57-9962-E804E886F330}">
  <sheetPr codeName="Hoja57"/>
  <dimension ref="A1:P105"/>
  <sheetViews>
    <sheetView showGridLines="0" view="pageBreakPreview" zoomScale="60" zoomScaleNormal="60" workbookViewId="0">
      <selection activeCell="B1" sqref="B1:G78"/>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46</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18" t="str">
        <f>+IF($B$13="","",INDEX(DESCRIP_ITEM,MATCH($B$13,ITEM,0)))</f>
        <v>Suministro e instalacion de cajas de inspección y medida para el SPT. Según REITE.</v>
      </c>
      <c r="C16" s="619"/>
      <c r="D16" s="619"/>
      <c r="E16" s="619"/>
      <c r="F16" s="619"/>
      <c r="G16" s="620"/>
    </row>
    <row r="17" spans="2:16" ht="44.25" customHeight="1" thickBot="1" x14ac:dyDescent="0.35">
      <c r="B17" s="621"/>
      <c r="C17" s="622"/>
      <c r="D17" s="622"/>
      <c r="E17" s="622"/>
      <c r="F17" s="622"/>
      <c r="G17" s="623"/>
    </row>
    <row r="18" spans="2:16" ht="17.25" thickBot="1" x14ac:dyDescent="0.35">
      <c r="B18" s="591"/>
      <c r="C18" s="579"/>
      <c r="D18" s="579"/>
      <c r="E18" s="579"/>
      <c r="G18" s="11"/>
    </row>
    <row r="19" spans="2:16" ht="17.25" thickBot="1" x14ac:dyDescent="0.35">
      <c r="B19" s="592"/>
      <c r="C19" s="593"/>
      <c r="D19" s="593"/>
      <c r="E19" s="593"/>
      <c r="F19" s="54" t="s">
        <v>89</v>
      </c>
      <c r="G19" s="25" t="str">
        <f>+IF(B13="","",INDEX(U_ITEM,MATCH(B13,ITEM,0)))</f>
        <v>UN</v>
      </c>
    </row>
    <row r="20" spans="2:16" ht="17.25" thickBot="1" x14ac:dyDescent="0.35">
      <c r="B20" s="592"/>
      <c r="C20" s="593"/>
      <c r="D20" s="593"/>
      <c r="E20" s="593"/>
      <c r="F20" s="55" t="s">
        <v>90</v>
      </c>
      <c r="G20" s="56">
        <v>0.97499999999999998</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c r="C23" s="3" t="str">
        <f>+IF(B23="","",INDEX(U_MAQUINARIA,MATCH(B23,LISTA_MAQUINARIA,0)))</f>
        <v/>
      </c>
      <c r="D23" s="30"/>
      <c r="E23" s="23" t="str">
        <f>+IF(B23="","",INDEX(V_MAQUINARIA,MATCH(B23,LISTA_MAQUINARIA,0)))</f>
        <v/>
      </c>
      <c r="F23" s="3">
        <f>$G$20</f>
        <v>0.97499999999999998</v>
      </c>
      <c r="G23" s="26" t="str">
        <f>+IF(B23="","",(D23*E23)/F23)</f>
        <v/>
      </c>
      <c r="K23" s="9"/>
      <c r="L23" s="23" t="str">
        <f>IF(B23="","",INDEX(V_COMBUSTIBLE_H,MATCH(B23,LISTA_MAQUINARIA,0)))</f>
        <v/>
      </c>
      <c r="M23" s="23" t="str">
        <f>+IF(L23="","",(L23*D23)/F23)</f>
        <v/>
      </c>
      <c r="N23" s="23" t="str">
        <f>IF(G23="","",G23-M23)</f>
        <v/>
      </c>
      <c r="P23" s="11"/>
    </row>
    <row r="24" spans="2:16" x14ac:dyDescent="0.3">
      <c r="B24" s="27"/>
      <c r="C24" s="3" t="str">
        <f>+IF(B24="","",INDEX(U_MAQUINARIA,MATCH(B24,LISTA_MAQUINARIA,0)))</f>
        <v/>
      </c>
      <c r="D24" s="30"/>
      <c r="E24" s="23" t="str">
        <f>+IF(B24="","",INDEX(V_MAQUINARIA,MATCH(B24,LISTA_MAQUINARIA,0)))</f>
        <v/>
      </c>
      <c r="F24" s="3">
        <f>$G$20</f>
        <v>0.97499999999999998</v>
      </c>
      <c r="G24" s="26" t="str">
        <f>+IF(B24="","",(D24*E24)/F24)</f>
        <v/>
      </c>
      <c r="K24" s="9"/>
      <c r="L24" s="3" t="str">
        <f>IF(B24="","",INDEX(V_COMBUSTIBLE_H,MATCH(B24,LISTA_MAQUINARIA,0)))</f>
        <v/>
      </c>
      <c r="M24" s="3" t="str">
        <f>+IF(L24="","",(L24*D24)/F24)</f>
        <v/>
      </c>
      <c r="N24" s="3" t="str">
        <f>IF(G24="","",G24-M24)</f>
        <v/>
      </c>
      <c r="P24" s="11"/>
    </row>
    <row r="25" spans="2:16" x14ac:dyDescent="0.3">
      <c r="B25" s="27"/>
      <c r="C25" s="3" t="str">
        <f>+IF(B25="","",INDEX(U_MAQUINARIA,MATCH(B25,LISTA_MAQUINARIA,0)))</f>
        <v/>
      </c>
      <c r="D25" s="30"/>
      <c r="E25" s="23" t="str">
        <f>+IF(B25="","",INDEX(V_MAQUINARIA,MATCH(B25,LISTA_MAQUINARIA,0)))</f>
        <v/>
      </c>
      <c r="F25" s="3">
        <f>$G$20</f>
        <v>0.97499999999999998</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0.97499999999999998</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0.97499999999999998</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0</v>
      </c>
      <c r="K28" s="9"/>
      <c r="M28" s="24">
        <f>SUM(M23:M27)</f>
        <v>0</v>
      </c>
      <c r="N28" s="24">
        <f>SUM(N23:N27)</f>
        <v>0</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t="s">
        <v>361</v>
      </c>
      <c r="C31" s="3" t="str">
        <f t="shared" ref="C31:C38" si="0">+IF(B31="","",INDEX(U_MATERIAL,MATCH(B31,L_MATERIALES,0)))</f>
        <v>UND</v>
      </c>
      <c r="D31" s="30">
        <v>1</v>
      </c>
      <c r="E31" s="23">
        <f t="shared" ref="E31:E38" si="1">+IF(B31="","",INDEX(V_UNITARIOMATERIAL,MATCH(B31,L_MATERIALES,0)))</f>
        <v>340000</v>
      </c>
      <c r="F31" s="30">
        <v>100</v>
      </c>
      <c r="G31" s="26">
        <f>IF(D31="","",(E31*D31)/F31)</f>
        <v>3400</v>
      </c>
      <c r="K31" s="9"/>
      <c r="L31" t="str">
        <f>+IF(B31="","",B31)</f>
        <v>HERRAMIENTA MENOR---</v>
      </c>
      <c r="M31">
        <f t="shared" ref="M31:M38" si="2">IF(D31="","",(D31/F31)*INDEX(CANT_PROYECTO,MATCH($B$13,ITEM,0)))</f>
        <v>0.6</v>
      </c>
      <c r="N31" s="1"/>
      <c r="P31" s="11"/>
    </row>
    <row r="32" spans="2:16" x14ac:dyDescent="0.3">
      <c r="B32" s="27"/>
      <c r="C32" s="3" t="str">
        <f t="shared" si="0"/>
        <v/>
      </c>
      <c r="D32" s="30"/>
      <c r="E32" s="23" t="str">
        <f t="shared" si="1"/>
        <v/>
      </c>
      <c r="F32" s="30"/>
      <c r="G32" s="26" t="str">
        <f t="shared" ref="G32:G38" si="3">IF(D32="","",(E32*D32)/F32)</f>
        <v/>
      </c>
      <c r="K32" s="9"/>
      <c r="L32" t="str">
        <f t="shared" ref="L32:L38" si="4">+IF(B32="","",B32)</f>
        <v/>
      </c>
      <c r="M32" t="str">
        <f t="shared" si="2"/>
        <v/>
      </c>
      <c r="N32" s="1"/>
      <c r="P32" s="11"/>
    </row>
    <row r="33" spans="2:16" x14ac:dyDescent="0.3">
      <c r="B33" s="27"/>
      <c r="C33" s="3" t="str">
        <f t="shared" si="0"/>
        <v/>
      </c>
      <c r="D33" s="30"/>
      <c r="E33" s="23" t="str">
        <f t="shared" si="1"/>
        <v/>
      </c>
      <c r="F33" s="30"/>
      <c r="G33" s="26" t="str">
        <f t="shared" si="3"/>
        <v/>
      </c>
      <c r="K33" s="9"/>
      <c r="L33" t="str">
        <f t="shared" si="4"/>
        <v/>
      </c>
      <c r="M33" t="str">
        <f t="shared" si="2"/>
        <v/>
      </c>
      <c r="N33" s="1"/>
      <c r="P33" s="11"/>
    </row>
    <row r="34" spans="2:16" x14ac:dyDescent="0.3">
      <c r="B34" s="27"/>
      <c r="C34" s="3" t="str">
        <f t="shared" si="0"/>
        <v/>
      </c>
      <c r="D34" s="30"/>
      <c r="E34" s="23" t="str">
        <f t="shared" si="1"/>
        <v/>
      </c>
      <c r="F34" s="30"/>
      <c r="G34" s="26" t="str">
        <f t="shared" si="3"/>
        <v/>
      </c>
      <c r="K34" s="9"/>
      <c r="L34" t="str">
        <f t="shared" si="4"/>
        <v/>
      </c>
      <c r="M34" t="str">
        <f t="shared" si="2"/>
        <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3400</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t="s">
        <v>368</v>
      </c>
      <c r="C42" s="3" t="str">
        <f>+IF(B42="","",INDEX(U_MAQUINARIA,MATCH(B42,LISTA_MAQUINARIA,0)))</f>
        <v>VALOR / HORA</v>
      </c>
      <c r="D42" s="30">
        <v>1</v>
      </c>
      <c r="E42" s="23">
        <f>+IF(B42="","",INDEX(V_MAQUINARIA,MATCH(B42,LISTA_MAQUINARIA,0)))</f>
        <v>58531.818181818184</v>
      </c>
      <c r="F42" s="3">
        <f>$G$20</f>
        <v>0.97499999999999998</v>
      </c>
      <c r="G42" s="26">
        <f>IF(D42="","",(E42*D42)/F42)</f>
        <v>60032.634032634036</v>
      </c>
      <c r="K42" s="9"/>
      <c r="L42" s="23">
        <f>IF(B42="","",INDEX(V_COMBUSTIBLE_H,MATCH(B42,LISTA_MAQUINARIA,0)))</f>
        <v>21600</v>
      </c>
      <c r="M42" s="23">
        <f>+IF(L42="","",(L42*D42)/F42)</f>
        <v>22153.846153846156</v>
      </c>
      <c r="N42" s="23">
        <f>IF(G42="","",G42-M42)</f>
        <v>37878.78787878788</v>
      </c>
      <c r="P42" s="11"/>
    </row>
    <row r="43" spans="2:16" x14ac:dyDescent="0.3">
      <c r="B43" s="27"/>
      <c r="C43" s="3" t="str">
        <f>+IF(B43="","",INDEX(U_MAQUINARIA,MATCH(B43,LISTA_MAQUINARIA,0)))</f>
        <v/>
      </c>
      <c r="D43" s="30"/>
      <c r="E43" s="23" t="str">
        <f>+IF(B43="","",INDEX(V_MAQUINARIA,MATCH(B43,LISTA_MAQUINARIA,0)))</f>
        <v/>
      </c>
      <c r="F43" s="3">
        <f>+$G$20</f>
        <v>0.97499999999999998</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0.97499999999999998</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0.97499999999999998</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0.97499999999999998</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60032.634032634036</v>
      </c>
      <c r="K47" s="9"/>
      <c r="M47" s="24">
        <f>SUM(M42:M46)</f>
        <v>22153.846153846156</v>
      </c>
      <c r="N47" s="24">
        <f>SUM(N42:N46)</f>
        <v>37878.78787878788</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t="s">
        <v>306</v>
      </c>
      <c r="C50" s="30">
        <v>1</v>
      </c>
      <c r="D50" s="22">
        <f>+IF(B50="","",INDEX(F_PRESTACIONAL,MATCH(B50,L_PERSONAL,)))</f>
        <v>2.3170181818181819</v>
      </c>
      <c r="E50" s="23">
        <f>+IF(B50="","",INDEX(V_H_MANODEOBRA,MATCH(B50,L_PERSONAL,0)))</f>
        <v>46340.36363636364</v>
      </c>
      <c r="F50" s="3">
        <f>+$G$20</f>
        <v>0.97499999999999998</v>
      </c>
      <c r="G50" s="26">
        <f>+IF(C50="","",(E50*C50)/F50)</f>
        <v>47528.578088578091</v>
      </c>
    </row>
    <row r="51" spans="2:7" x14ac:dyDescent="0.3">
      <c r="B51" s="27" t="s">
        <v>304</v>
      </c>
      <c r="C51" s="30">
        <v>2</v>
      </c>
      <c r="D51" s="22">
        <f>+IF(B51="","",INDEX(F_PRESTACIONAL,MATCH(B51,L_PERSONAL,)))</f>
        <v>1.6352</v>
      </c>
      <c r="E51" s="23">
        <f>+IF(B51="","",INDEX(V_H_MANODEOBRA,MATCH(B51,L_PERSONAL,0)))</f>
        <v>24658.815999999999</v>
      </c>
      <c r="F51" s="3">
        <f>+$G$20</f>
        <v>0.97499999999999998</v>
      </c>
      <c r="G51" s="26">
        <f>+IF(C51="","",(E51*C51)/F51)</f>
        <v>50582.186666666668</v>
      </c>
    </row>
    <row r="52" spans="2:7" x14ac:dyDescent="0.3">
      <c r="B52" s="27"/>
      <c r="C52" s="30"/>
      <c r="D52" s="22" t="str">
        <f>+IF(B52="","",INDEX(F_PRESTACIONAL,MATCH(B52,L_PERSONAL,)))</f>
        <v/>
      </c>
      <c r="E52" s="23" t="str">
        <f>+IF(B52="","",INDEX(V_H_MANODEOBRA,MATCH(B52,L_PERSONAL,0)))</f>
        <v/>
      </c>
      <c r="F52" s="3">
        <f>+$G$20</f>
        <v>0.97499999999999998</v>
      </c>
      <c r="G52" s="26" t="str">
        <f>+IF(C52="","",(E52*C52)/F52)</f>
        <v/>
      </c>
    </row>
    <row r="53" spans="2:7" x14ac:dyDescent="0.3">
      <c r="B53" s="27"/>
      <c r="C53" s="30"/>
      <c r="D53" s="22" t="str">
        <f>+IF(B53="","",INDEX(F_PRESTACIONAL,MATCH(B53,L_PERSONAL,)))</f>
        <v/>
      </c>
      <c r="E53" s="23" t="str">
        <f>+IF(B53="","",INDEX(V_H_MANODEOBRA,MATCH(B53,L_PERSONAL,0)))</f>
        <v/>
      </c>
      <c r="F53" s="3">
        <f>+$G$20</f>
        <v>0.97499999999999998</v>
      </c>
      <c r="G53" s="26" t="str">
        <f>+IF(C53="","",(E53*C53)/F53)</f>
        <v/>
      </c>
    </row>
    <row r="54" spans="2:7" x14ac:dyDescent="0.3">
      <c r="B54" s="27"/>
      <c r="C54" s="30"/>
      <c r="D54" s="22" t="str">
        <f>+IF(B54="","",INDEX(F_PRESTACIONAL,MATCH(B54,L_PERSONAL,)))</f>
        <v/>
      </c>
      <c r="E54" s="23" t="str">
        <f>+IF(B54="","",INDEX(V_H_MANODEOBRA,MATCH(B54,L_PERSONAL,0)))</f>
        <v/>
      </c>
      <c r="F54" s="3">
        <f>+$G$20</f>
        <v>0.97499999999999998</v>
      </c>
      <c r="G54" s="26" t="str">
        <f>+IF(C54="","",(E54*C54)/F54)</f>
        <v/>
      </c>
    </row>
    <row r="55" spans="2:7" x14ac:dyDescent="0.3">
      <c r="B55" s="9"/>
      <c r="G55" s="26">
        <f>SUM(G50:G54)</f>
        <v>98110.76475524476</v>
      </c>
    </row>
    <row r="56" spans="2:7" ht="17.25" thickBot="1" x14ac:dyDescent="0.35">
      <c r="B56" s="9"/>
      <c r="G56" s="11"/>
    </row>
    <row r="57" spans="2:7" ht="17.25" thickBot="1" x14ac:dyDescent="0.35">
      <c r="B57" s="610" t="s">
        <v>98</v>
      </c>
      <c r="C57" s="611"/>
      <c r="D57" s="611"/>
      <c r="E57" s="611"/>
      <c r="F57" s="612"/>
      <c r="G57" s="66">
        <f>+G55+G47+G39+G28</f>
        <v>161543.3987878788</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19385.207854545457</v>
      </c>
    </row>
    <row r="61" spans="2:7" x14ac:dyDescent="0.3">
      <c r="B61" s="613" t="s">
        <v>86</v>
      </c>
      <c r="C61" s="614"/>
      <c r="D61" s="614"/>
      <c r="E61" s="614"/>
      <c r="F61" s="22">
        <f>+IMPREVISTOS</f>
        <v>0.03</v>
      </c>
      <c r="G61" s="26">
        <f>+$G$57*F61</f>
        <v>4846.3019636363642</v>
      </c>
    </row>
    <row r="62" spans="2:7" x14ac:dyDescent="0.3">
      <c r="B62" s="613" t="s">
        <v>87</v>
      </c>
      <c r="C62" s="614"/>
      <c r="D62" s="614"/>
      <c r="E62" s="614"/>
      <c r="F62" s="22">
        <f>+UTILIDAD</f>
        <v>0.05</v>
      </c>
      <c r="G62" s="26">
        <f>+$G$57*F62</f>
        <v>8077.1699393939407</v>
      </c>
    </row>
    <row r="63" spans="2:7" x14ac:dyDescent="0.3">
      <c r="B63" s="596" t="s">
        <v>100</v>
      </c>
      <c r="C63" s="597"/>
      <c r="D63" s="597"/>
      <c r="E63" s="597"/>
      <c r="F63" s="597"/>
      <c r="G63" s="53">
        <f>SUM(G60:G62)</f>
        <v>32308.679757575763</v>
      </c>
    </row>
    <row r="64" spans="2:7" ht="17.25" thickBot="1" x14ac:dyDescent="0.35">
      <c r="B64" s="9"/>
      <c r="G64" s="44"/>
    </row>
    <row r="65" spans="2:7" ht="17.25" thickBot="1" x14ac:dyDescent="0.35">
      <c r="B65" s="598" t="s">
        <v>101</v>
      </c>
      <c r="C65" s="599"/>
      <c r="D65" s="599"/>
      <c r="E65" s="599"/>
      <c r="F65" s="600"/>
      <c r="G65" s="65">
        <f>+G63+G57</f>
        <v>193852.07854545457</v>
      </c>
    </row>
    <row r="66" spans="2:7" x14ac:dyDescent="0.3">
      <c r="B66" s="6"/>
      <c r="C66" s="7"/>
      <c r="D66" s="7"/>
      <c r="E66" s="7"/>
      <c r="F66" s="7"/>
      <c r="G66" s="8"/>
    </row>
    <row r="67" spans="2:7" x14ac:dyDescent="0.3">
      <c r="B67" s="9"/>
      <c r="G67" s="11"/>
    </row>
    <row r="68" spans="2:7" x14ac:dyDescent="0.3">
      <c r="B68" s="69" t="s">
        <v>123</v>
      </c>
      <c r="C68" s="67"/>
      <c r="D68" s="67"/>
      <c r="E68" s="67"/>
      <c r="F68" s="67"/>
      <c r="G68" s="70"/>
    </row>
    <row r="69" spans="2:7" x14ac:dyDescent="0.3">
      <c r="B69" s="71"/>
      <c r="C69" s="67"/>
      <c r="D69" s="67"/>
      <c r="E69" s="67"/>
      <c r="F69" s="67"/>
      <c r="G69" s="70"/>
    </row>
    <row r="70" spans="2:7" x14ac:dyDescent="0.3">
      <c r="B70" s="72"/>
      <c r="C70" s="68"/>
      <c r="D70" s="68"/>
      <c r="E70" s="68"/>
      <c r="F70" s="68"/>
      <c r="G70" s="73"/>
    </row>
    <row r="71" spans="2:7" x14ac:dyDescent="0.3">
      <c r="B71" s="71"/>
      <c r="C71" s="67"/>
      <c r="D71" s="67"/>
      <c r="E71" s="67"/>
      <c r="F71" s="67"/>
      <c r="G71" s="70"/>
    </row>
    <row r="72" spans="2:7" ht="17.25" thickBot="1" x14ac:dyDescent="0.35">
      <c r="B72" s="15"/>
      <c r="C72" s="13"/>
      <c r="D72" s="13"/>
      <c r="E72" s="13"/>
      <c r="F72" s="13"/>
      <c r="G72" s="14"/>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count="5">
    <dataValidation type="list" allowBlank="1" showInputMessage="1" showErrorMessage="1" sqref="E102" xr:uid="{DB699BE3-D5BC-4275-B7C6-511474D83713}">
      <formula1>$A$103:$A$105</formula1>
    </dataValidation>
    <dataValidation type="list" allowBlank="1" showInputMessage="1" showErrorMessage="1" sqref="B13" xr:uid="{8C135146-469E-479E-9731-70918471A1D9}">
      <formula1>ITEM</formula1>
    </dataValidation>
    <dataValidation type="list" allowBlank="1" showInputMessage="1" showErrorMessage="1" sqref="B50:B54" xr:uid="{D2FA4085-79BF-4E1F-B1B6-615705328C98}">
      <formula1>L_PERSONAL</formula1>
    </dataValidation>
    <dataValidation type="list" allowBlank="1" showInputMessage="1" showErrorMessage="1" sqref="B31:B38" xr:uid="{00A09C66-9F41-4F0B-9E6C-5E94D9E66216}">
      <formula1>L_MATERIALES</formula1>
    </dataValidation>
    <dataValidation type="list" allowBlank="1" showInputMessage="1" showErrorMessage="1" sqref="B23:B27 B42:B46" xr:uid="{B5986189-AF2A-43EE-ADAC-2E9841E2B9F7}">
      <formula1>LISTA_MAQUINARIA</formula1>
    </dataValidation>
  </dataValidations>
  <pageMargins left="0.7" right="0.7" top="0.75" bottom="0.75" header="0.3" footer="0.3"/>
  <pageSetup scale="54" orientation="portrait" r:id="rId1"/>
  <rowBreaks count="1" manualBreakCount="1">
    <brk id="78" max="16383" man="1"/>
  </rowBreaks>
  <colBreaks count="1" manualBreakCount="1">
    <brk id="7" max="1048575" man="1"/>
  </colBreaks>
  <drawing r:id="rId2"/>
  <tableParts count="1">
    <tablePart r:id="rId3"/>
  </tablePart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B5008-6A63-4E75-AFE8-8FACA6D422C7}">
  <sheetPr codeName="Hoja58"/>
  <dimension ref="A1:P105"/>
  <sheetViews>
    <sheetView showGridLines="0" view="pageBreakPreview" topLeftCell="A42" zoomScale="60" zoomScaleNormal="61" workbookViewId="0">
      <selection activeCell="B1" sqref="B1:G78"/>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47</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18" t="str">
        <f>+IF($B$13="","",INDEX(DESCRIP_ITEM,MATCH($B$13,ITEM,0)))</f>
        <v>Excavación, relleno y compactación de Zanja tipo X para Malla de tierra, sección (bxh) 0,30 m 0.50 m. Incluye el perfilado del contorno de la zanja con las herramietas adecuadas,  la separación del descapote o capa orgánica con el resto del material excavado y la disposición del material excavado. En cualquier caso solo se permitirá un máximo de 10 cm de material de excavación sobre el nivel del terreno. Inlcuye suministros acorde a las especificaciones del Anexo 005 Especificaciones Técnicas BOS Tepuy - EPM y los documentos de ingeniería (Layout zanjas y detalles). La compactación debe realizarse en capas y se deben ejecutar los correspondientes ensayos de densidad.</v>
      </c>
      <c r="C16" s="619"/>
      <c r="D16" s="619"/>
      <c r="E16" s="619"/>
      <c r="F16" s="619"/>
      <c r="G16" s="620"/>
    </row>
    <row r="17" spans="2:16" ht="94.9" customHeight="1" thickBot="1" x14ac:dyDescent="0.35">
      <c r="B17" s="621"/>
      <c r="C17" s="622"/>
      <c r="D17" s="622"/>
      <c r="E17" s="622"/>
      <c r="F17" s="622"/>
      <c r="G17" s="623"/>
    </row>
    <row r="18" spans="2:16" ht="17.25" thickBot="1" x14ac:dyDescent="0.35">
      <c r="B18" s="591"/>
      <c r="C18" s="579"/>
      <c r="D18" s="579"/>
      <c r="E18" s="579"/>
      <c r="G18" s="11"/>
    </row>
    <row r="19" spans="2:16" ht="17.25" thickBot="1" x14ac:dyDescent="0.35">
      <c r="B19" s="592"/>
      <c r="C19" s="593"/>
      <c r="D19" s="593"/>
      <c r="E19" s="593"/>
      <c r="F19" s="54" t="s">
        <v>89</v>
      </c>
      <c r="G19" s="25" t="str">
        <f>+IF(B13="","",INDEX(U_ITEM,MATCH(B13,ITEM,0)))</f>
        <v>ml</v>
      </c>
      <c r="H19">
        <v>8</v>
      </c>
    </row>
    <row r="20" spans="2:16" ht="35.450000000000003" customHeight="1" thickBot="1" x14ac:dyDescent="0.35">
      <c r="B20" s="592"/>
      <c r="C20" s="593"/>
      <c r="D20" s="593"/>
      <c r="E20" s="593"/>
      <c r="F20" s="55" t="s">
        <v>90</v>
      </c>
      <c r="G20" s="56">
        <v>29.3</v>
      </c>
      <c r="H20">
        <f>0.3*0.5</f>
        <v>0.15</v>
      </c>
      <c r="I20">
        <f>H20*G20</f>
        <v>4.3949999999999996</v>
      </c>
      <c r="K20" s="92" t="s">
        <v>134</v>
      </c>
      <c r="L20" s="93"/>
      <c r="M20" s="93"/>
      <c r="N20" s="93"/>
      <c r="O20" s="93"/>
      <c r="P20" s="94"/>
    </row>
    <row r="21" spans="2:16" ht="15" customHeight="1" thickBot="1" x14ac:dyDescent="0.35">
      <c r="B21" s="58" t="s">
        <v>91</v>
      </c>
      <c r="G21" s="11"/>
      <c r="H21">
        <f>H19/H20</f>
        <v>53.333333333333336</v>
      </c>
      <c r="I21">
        <f>G20*8</f>
        <v>234.4</v>
      </c>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t="s">
        <v>405</v>
      </c>
      <c r="C23" s="3" t="str">
        <f>+IF(B23="","",INDEX(U_MAQUINARIA,MATCH(B23,LISTA_MAQUINARIA,0)))</f>
        <v>VALOR / HORA</v>
      </c>
      <c r="D23" s="30">
        <v>2</v>
      </c>
      <c r="E23" s="23">
        <f>+IF(B23="","",INDEX(V_MAQUINARIA,MATCH(B23,LISTA_MAQUINARIA,0)))</f>
        <v>134672.72727272729</v>
      </c>
      <c r="F23" s="3">
        <f>$G$20</f>
        <v>29.3</v>
      </c>
      <c r="G23" s="26">
        <f>+IF(B23="","",(D23*E23)/F23)</f>
        <v>9192.6776295376985</v>
      </c>
      <c r="K23" s="9"/>
      <c r="L23" s="23">
        <f>IF(B23="","",INDEX(V_COMBUSTIBLE_H,MATCH(B23,LISTA_MAQUINARIA,0)))</f>
        <v>32400</v>
      </c>
      <c r="M23" s="23">
        <f>+IF(L23="","",(L23*D23)/F23)</f>
        <v>2211.6040955631397</v>
      </c>
      <c r="N23" s="23">
        <f>IF(G23="","",G23-M23)</f>
        <v>6981.0735339745588</v>
      </c>
      <c r="P23" s="11"/>
    </row>
    <row r="24" spans="2:16" x14ac:dyDescent="0.3">
      <c r="B24" s="27" t="s">
        <v>449</v>
      </c>
      <c r="C24" s="3">
        <f>+IF(B24="","",INDEX(U_MAQUINARIA,MATCH(B24,LISTA_MAQUINARIA,0)))</f>
        <v>0</v>
      </c>
      <c r="D24" s="30">
        <v>1</v>
      </c>
      <c r="E24" s="23">
        <f>+IF(B24="","",INDEX(V_MAQUINARIA,MATCH(B24,LISTA_MAQUINARIA,0)))</f>
        <v>84381.818181818177</v>
      </c>
      <c r="F24" s="3">
        <f>$G$20</f>
        <v>29.3</v>
      </c>
      <c r="G24" s="26">
        <f>+IF(B24="","",(D24*E24)/F24)</f>
        <v>2879.9255352156374</v>
      </c>
      <c r="K24" s="9"/>
      <c r="L24" s="3">
        <f>IF(B24="","",INDEX(V_COMBUSTIBLE_H,MATCH(B24,LISTA_MAQUINARIA,0)))</f>
        <v>16200</v>
      </c>
      <c r="M24" s="3">
        <f>+IF(L24="","",(L24*D24)/F24)</f>
        <v>552.90102389078493</v>
      </c>
      <c r="N24" s="3">
        <f>IF(G24="","",G24-M24)</f>
        <v>2327.0245113248525</v>
      </c>
      <c r="P24" s="11"/>
    </row>
    <row r="25" spans="2:16" x14ac:dyDescent="0.3">
      <c r="B25" s="27" t="s">
        <v>452</v>
      </c>
      <c r="C25" s="3">
        <f>+IF(B25="","",INDEX(U_MAQUINARIA,MATCH(B25,LISTA_MAQUINARIA,0)))</f>
        <v>0</v>
      </c>
      <c r="D25" s="30">
        <v>1</v>
      </c>
      <c r="E25" s="23">
        <f>+IF(B25="","",INDEX(V_MAQUINARIA,MATCH(B25,LISTA_MAQUINARIA,0)))</f>
        <v>33527.272727272728</v>
      </c>
      <c r="F25" s="3">
        <f>$G$20</f>
        <v>29.3</v>
      </c>
      <c r="G25" s="26">
        <f>+IF(B25="","",(D25*E25)/F25)</f>
        <v>1144.2755197021409</v>
      </c>
      <c r="K25" s="9"/>
      <c r="L25" s="3">
        <f>IF(B25="","",INDEX(V_COMBUSTIBLE_H,MATCH(B25,LISTA_MAQUINARIA,0)))</f>
        <v>10800</v>
      </c>
      <c r="M25" s="3">
        <f>+IF(L25="","",(L25*D25)/F25)</f>
        <v>368.60068259385662</v>
      </c>
      <c r="N25" s="3">
        <f>IF(G25="","",G25-M25)</f>
        <v>775.67483710828424</v>
      </c>
      <c r="P25" s="11"/>
    </row>
    <row r="26" spans="2:16" x14ac:dyDescent="0.3">
      <c r="B26" s="27" t="s">
        <v>453</v>
      </c>
      <c r="C26" s="3">
        <f>+IF(B26="","",INDEX(U_MAQUINARIA,MATCH(B26,LISTA_MAQUINARIA,0)))</f>
        <v>0</v>
      </c>
      <c r="D26" s="30">
        <v>2</v>
      </c>
      <c r="E26" s="23">
        <f>+IF(B26="","",INDEX(V_MAQUINARIA,MATCH(B26,LISTA_MAQUINARIA,0)))</f>
        <v>27845.454545454544</v>
      </c>
      <c r="F26" s="3">
        <f>$G$20</f>
        <v>29.3</v>
      </c>
      <c r="G26" s="26">
        <f>+IF(B26="","",(D26*E26)/F26)</f>
        <v>1900.7136208501395</v>
      </c>
      <c r="K26" s="9"/>
      <c r="L26" s="3">
        <f>IF(B26="","",INDEX(V_COMBUSTIBLE_H,MATCH(B26,LISTA_MAQUINARIA,0)))</f>
        <v>10800</v>
      </c>
      <c r="M26" s="3">
        <f>+IF(L26="","",(L26*D26)/F26)</f>
        <v>737.20136518771324</v>
      </c>
      <c r="N26" s="3">
        <f>IF(G26="","",G26-M26)</f>
        <v>1163.5122556624262</v>
      </c>
      <c r="P26" s="11"/>
    </row>
    <row r="27" spans="2:16" x14ac:dyDescent="0.3">
      <c r="B27" s="27"/>
      <c r="C27" s="3" t="str">
        <f>+IF(B27="","",INDEX(U_MAQUINARIA,MATCH(B27,LISTA_MAQUINARIA,0)))</f>
        <v/>
      </c>
      <c r="D27" s="30"/>
      <c r="E27" s="23" t="str">
        <f>+IF(B27="","",INDEX(V_MAQUINARIA,MATCH(B27,LISTA_MAQUINARIA,0)))</f>
        <v/>
      </c>
      <c r="F27" s="3">
        <f>$G$20</f>
        <v>29.3</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15117.592305305618</v>
      </c>
      <c r="K28" s="9"/>
      <c r="M28" s="24">
        <f>SUM(M23:M27)</f>
        <v>3870.3071672354945</v>
      </c>
      <c r="N28" s="24">
        <f>SUM(N23:N27)</f>
        <v>11247.285138070123</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t="s">
        <v>361</v>
      </c>
      <c r="C31" s="3" t="str">
        <f t="shared" ref="C31:C38" si="0">+IF(B31="","",INDEX(U_MATERIAL,MATCH(B31,L_MATERIALES,0)))</f>
        <v>UND</v>
      </c>
      <c r="D31" s="30">
        <v>1</v>
      </c>
      <c r="E31" s="23">
        <f t="shared" ref="E31:E38" si="1">+IF(B31="","",INDEX(V_UNITARIOMATERIAL,MATCH(B31,L_MATERIALES,0)))</f>
        <v>340000</v>
      </c>
      <c r="F31" s="30">
        <v>1000</v>
      </c>
      <c r="G31" s="26">
        <f>IF(D31="","",(E31*D31)/F31)</f>
        <v>340</v>
      </c>
      <c r="K31" s="9"/>
      <c r="L31" t="str">
        <f>+IF(B31="","",B31)</f>
        <v>HERRAMIENTA MENOR---</v>
      </c>
      <c r="M31">
        <f t="shared" ref="M31:M38" si="2">IF(D31="","",(D31/F31)*INDEX(CANT_PROYECTO,MATCH($B$13,ITEM,0)))</f>
        <v>2.3000000000000003</v>
      </c>
      <c r="N31" s="1"/>
      <c r="P31" s="11"/>
    </row>
    <row r="32" spans="2:16" x14ac:dyDescent="0.3">
      <c r="B32" s="27"/>
      <c r="C32" s="3" t="str">
        <f t="shared" si="0"/>
        <v/>
      </c>
      <c r="D32" s="30"/>
      <c r="E32" s="23" t="str">
        <f t="shared" si="1"/>
        <v/>
      </c>
      <c r="F32" s="30"/>
      <c r="G32" s="26" t="str">
        <f t="shared" ref="G32:G38" si="3">IF(D32="","",(E32*D32)/F32)</f>
        <v/>
      </c>
      <c r="K32" s="9"/>
      <c r="L32" t="str">
        <f t="shared" ref="L32:L38" si="4">+IF(B32="","",B32)</f>
        <v/>
      </c>
      <c r="M32" t="str">
        <f t="shared" si="2"/>
        <v/>
      </c>
      <c r="N32" s="1"/>
      <c r="P32" s="11"/>
    </row>
    <row r="33" spans="2:16" x14ac:dyDescent="0.3">
      <c r="B33" s="27"/>
      <c r="C33" s="3" t="str">
        <f t="shared" si="0"/>
        <v/>
      </c>
      <c r="D33" s="30"/>
      <c r="E33" s="23" t="str">
        <f t="shared" si="1"/>
        <v/>
      </c>
      <c r="F33" s="30"/>
      <c r="G33" s="26" t="str">
        <f t="shared" si="3"/>
        <v/>
      </c>
      <c r="K33" s="9"/>
      <c r="L33" t="str">
        <f t="shared" si="4"/>
        <v/>
      </c>
      <c r="M33" t="str">
        <f t="shared" si="2"/>
        <v/>
      </c>
      <c r="N33" s="1"/>
      <c r="P33" s="11"/>
    </row>
    <row r="34" spans="2:16" x14ac:dyDescent="0.3">
      <c r="B34" s="27"/>
      <c r="C34" s="3" t="str">
        <f t="shared" si="0"/>
        <v/>
      </c>
      <c r="D34" s="30"/>
      <c r="E34" s="23" t="str">
        <f t="shared" si="1"/>
        <v/>
      </c>
      <c r="F34" s="30"/>
      <c r="G34" s="26" t="str">
        <f t="shared" si="3"/>
        <v/>
      </c>
      <c r="K34" s="9"/>
      <c r="L34" t="str">
        <f t="shared" si="4"/>
        <v/>
      </c>
      <c r="M34" t="str">
        <f t="shared" si="2"/>
        <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340</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t="s">
        <v>455</v>
      </c>
      <c r="C42" s="3">
        <f>+IF(B42="","",INDEX(U_MAQUINARIA,MATCH(B42,LISTA_MAQUINARIA,0)))</f>
        <v>0</v>
      </c>
      <c r="D42" s="30">
        <v>1</v>
      </c>
      <c r="E42" s="23">
        <f>+IF(B42="","",INDEX(V_MAQUINARIA,MATCH(B42,LISTA_MAQUINARIA,0)))</f>
        <v>101145.45454545454</v>
      </c>
      <c r="F42" s="3">
        <f>$G$20</f>
        <v>29.3</v>
      </c>
      <c r="G42" s="26">
        <f>IF(D42="","",(E42*D42)/F42)</f>
        <v>3452.0632950667077</v>
      </c>
      <c r="K42" s="9"/>
      <c r="L42" s="23">
        <f>IF(B42="","",INDEX(V_COMBUSTIBLE_H,MATCH(B42,LISTA_MAQUINARIA,0)))</f>
        <v>21600</v>
      </c>
      <c r="M42" s="23">
        <f>+IF(L42="","",(L42*D42)/F42)</f>
        <v>737.20136518771324</v>
      </c>
      <c r="N42" s="23">
        <f>IF(G42="","",G42-M42)</f>
        <v>2714.8619298789945</v>
      </c>
      <c r="P42" s="11"/>
    </row>
    <row r="43" spans="2:16" x14ac:dyDescent="0.3">
      <c r="B43" s="27"/>
      <c r="C43" s="3" t="str">
        <f>+IF(B43="","",INDEX(U_MAQUINARIA,MATCH(B43,LISTA_MAQUINARIA,0)))</f>
        <v/>
      </c>
      <c r="D43" s="30"/>
      <c r="E43" s="23" t="str">
        <f>+IF(B43="","",INDEX(V_MAQUINARIA,MATCH(B43,LISTA_MAQUINARIA,0)))</f>
        <v/>
      </c>
      <c r="F43" s="3">
        <f>+$G$20</f>
        <v>29.3</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29.3</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29.3</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29.3</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3452.0632950667077</v>
      </c>
      <c r="K47" s="9"/>
      <c r="M47" s="24">
        <f>SUM(M42:M46)</f>
        <v>737.20136518771324</v>
      </c>
      <c r="N47" s="24">
        <f>SUM(N42:N46)</f>
        <v>2714.8619298789945</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t="s">
        <v>304</v>
      </c>
      <c r="C50" s="30">
        <v>8</v>
      </c>
      <c r="D50" s="22">
        <f>+IF(B50="","",INDEX(F_PRESTACIONAL,MATCH(B50,L_PERSONAL,)))</f>
        <v>1.6352</v>
      </c>
      <c r="E50" s="23">
        <f>+IF(B50="","",INDEX(V_H_MANODEOBRA,MATCH(B50,L_PERSONAL,0)))</f>
        <v>24658.815999999999</v>
      </c>
      <c r="F50" s="3">
        <f>+$G$20</f>
        <v>29.3</v>
      </c>
      <c r="G50" s="26">
        <f>+IF(C50="","",(E50*C50)/F50)</f>
        <v>6732.7825255972693</v>
      </c>
    </row>
    <row r="51" spans="2:7" x14ac:dyDescent="0.3">
      <c r="B51" s="27" t="s">
        <v>305</v>
      </c>
      <c r="C51" s="30">
        <v>4</v>
      </c>
      <c r="D51" s="22">
        <f>+IF(B51="","",INDEX(F_PRESTACIONAL,MATCH(B51,L_PERSONAL,)))</f>
        <v>2.2351999999999999</v>
      </c>
      <c r="E51" s="23">
        <f>+IF(B51="","",INDEX(V_H_MANODEOBRA,MATCH(B51,L_PERSONAL,0)))</f>
        <v>50800</v>
      </c>
      <c r="F51" s="3">
        <f>+$G$20</f>
        <v>29.3</v>
      </c>
      <c r="G51" s="26">
        <f>+IF(C51="","",(E51*C51)/F51)</f>
        <v>6935.1535836177472</v>
      </c>
    </row>
    <row r="52" spans="2:7" x14ac:dyDescent="0.3">
      <c r="B52" s="27" t="s">
        <v>298</v>
      </c>
      <c r="C52" s="30">
        <v>1</v>
      </c>
      <c r="D52" s="22">
        <f>+IF(B52="","",INDEX(F_PRESTACIONAL,MATCH(B52,L_PERSONAL,)))</f>
        <v>1.6352</v>
      </c>
      <c r="E52" s="23">
        <f>+IF(B52="","",INDEX(V_H_MANODEOBRA,MATCH(B52,L_PERSONAL,0)))</f>
        <v>40136.727272727272</v>
      </c>
      <c r="F52" s="3">
        <f>+$G$20</f>
        <v>29.3</v>
      </c>
      <c r="G52" s="26">
        <f>+IF(C52="","",(E52*C52)/F52)</f>
        <v>1369.8541731306236</v>
      </c>
    </row>
    <row r="53" spans="2:7" x14ac:dyDescent="0.3">
      <c r="B53" s="27" t="s">
        <v>299</v>
      </c>
      <c r="C53" s="30">
        <v>1</v>
      </c>
      <c r="D53" s="22">
        <f>+IF(B53="","",INDEX(F_PRESTACIONAL,MATCH(B53,L_PERSONAL,)))</f>
        <v>1.6352</v>
      </c>
      <c r="E53" s="23">
        <f>+IF(B53="","",INDEX(V_H_MANODEOBRA,MATCH(B53,L_PERSONAL,0)))</f>
        <v>22298.18181818182</v>
      </c>
      <c r="F53" s="3">
        <f>+$G$20</f>
        <v>29.3</v>
      </c>
      <c r="G53" s="26">
        <f>+IF(C53="","",(E53*C53)/F53)</f>
        <v>761.0300961836798</v>
      </c>
    </row>
    <row r="54" spans="2:7" x14ac:dyDescent="0.3">
      <c r="B54" s="27"/>
      <c r="C54" s="30"/>
      <c r="D54" s="22" t="str">
        <f>+IF(B54="","",INDEX(F_PRESTACIONAL,MATCH(B54,L_PERSONAL,)))</f>
        <v/>
      </c>
      <c r="E54" s="23" t="str">
        <f>+IF(B54="","",INDEX(V_H_MANODEOBRA,MATCH(B54,L_PERSONAL,0)))</f>
        <v/>
      </c>
      <c r="F54" s="3">
        <f>+$G$20</f>
        <v>29.3</v>
      </c>
      <c r="G54" s="26" t="str">
        <f>+IF(C54="","",(E54*C54)/F54)</f>
        <v/>
      </c>
    </row>
    <row r="55" spans="2:7" x14ac:dyDescent="0.3">
      <c r="B55" s="9"/>
      <c r="G55" s="26">
        <f>SUM(G50:G54)</f>
        <v>15798.820378529321</v>
      </c>
    </row>
    <row r="56" spans="2:7" ht="17.25" thickBot="1" x14ac:dyDescent="0.35">
      <c r="B56" s="9"/>
      <c r="G56" s="11"/>
    </row>
    <row r="57" spans="2:7" ht="17.25" thickBot="1" x14ac:dyDescent="0.35">
      <c r="B57" s="610" t="s">
        <v>98</v>
      </c>
      <c r="C57" s="611"/>
      <c r="D57" s="611"/>
      <c r="E57" s="611"/>
      <c r="F57" s="612"/>
      <c r="G57" s="66">
        <f>+G55+G47+G39+G28</f>
        <v>34708.475978901646</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4165.0171174681973</v>
      </c>
    </row>
    <row r="61" spans="2:7" x14ac:dyDescent="0.3">
      <c r="B61" s="613" t="s">
        <v>86</v>
      </c>
      <c r="C61" s="614"/>
      <c r="D61" s="614"/>
      <c r="E61" s="614"/>
      <c r="F61" s="22">
        <f>+IMPREVISTOS</f>
        <v>0.03</v>
      </c>
      <c r="G61" s="26">
        <f>+$G$57*F61</f>
        <v>1041.2542793670493</v>
      </c>
    </row>
    <row r="62" spans="2:7" x14ac:dyDescent="0.3">
      <c r="B62" s="613" t="s">
        <v>87</v>
      </c>
      <c r="C62" s="614"/>
      <c r="D62" s="614"/>
      <c r="E62" s="614"/>
      <c r="F62" s="22">
        <f>+UTILIDAD</f>
        <v>0.05</v>
      </c>
      <c r="G62" s="26">
        <f>+$G$57*F62</f>
        <v>1735.4237989450824</v>
      </c>
    </row>
    <row r="63" spans="2:7" x14ac:dyDescent="0.3">
      <c r="B63" s="596" t="s">
        <v>100</v>
      </c>
      <c r="C63" s="597"/>
      <c r="D63" s="597"/>
      <c r="E63" s="597"/>
      <c r="F63" s="597"/>
      <c r="G63" s="53">
        <f>SUM(G60:G62)</f>
        <v>6941.6951957803285</v>
      </c>
    </row>
    <row r="64" spans="2:7" ht="17.25" thickBot="1" x14ac:dyDescent="0.35">
      <c r="B64" s="9"/>
      <c r="G64" s="44"/>
    </row>
    <row r="65" spans="2:8" ht="17.25" thickBot="1" x14ac:dyDescent="0.35">
      <c r="B65" s="598" t="s">
        <v>101</v>
      </c>
      <c r="C65" s="599"/>
      <c r="D65" s="599"/>
      <c r="E65" s="599"/>
      <c r="F65" s="600"/>
      <c r="G65" s="65">
        <f>+G63+G57</f>
        <v>41650.171174681978</v>
      </c>
      <c r="H65">
        <f>1.35*0.72</f>
        <v>0.97199999999999998</v>
      </c>
    </row>
    <row r="66" spans="2:8" x14ac:dyDescent="0.3">
      <c r="B66" s="6"/>
      <c r="C66" s="7"/>
      <c r="D66" s="7"/>
      <c r="E66" s="7"/>
      <c r="F66" s="7"/>
      <c r="G66" s="8"/>
    </row>
    <row r="67" spans="2:8" x14ac:dyDescent="0.3">
      <c r="B67" s="9"/>
      <c r="G67" s="11"/>
    </row>
    <row r="68" spans="2:8" x14ac:dyDescent="0.3">
      <c r="B68" s="69" t="s">
        <v>123</v>
      </c>
      <c r="C68" s="67"/>
      <c r="D68" s="67"/>
      <c r="E68" s="67"/>
      <c r="F68" s="67"/>
      <c r="G68" s="70"/>
    </row>
    <row r="69" spans="2:8" x14ac:dyDescent="0.3">
      <c r="B69" s="71"/>
      <c r="C69" s="67"/>
      <c r="D69" s="67"/>
      <c r="E69" s="67"/>
      <c r="F69" s="67"/>
      <c r="G69" s="70"/>
    </row>
    <row r="70" spans="2:8" x14ac:dyDescent="0.3">
      <c r="B70" s="72"/>
      <c r="C70" s="68"/>
      <c r="D70" s="68"/>
      <c r="E70" s="68"/>
      <c r="F70" s="68"/>
      <c r="G70" s="73"/>
    </row>
    <row r="71" spans="2:8" x14ac:dyDescent="0.3">
      <c r="B71" s="71"/>
      <c r="C71" s="67"/>
      <c r="D71" s="67"/>
      <c r="E71" s="67"/>
      <c r="F71" s="67"/>
      <c r="G71" s="70"/>
    </row>
    <row r="72" spans="2:8" ht="17.25" thickBot="1" x14ac:dyDescent="0.35">
      <c r="B72" s="15"/>
      <c r="C72" s="13"/>
      <c r="D72" s="13"/>
      <c r="E72" s="13"/>
      <c r="F72" s="13"/>
      <c r="G72" s="14"/>
    </row>
    <row r="73" spans="2:8" x14ac:dyDescent="0.3">
      <c r="B73" s="591"/>
      <c r="C73" s="579"/>
      <c r="D73" s="579"/>
      <c r="E73" s="579"/>
      <c r="F73" s="579"/>
      <c r="G73" s="580"/>
    </row>
    <row r="74" spans="2:8" x14ac:dyDescent="0.3">
      <c r="B74" s="592"/>
      <c r="C74" s="593"/>
      <c r="D74" s="593"/>
      <c r="E74" s="593"/>
      <c r="F74" s="593"/>
      <c r="G74" s="594"/>
    </row>
    <row r="75" spans="2:8" x14ac:dyDescent="0.3">
      <c r="B75" s="592"/>
      <c r="C75" s="593"/>
      <c r="D75" s="593"/>
      <c r="E75" s="593"/>
      <c r="F75" s="593"/>
      <c r="G75" s="594"/>
    </row>
    <row r="76" spans="2:8" x14ac:dyDescent="0.3">
      <c r="B76" s="592"/>
      <c r="C76" s="593"/>
      <c r="D76" s="593"/>
      <c r="E76" s="593"/>
      <c r="F76" s="593"/>
      <c r="G76" s="594"/>
    </row>
    <row r="77" spans="2:8" x14ac:dyDescent="0.3">
      <c r="B77" s="592"/>
      <c r="C77" s="593"/>
      <c r="D77" s="593"/>
      <c r="E77" s="593"/>
      <c r="F77" s="593"/>
      <c r="G77" s="594"/>
    </row>
    <row r="78" spans="2:8"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count="5">
    <dataValidation type="list" allowBlank="1" showInputMessage="1" showErrorMessage="1" sqref="E102" xr:uid="{FA93231D-C3A5-4DA6-99A2-1984F3C93AAE}">
      <formula1>$A$103:$A$105</formula1>
    </dataValidation>
    <dataValidation type="list" allowBlank="1" showInputMessage="1" showErrorMessage="1" sqref="B13" xr:uid="{0918028A-5969-4A86-B476-CCA07B4AA3E6}">
      <formula1>ITEM</formula1>
    </dataValidation>
    <dataValidation type="list" allowBlank="1" showInputMessage="1" showErrorMessage="1" sqref="B50:B54" xr:uid="{941C2E03-74C1-4CA4-A473-29F8EDB36C71}">
      <formula1>L_PERSONAL</formula1>
    </dataValidation>
    <dataValidation type="list" allowBlank="1" showInputMessage="1" showErrorMessage="1" sqref="B31:B38" xr:uid="{5E5FB52D-5EB9-45BC-A8B4-EEC6D87592A5}">
      <formula1>L_MATERIALES</formula1>
    </dataValidation>
    <dataValidation type="list" allowBlank="1" showInputMessage="1" showErrorMessage="1" sqref="B23:B27 B42:B46" xr:uid="{8BF772F3-CDC7-4851-8E7A-0A299F19D831}">
      <formula1>LISTA_MAQUINARIA</formula1>
    </dataValidation>
  </dataValidations>
  <pageMargins left="0.7" right="0.7" top="0.75" bottom="0.75" header="0.3" footer="0.3"/>
  <pageSetup scale="50" orientation="portrait" r:id="rId1"/>
  <rowBreaks count="1" manualBreakCount="1">
    <brk id="78" max="16383" man="1"/>
  </rowBreaks>
  <colBreaks count="1" manualBreakCount="1">
    <brk id="7" max="1048575" man="1"/>
  </colBreaks>
  <drawing r:id="rId2"/>
  <tableParts count="1">
    <tablePart r:id="rId3"/>
  </tableParts>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017BE0-62E8-4CC9-BF96-28A5A1CF7889}">
  <sheetPr codeName="Hoja59"/>
  <dimension ref="A1:P105"/>
  <sheetViews>
    <sheetView showGridLines="0" view="pageBreakPreview" zoomScale="60" zoomScaleNormal="54" workbookViewId="0"/>
  </sheetViews>
  <sheetFormatPr defaultColWidth="11" defaultRowHeight="16.5" x14ac:dyDescent="0.3"/>
  <cols>
    <col min="2" max="2" width="34.375" customWidth="1"/>
    <col min="3" max="3" width="19.375" customWidth="1"/>
    <col min="4" max="4" width="14" customWidth="1"/>
    <col min="5" max="5" width="17.375" bestFit="1" customWidth="1"/>
    <col min="6" max="6" width="22.75" bestFit="1" customWidth="1"/>
    <col min="7" max="7" width="23.625" customWidth="1"/>
    <col min="8" max="8" width="11.625" bestFit="1" customWidth="1"/>
    <col min="9" max="9" width="8.625" customWidth="1"/>
    <col min="10" max="10" width="13.875" bestFit="1"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48</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18" t="str">
        <f>+IF($B$13="","",INDEX(DESCRIP_ITEM,MATCH($B$13,ITEM,0)))</f>
        <v>Zanja tipo 1, 2,  BT-AC Secciónes 1.05 x 0.38 m, 1.05 x 0.66m,  Incluye el perfilado del contorno de la zanja con las herramietas adecuadas, la disposición del material excavado a 1 metro de la zanja, la separación del descapote o capa orgánica con el resto del material excavado.</v>
      </c>
      <c r="C16" s="619"/>
      <c r="D16" s="619"/>
      <c r="E16" s="619"/>
      <c r="F16" s="619"/>
      <c r="G16" s="620"/>
    </row>
    <row r="17" spans="2:16" ht="44.25" customHeight="1" thickBot="1" x14ac:dyDescent="0.35">
      <c r="B17" s="621"/>
      <c r="C17" s="622"/>
      <c r="D17" s="622"/>
      <c r="E17" s="622"/>
      <c r="F17" s="622"/>
      <c r="G17" s="623"/>
    </row>
    <row r="18" spans="2:16" ht="17.25" thickBot="1" x14ac:dyDescent="0.35">
      <c r="B18" s="591"/>
      <c r="C18" s="579"/>
      <c r="D18" s="579"/>
      <c r="E18" s="579"/>
      <c r="G18" s="11"/>
    </row>
    <row r="19" spans="2:16" ht="17.25" thickBot="1" x14ac:dyDescent="0.35">
      <c r="B19" s="592"/>
      <c r="C19" s="593"/>
      <c r="D19" s="593"/>
      <c r="E19" s="593"/>
      <c r="F19" s="54" t="s">
        <v>89</v>
      </c>
      <c r="G19" s="25" t="str">
        <f>+IF(B13="","",INDEX(U_ITEM,MATCH(B13,ITEM,0)))</f>
        <v>ML</v>
      </c>
    </row>
    <row r="20" spans="2:16" ht="17.25" thickBot="1" x14ac:dyDescent="0.35">
      <c r="B20" s="592"/>
      <c r="C20" s="593"/>
      <c r="D20" s="593"/>
      <c r="E20" s="593"/>
      <c r="F20" s="55" t="s">
        <v>90</v>
      </c>
      <c r="G20" s="56">
        <v>28.9</v>
      </c>
      <c r="H20">
        <f>G20*1.05*0.38</f>
        <v>11.5311</v>
      </c>
      <c r="I20">
        <f>G20*8</f>
        <v>231.2</v>
      </c>
      <c r="J20">
        <f>I20*1.05*0.66</f>
        <v>160.2216</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t="s">
        <v>405</v>
      </c>
      <c r="C23" s="3" t="str">
        <f>+IF(B23="","",INDEX(U_MAQUINARIA,MATCH(B23,LISTA_MAQUINARIA,0)))</f>
        <v>VALOR / HORA</v>
      </c>
      <c r="D23" s="30">
        <v>4</v>
      </c>
      <c r="E23" s="23">
        <f>+IF(B23="","",INDEX(V_MAQUINARIA,MATCH(B23,LISTA_MAQUINARIA,0)))</f>
        <v>134672.72727272729</v>
      </c>
      <c r="F23" s="3">
        <f>$G$20</f>
        <v>28.9</v>
      </c>
      <c r="G23" s="26">
        <f>+IF(B23="","",(D23*E23)/F23)</f>
        <v>18639.823843976097</v>
      </c>
      <c r="K23" s="9"/>
      <c r="L23" s="23">
        <f>IF(B23="","",INDEX(V_COMBUSTIBLE_H,MATCH(B23,LISTA_MAQUINARIA,0)))</f>
        <v>32400</v>
      </c>
      <c r="M23" s="23">
        <f>+IF(L23="","",(L23*D23)/F23)</f>
        <v>4484.4290657439451</v>
      </c>
      <c r="N23" s="23">
        <f>IF(G23="","",G23-M23)</f>
        <v>14155.394778232152</v>
      </c>
      <c r="P23" s="11"/>
    </row>
    <row r="24" spans="2:16" x14ac:dyDescent="0.3">
      <c r="B24" s="27" t="s">
        <v>449</v>
      </c>
      <c r="C24" s="3">
        <f>+IF(B24="","",INDEX(U_MAQUINARIA,MATCH(B24,LISTA_MAQUINARIA,0)))</f>
        <v>0</v>
      </c>
      <c r="D24" s="30">
        <v>2</v>
      </c>
      <c r="E24" s="23">
        <f>+IF(B24="","",INDEX(V_MAQUINARIA,MATCH(B24,LISTA_MAQUINARIA,0)))</f>
        <v>84381.818181818177</v>
      </c>
      <c r="F24" s="3">
        <f>$G$20</f>
        <v>28.9</v>
      </c>
      <c r="G24" s="26">
        <f>+IF(B24="","",(D24*E24)/F24)</f>
        <v>5839.5721925133685</v>
      </c>
      <c r="K24" s="9"/>
      <c r="L24" s="3">
        <f>IF(B24="","",INDEX(V_COMBUSTIBLE_H,MATCH(B24,LISTA_MAQUINARIA,0)))</f>
        <v>16200</v>
      </c>
      <c r="M24" s="3">
        <f>+IF(L24="","",(L24*D24)/F24)</f>
        <v>1121.1072664359863</v>
      </c>
      <c r="N24" s="3">
        <f>IF(G24="","",G24-M24)</f>
        <v>4718.4649260773822</v>
      </c>
      <c r="P24" s="11"/>
    </row>
    <row r="25" spans="2:16" x14ac:dyDescent="0.3">
      <c r="B25" s="27" t="s">
        <v>452</v>
      </c>
      <c r="C25" s="3">
        <f>+IF(B25="","",INDEX(U_MAQUINARIA,MATCH(B25,LISTA_MAQUINARIA,0)))</f>
        <v>0</v>
      </c>
      <c r="D25" s="30">
        <v>2</v>
      </c>
      <c r="E25" s="23">
        <f>+IF(B25="","",INDEX(V_MAQUINARIA,MATCH(B25,LISTA_MAQUINARIA,0)))</f>
        <v>33527.272727272728</v>
      </c>
      <c r="F25" s="3">
        <f>$G$20</f>
        <v>28.9</v>
      </c>
      <c r="G25" s="26">
        <f>+IF(B25="","",(D25*E25)/F25)</f>
        <v>2320.2264863164519</v>
      </c>
      <c r="K25" s="9"/>
      <c r="L25" s="3">
        <f>IF(B25="","",INDEX(V_COMBUSTIBLE_H,MATCH(B25,LISTA_MAQUINARIA,0)))</f>
        <v>10800</v>
      </c>
      <c r="M25" s="3">
        <f>+IF(L25="","",(L25*D25)/F25)</f>
        <v>747.40484429065748</v>
      </c>
      <c r="N25" s="3">
        <f>IF(G25="","",G25-M25)</f>
        <v>1572.8216420257945</v>
      </c>
      <c r="P25" s="11"/>
    </row>
    <row r="26" spans="2:16" x14ac:dyDescent="0.3">
      <c r="B26" s="27" t="s">
        <v>453</v>
      </c>
      <c r="C26" s="3">
        <f>+IF(B26="","",INDEX(U_MAQUINARIA,MATCH(B26,LISTA_MAQUINARIA,0)))</f>
        <v>0</v>
      </c>
      <c r="D26" s="30">
        <v>3</v>
      </c>
      <c r="E26" s="23">
        <f>+IF(B26="","",INDEX(V_MAQUINARIA,MATCH(B26,LISTA_MAQUINARIA,0)))</f>
        <v>27845.454545454544</v>
      </c>
      <c r="F26" s="3">
        <f>$G$20</f>
        <v>28.9</v>
      </c>
      <c r="G26" s="26">
        <f>+IF(B26="","",(D26*E26)/F26)</f>
        <v>2890.5316137150048</v>
      </c>
      <c r="K26" s="9"/>
      <c r="L26" s="3">
        <f>IF(B26="","",INDEX(V_COMBUSTIBLE_H,MATCH(B26,LISTA_MAQUINARIA,0)))</f>
        <v>10800</v>
      </c>
      <c r="M26" s="3">
        <f>+IF(L26="","",(L26*D26)/F26)</f>
        <v>1121.1072664359863</v>
      </c>
      <c r="N26" s="3">
        <f>IF(G26="","",G26-M26)</f>
        <v>1769.4243472790185</v>
      </c>
      <c r="P26" s="11"/>
    </row>
    <row r="27" spans="2:16" x14ac:dyDescent="0.3">
      <c r="B27" s="27"/>
      <c r="C27" s="3" t="str">
        <f>+IF(B27="","",INDEX(U_MAQUINARIA,MATCH(B27,LISTA_MAQUINARIA,0)))</f>
        <v/>
      </c>
      <c r="D27" s="30"/>
      <c r="E27" s="23" t="str">
        <f>+IF(B27="","",INDEX(V_MAQUINARIA,MATCH(B27,LISTA_MAQUINARIA,0)))</f>
        <v/>
      </c>
      <c r="F27" s="3">
        <f>$G$20</f>
        <v>28.9</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29690.154136520923</v>
      </c>
      <c r="K28" s="9"/>
      <c r="M28" s="24">
        <f>SUM(M23:M27)</f>
        <v>7474.0484429065755</v>
      </c>
      <c r="N28" s="24">
        <f>SUM(N23:N27)</f>
        <v>22216.10569361435</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t="s">
        <v>361</v>
      </c>
      <c r="C31" s="3" t="str">
        <f t="shared" ref="C31:C38" si="0">+IF(B31="","",INDEX(U_MATERIAL,MATCH(B31,L_MATERIALES,0)))</f>
        <v>UND</v>
      </c>
      <c r="D31" s="30">
        <v>1</v>
      </c>
      <c r="E31" s="23">
        <f t="shared" ref="E31:E38" si="1">+IF(B31="","",INDEX(V_UNITARIOMATERIAL,MATCH(B31,L_MATERIALES,0)))</f>
        <v>340000</v>
      </c>
      <c r="F31" s="30">
        <v>1000</v>
      </c>
      <c r="G31" s="26">
        <f>IF(D31="","",(E31*D31)/F31)</f>
        <v>340</v>
      </c>
      <c r="K31" s="9"/>
      <c r="L31" t="str">
        <f>+IF(B31="","",B31)</f>
        <v>HERRAMIENTA MENOR---</v>
      </c>
      <c r="M31">
        <f t="shared" ref="M31:M38" si="2">IF(D31="","",(D31/F31)*INDEX(CANT_PROYECTO,MATCH($B$13,ITEM,0)))</f>
        <v>5.93</v>
      </c>
      <c r="N31" s="1"/>
      <c r="P31" s="11"/>
    </row>
    <row r="32" spans="2:16" x14ac:dyDescent="0.3">
      <c r="B32" s="27" t="s">
        <v>411</v>
      </c>
      <c r="C32" s="3" t="str">
        <f t="shared" si="0"/>
        <v>M3</v>
      </c>
      <c r="D32" s="30">
        <f>0.66*0.5*1.3</f>
        <v>0.42900000000000005</v>
      </c>
      <c r="E32" s="23">
        <f t="shared" si="1"/>
        <v>86000</v>
      </c>
      <c r="F32" s="30">
        <v>1</v>
      </c>
      <c r="G32" s="26">
        <f t="shared" ref="G32:G38" si="3">IF(D32="","",(E32*D32)/F32)</f>
        <v>36894.000000000007</v>
      </c>
      <c r="K32" s="9"/>
      <c r="L32" t="str">
        <f t="shared" ref="L32:L38" si="4">+IF(B32="","",B32)</f>
        <v>ARENA ---</v>
      </c>
      <c r="M32">
        <f t="shared" si="2"/>
        <v>2543.9700000000003</v>
      </c>
      <c r="N32" s="1"/>
      <c r="P32" s="11"/>
    </row>
    <row r="33" spans="2:16" x14ac:dyDescent="0.3">
      <c r="B33" s="27" t="s">
        <v>407</v>
      </c>
      <c r="C33" s="3" t="str">
        <f t="shared" si="0"/>
        <v>ML</v>
      </c>
      <c r="D33" s="30">
        <v>2</v>
      </c>
      <c r="E33" s="23">
        <f t="shared" si="1"/>
        <v>400</v>
      </c>
      <c r="F33" s="30">
        <v>1</v>
      </c>
      <c r="G33" s="26">
        <f t="shared" si="3"/>
        <v>800</v>
      </c>
      <c r="K33" s="9"/>
      <c r="L33" t="str">
        <f t="shared" si="4"/>
        <v>CINTA PRECAUCION ---</v>
      </c>
      <c r="M33">
        <f t="shared" si="2"/>
        <v>11860</v>
      </c>
      <c r="N33" s="1"/>
      <c r="P33" s="11"/>
    </row>
    <row r="34" spans="2:16" x14ac:dyDescent="0.3">
      <c r="B34" s="27"/>
      <c r="C34" s="3" t="str">
        <f t="shared" si="0"/>
        <v/>
      </c>
      <c r="D34" s="30"/>
      <c r="E34" s="23" t="str">
        <f t="shared" si="1"/>
        <v/>
      </c>
      <c r="F34" s="30"/>
      <c r="G34" s="26" t="str">
        <f t="shared" si="3"/>
        <v/>
      </c>
      <c r="K34" s="9"/>
      <c r="L34" t="str">
        <f t="shared" si="4"/>
        <v/>
      </c>
      <c r="M34" t="str">
        <f t="shared" si="2"/>
        <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38034.000000000007</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t="s">
        <v>455</v>
      </c>
      <c r="C42" s="3">
        <f>+IF(B42="","",INDEX(U_MAQUINARIA,MATCH(B42,LISTA_MAQUINARIA,0)))</f>
        <v>0</v>
      </c>
      <c r="D42" s="30">
        <v>1</v>
      </c>
      <c r="E42" s="23">
        <f>+IF(B42="","",INDEX(V_MAQUINARIA,MATCH(B42,LISTA_MAQUINARIA,0)))</f>
        <v>101145.45454545454</v>
      </c>
      <c r="F42" s="3">
        <f>$G$20</f>
        <v>28.9</v>
      </c>
      <c r="G42" s="26">
        <f>IF(D42="","",(E42*D42)/F42)</f>
        <v>3499.8427178357974</v>
      </c>
      <c r="K42" s="9"/>
      <c r="L42" s="23">
        <f>IF(B42="","",INDEX(V_COMBUSTIBLE_H,MATCH(B42,LISTA_MAQUINARIA,0)))</f>
        <v>21600</v>
      </c>
      <c r="M42" s="23">
        <f>+IF(L42="","",(L42*D42)/F42)</f>
        <v>747.40484429065748</v>
      </c>
      <c r="N42" s="23">
        <f>IF(G42="","",G42-M42)</f>
        <v>2752.4378735451401</v>
      </c>
      <c r="P42" s="11"/>
    </row>
    <row r="43" spans="2:16" x14ac:dyDescent="0.3">
      <c r="B43" s="27"/>
      <c r="C43" s="3" t="str">
        <f>+IF(B43="","",INDEX(U_MAQUINARIA,MATCH(B43,LISTA_MAQUINARIA,0)))</f>
        <v/>
      </c>
      <c r="D43" s="30"/>
      <c r="E43" s="23" t="str">
        <f>+IF(B43="","",INDEX(V_MAQUINARIA,MATCH(B43,LISTA_MAQUINARIA,0)))</f>
        <v/>
      </c>
      <c r="F43" s="3">
        <f>+$G$20</f>
        <v>28.9</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28.9</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28.9</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28.9</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3499.8427178357974</v>
      </c>
      <c r="K47" s="9"/>
      <c r="M47" s="24">
        <f>SUM(M42:M46)</f>
        <v>747.40484429065748</v>
      </c>
      <c r="N47" s="24">
        <f>SUM(N42:N46)</f>
        <v>2752.4378735451401</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t="s">
        <v>304</v>
      </c>
      <c r="C50" s="30">
        <v>6</v>
      </c>
      <c r="D50" s="22">
        <f>+IF(B50="","",INDEX(F_PRESTACIONAL,MATCH(B50,L_PERSONAL,)))</f>
        <v>1.6352</v>
      </c>
      <c r="E50" s="23">
        <f>+IF(B50="","",INDEX(V_H_MANODEOBRA,MATCH(B50,L_PERSONAL,0)))</f>
        <v>24658.815999999999</v>
      </c>
      <c r="F50" s="3">
        <f>+$G$20</f>
        <v>28.9</v>
      </c>
      <c r="G50" s="26">
        <f>+IF(C50="","",(E50*C50)/F50)</f>
        <v>5119.4773702422153</v>
      </c>
    </row>
    <row r="51" spans="2:7" x14ac:dyDescent="0.3">
      <c r="B51" s="27" t="s">
        <v>305</v>
      </c>
      <c r="C51" s="30">
        <v>6</v>
      </c>
      <c r="D51" s="22">
        <f>+IF(B51="","",INDEX(F_PRESTACIONAL,MATCH(B51,L_PERSONAL,)))</f>
        <v>2.2351999999999999</v>
      </c>
      <c r="E51" s="23">
        <f>+IF(B51="","",INDEX(V_H_MANODEOBRA,MATCH(B51,L_PERSONAL,0)))</f>
        <v>50800</v>
      </c>
      <c r="F51" s="3">
        <f>+$G$20</f>
        <v>28.9</v>
      </c>
      <c r="G51" s="26">
        <f>+IF(C51="","",(E51*C51)/F51)</f>
        <v>10546.712802768167</v>
      </c>
    </row>
    <row r="52" spans="2:7" x14ac:dyDescent="0.3">
      <c r="B52" s="27" t="s">
        <v>298</v>
      </c>
      <c r="C52" s="30">
        <v>1</v>
      </c>
      <c r="D52" s="22">
        <f>+IF(B52="","",INDEX(F_PRESTACIONAL,MATCH(B52,L_PERSONAL,)))</f>
        <v>1.6352</v>
      </c>
      <c r="E52" s="23">
        <f>+IF(B52="","",INDEX(V_H_MANODEOBRA,MATCH(B52,L_PERSONAL,0)))</f>
        <v>40136.727272727272</v>
      </c>
      <c r="F52" s="3">
        <f>+$G$20</f>
        <v>28.9</v>
      </c>
      <c r="G52" s="26">
        <f>+IF(C52="","",(E52*C52)/F52)</f>
        <v>1388.8140924819127</v>
      </c>
    </row>
    <row r="53" spans="2:7" x14ac:dyDescent="0.3">
      <c r="B53" s="27" t="s">
        <v>299</v>
      </c>
      <c r="C53" s="30">
        <v>1</v>
      </c>
      <c r="D53" s="22">
        <f>+IF(B53="","",INDEX(F_PRESTACIONAL,MATCH(B53,L_PERSONAL,)))</f>
        <v>1.6352</v>
      </c>
      <c r="E53" s="23">
        <f>+IF(B53="","",INDEX(V_H_MANODEOBRA,MATCH(B53,L_PERSONAL,0)))</f>
        <v>22298.18181818182</v>
      </c>
      <c r="F53" s="3">
        <f>+$G$20</f>
        <v>28.9</v>
      </c>
      <c r="G53" s="26">
        <f>+IF(C53="","",(E53*C53)/F53)</f>
        <v>771.56338471217373</v>
      </c>
    </row>
    <row r="54" spans="2:7" x14ac:dyDescent="0.3">
      <c r="B54" s="27"/>
      <c r="C54" s="30"/>
      <c r="D54" s="22" t="str">
        <f>+IF(B54="","",INDEX(F_PRESTACIONAL,MATCH(B54,L_PERSONAL,)))</f>
        <v/>
      </c>
      <c r="E54" s="23" t="str">
        <f>+IF(B54="","",INDEX(V_H_MANODEOBRA,MATCH(B54,L_PERSONAL,0)))</f>
        <v/>
      </c>
      <c r="F54" s="3">
        <f>+$G$20</f>
        <v>28.9</v>
      </c>
      <c r="G54" s="26" t="str">
        <f>+IF(C54="","",(E54*C54)/F54)</f>
        <v/>
      </c>
    </row>
    <row r="55" spans="2:7" x14ac:dyDescent="0.3">
      <c r="B55" s="9"/>
      <c r="G55" s="26">
        <f>SUM(G50:G54)</f>
        <v>17826.56765020447</v>
      </c>
    </row>
    <row r="56" spans="2:7" ht="17.25" thickBot="1" x14ac:dyDescent="0.35">
      <c r="B56" s="9"/>
      <c r="G56" s="11"/>
    </row>
    <row r="57" spans="2:7" ht="17.25" thickBot="1" x14ac:dyDescent="0.35">
      <c r="B57" s="610" t="s">
        <v>98</v>
      </c>
      <c r="C57" s="611"/>
      <c r="D57" s="611"/>
      <c r="E57" s="611"/>
      <c r="F57" s="612"/>
      <c r="G57" s="66">
        <f>+G55+G47+G39+G28</f>
        <v>89050.564504561204</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10686.067740547343</v>
      </c>
    </row>
    <row r="61" spans="2:7" x14ac:dyDescent="0.3">
      <c r="B61" s="613" t="s">
        <v>86</v>
      </c>
      <c r="C61" s="614"/>
      <c r="D61" s="614"/>
      <c r="E61" s="614"/>
      <c r="F61" s="22">
        <f>+IMPREVISTOS</f>
        <v>0.03</v>
      </c>
      <c r="G61" s="26">
        <f>+$G$57*F61</f>
        <v>2671.5169351368359</v>
      </c>
    </row>
    <row r="62" spans="2:7" x14ac:dyDescent="0.3">
      <c r="B62" s="613" t="s">
        <v>87</v>
      </c>
      <c r="C62" s="614"/>
      <c r="D62" s="614"/>
      <c r="E62" s="614"/>
      <c r="F62" s="22">
        <f>+UTILIDAD</f>
        <v>0.05</v>
      </c>
      <c r="G62" s="26">
        <f>+$G$57*F62</f>
        <v>4452.5282252280604</v>
      </c>
    </row>
    <row r="63" spans="2:7" x14ac:dyDescent="0.3">
      <c r="B63" s="596" t="s">
        <v>100</v>
      </c>
      <c r="C63" s="597"/>
      <c r="D63" s="597"/>
      <c r="E63" s="597"/>
      <c r="F63" s="597"/>
      <c r="G63" s="53">
        <f>SUM(G60:G62)</f>
        <v>17810.112900912238</v>
      </c>
    </row>
    <row r="64" spans="2:7" ht="17.25" thickBot="1" x14ac:dyDescent="0.35">
      <c r="B64" s="9"/>
      <c r="G64" s="44"/>
    </row>
    <row r="65" spans="2:10" ht="17.25" thickBot="1" x14ac:dyDescent="0.35">
      <c r="B65" s="598" t="s">
        <v>101</v>
      </c>
      <c r="C65" s="599"/>
      <c r="D65" s="599"/>
      <c r="E65" s="599"/>
      <c r="F65" s="600"/>
      <c r="G65" s="65">
        <f>+G63+G57</f>
        <v>106860.67740547344</v>
      </c>
      <c r="H65">
        <f>1.05*0.66</f>
        <v>0.69300000000000006</v>
      </c>
      <c r="I65">
        <f>1/H65</f>
        <v>1.4430014430014428</v>
      </c>
      <c r="J65" s="294">
        <f>I65*G65</f>
        <v>154200.11169620985</v>
      </c>
    </row>
    <row r="66" spans="2:10" x14ac:dyDescent="0.3">
      <c r="B66" s="6"/>
      <c r="C66" s="7"/>
      <c r="D66" s="7"/>
      <c r="E66" s="7"/>
      <c r="F66" s="7"/>
      <c r="G66" s="8"/>
    </row>
    <row r="67" spans="2:10" x14ac:dyDescent="0.3">
      <c r="B67" s="9"/>
      <c r="G67" s="11"/>
    </row>
    <row r="68" spans="2:10" x14ac:dyDescent="0.3">
      <c r="B68" s="69" t="s">
        <v>123</v>
      </c>
      <c r="C68" s="67"/>
      <c r="D68" s="67"/>
      <c r="E68" s="67"/>
      <c r="F68" s="67"/>
      <c r="G68" s="70"/>
    </row>
    <row r="69" spans="2:10" x14ac:dyDescent="0.3">
      <c r="B69" s="71"/>
      <c r="C69" s="67"/>
      <c r="D69" s="67"/>
      <c r="E69" s="67"/>
      <c r="F69" s="67"/>
      <c r="G69" s="70"/>
    </row>
    <row r="70" spans="2:10" x14ac:dyDescent="0.3">
      <c r="B70" s="72"/>
      <c r="C70" s="68"/>
      <c r="D70" s="68"/>
      <c r="E70" s="68"/>
      <c r="F70" s="68"/>
      <c r="G70" s="73"/>
    </row>
    <row r="71" spans="2:10" x14ac:dyDescent="0.3">
      <c r="B71" s="71"/>
      <c r="C71" s="67"/>
      <c r="D71" s="67"/>
      <c r="E71" s="67"/>
      <c r="F71" s="67"/>
      <c r="G71" s="70"/>
    </row>
    <row r="72" spans="2:10" ht="17.25" thickBot="1" x14ac:dyDescent="0.35">
      <c r="B72" s="15"/>
      <c r="C72" s="13"/>
      <c r="D72" s="13"/>
      <c r="E72" s="13"/>
      <c r="F72" s="13"/>
      <c r="G72" s="14"/>
    </row>
    <row r="73" spans="2:10" x14ac:dyDescent="0.3">
      <c r="B73" s="591"/>
      <c r="C73" s="579"/>
      <c r="D73" s="579"/>
      <c r="E73" s="579"/>
      <c r="F73" s="579"/>
      <c r="G73" s="580"/>
    </row>
    <row r="74" spans="2:10" x14ac:dyDescent="0.3">
      <c r="B74" s="592"/>
      <c r="C74" s="593"/>
      <c r="D74" s="593"/>
      <c r="E74" s="593"/>
      <c r="F74" s="593"/>
      <c r="G74" s="594"/>
    </row>
    <row r="75" spans="2:10" x14ac:dyDescent="0.3">
      <c r="B75" s="592"/>
      <c r="C75" s="593"/>
      <c r="D75" s="593"/>
      <c r="E75" s="593"/>
      <c r="F75" s="593"/>
      <c r="G75" s="594"/>
    </row>
    <row r="76" spans="2:10" x14ac:dyDescent="0.3">
      <c r="B76" s="592"/>
      <c r="C76" s="593"/>
      <c r="D76" s="593"/>
      <c r="E76" s="593"/>
      <c r="F76" s="593"/>
      <c r="G76" s="594"/>
    </row>
    <row r="77" spans="2:10" x14ac:dyDescent="0.3">
      <c r="B77" s="592"/>
      <c r="C77" s="593"/>
      <c r="D77" s="593"/>
      <c r="E77" s="593"/>
      <c r="F77" s="593"/>
      <c r="G77" s="594"/>
    </row>
    <row r="78" spans="2:10"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disablePrompts="1" count="5">
    <dataValidation type="list" allowBlank="1" showInputMessage="1" showErrorMessage="1" sqref="E102" xr:uid="{5BE80879-EFA7-4BD7-BD1C-8EB07A9FE20D}">
      <formula1>$A$103:$A$105</formula1>
    </dataValidation>
    <dataValidation type="list" allowBlank="1" showInputMessage="1" showErrorMessage="1" sqref="B13" xr:uid="{95D52D5A-6A70-4009-BB68-77B2565C1DB3}">
      <formula1>ITEM</formula1>
    </dataValidation>
    <dataValidation type="list" allowBlank="1" showInputMessage="1" showErrorMessage="1" sqref="B50:B54" xr:uid="{6DA48096-0BB9-4F1B-87B2-CB1BC9159D4A}">
      <formula1>L_PERSONAL</formula1>
    </dataValidation>
    <dataValidation type="list" allowBlank="1" showInputMessage="1" showErrorMessage="1" sqref="B31:B38" xr:uid="{C693CCB4-E150-4710-9952-E6978850DFD6}">
      <formula1>L_MATERIALES</formula1>
    </dataValidation>
    <dataValidation type="list" allowBlank="1" showInputMessage="1" showErrorMessage="1" sqref="B42:B46 B23:B27" xr:uid="{BF474584-474C-481B-938F-E8108063E56F}">
      <formula1>LISTA_MAQUINARIA</formula1>
    </dataValidation>
  </dataValidations>
  <pageMargins left="0.7" right="0.7" top="0.75" bottom="0.75" header="0.3" footer="0.3"/>
  <pageSetup scale="54" orientation="portrait" r:id="rId1"/>
  <rowBreaks count="1" manualBreakCount="1">
    <brk id="78" max="16383" man="1"/>
  </rowBreaks>
  <colBreaks count="1" manualBreakCount="1">
    <brk id="7" max="1048575" man="1"/>
  </colBreaks>
  <drawing r:id="rId2"/>
  <tableParts count="1">
    <tablePart r:id="rId3"/>
  </tablePart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59312-30A8-4EC8-888C-BAEAF6A6F432}">
  <sheetPr codeName="Hoja60"/>
  <dimension ref="A1:P105"/>
  <sheetViews>
    <sheetView showGridLines="0" view="pageBreakPreview" topLeftCell="A35" zoomScale="60" zoomScaleNormal="48" workbookViewId="0">
      <selection activeCell="B1" sqref="B1:G78"/>
    </sheetView>
  </sheetViews>
  <sheetFormatPr defaultColWidth="11" defaultRowHeight="16.5" x14ac:dyDescent="0.3"/>
  <cols>
    <col min="2" max="2" width="34.375" customWidth="1"/>
    <col min="3" max="3" width="19.375" customWidth="1"/>
    <col min="4" max="4" width="14" customWidth="1"/>
    <col min="5" max="5" width="17.375" bestFit="1" customWidth="1"/>
    <col min="6" max="6" width="22.75" bestFit="1" customWidth="1"/>
    <col min="7" max="7" width="23.625" customWidth="1"/>
    <col min="8" max="8" width="11.625" bestFit="1" customWidth="1"/>
    <col min="9" max="9" width="8.625" customWidth="1"/>
    <col min="10" max="10" width="13.75" bestFit="1"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49</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18" t="str">
        <f>+IF($B$13="","",INDEX(DESCRIP_ITEM,MATCH($B$13,ITEM,0)))</f>
        <v>Zanja tipo 3, 4, 5, 6  BT-AC Secciónes 1.34 x 0.68 m, 1.34 x 0.96m.  Incluye el perfilado del contorno de la zanja con las herramietas adecuadas, la disposición del material excavado a 1 metro de la zanja, la separación del descapote o capa orgánica con el resto del material excavado.</v>
      </c>
      <c r="C16" s="619"/>
      <c r="D16" s="619"/>
      <c r="E16" s="619"/>
      <c r="F16" s="619"/>
      <c r="G16" s="620"/>
    </row>
    <row r="17" spans="2:16" ht="44.25" customHeight="1" thickBot="1" x14ac:dyDescent="0.35">
      <c r="B17" s="621"/>
      <c r="C17" s="622"/>
      <c r="D17" s="622"/>
      <c r="E17" s="622"/>
      <c r="F17" s="622"/>
      <c r="G17" s="623"/>
    </row>
    <row r="18" spans="2:16" ht="17.25" thickBot="1" x14ac:dyDescent="0.35">
      <c r="B18" s="591"/>
      <c r="C18" s="579"/>
      <c r="D18" s="579"/>
      <c r="E18" s="579"/>
      <c r="G18" s="11"/>
    </row>
    <row r="19" spans="2:16" ht="17.25" thickBot="1" x14ac:dyDescent="0.35">
      <c r="B19" s="592"/>
      <c r="C19" s="593"/>
      <c r="D19" s="593"/>
      <c r="E19" s="593"/>
      <c r="F19" s="54" t="s">
        <v>89</v>
      </c>
      <c r="G19" s="25" t="str">
        <f>+IF(B13="","",INDEX(U_ITEM,MATCH(B13,ITEM,0)))</f>
        <v>ML</v>
      </c>
    </row>
    <row r="20" spans="2:16" ht="17.25" thickBot="1" x14ac:dyDescent="0.35">
      <c r="B20" s="592"/>
      <c r="C20" s="593"/>
      <c r="D20" s="593"/>
      <c r="E20" s="593"/>
      <c r="F20" s="55" t="s">
        <v>90</v>
      </c>
      <c r="G20" s="56">
        <f>(145/8)</f>
        <v>18.125</v>
      </c>
      <c r="I20">
        <f>G20*8*1.34*0.96</f>
        <v>186.52799999999999</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t="s">
        <v>405</v>
      </c>
      <c r="C23" s="3" t="str">
        <f>+IF(B23="","",INDEX(U_MAQUINARIA,MATCH(B23,LISTA_MAQUINARIA,0)))</f>
        <v>VALOR / HORA</v>
      </c>
      <c r="D23" s="30">
        <v>4</v>
      </c>
      <c r="E23" s="23">
        <f>+IF(B23="","",INDEX(V_MAQUINARIA,MATCH(B23,LISTA_MAQUINARIA,0)))</f>
        <v>134672.72727272729</v>
      </c>
      <c r="F23" s="3">
        <f>$G$20</f>
        <v>18.125</v>
      </c>
      <c r="G23" s="26">
        <f>+IF(B23="","",(D23*E23)/F23)</f>
        <v>29720.877742946712</v>
      </c>
      <c r="K23" s="9"/>
      <c r="L23" s="23">
        <f>IF(B23="","",INDEX(V_COMBUSTIBLE_H,MATCH(B23,LISTA_MAQUINARIA,0)))</f>
        <v>32400</v>
      </c>
      <c r="M23" s="23">
        <f>+IF(L23="","",(L23*D23)/F23)</f>
        <v>7150.3448275862065</v>
      </c>
      <c r="N23" s="23">
        <f>IF(G23="","",G23-M23)</f>
        <v>22570.532915360505</v>
      </c>
      <c r="P23" s="11"/>
    </row>
    <row r="24" spans="2:16" x14ac:dyDescent="0.3">
      <c r="B24" s="27" t="s">
        <v>453</v>
      </c>
      <c r="C24" s="3">
        <f>+IF(B24="","",INDEX(U_MAQUINARIA,MATCH(B24,LISTA_MAQUINARIA,0)))</f>
        <v>0</v>
      </c>
      <c r="D24" s="30">
        <v>3</v>
      </c>
      <c r="E24" s="23">
        <f>+IF(B24="","",INDEX(V_MAQUINARIA,MATCH(B24,LISTA_MAQUINARIA,0)))</f>
        <v>27845.454545454544</v>
      </c>
      <c r="F24" s="3">
        <f>$G$20</f>
        <v>18.125</v>
      </c>
      <c r="G24" s="26">
        <f>+IF(B24="","",(D24*E24)/F24)</f>
        <v>4608.9028213166139</v>
      </c>
      <c r="K24" s="9"/>
      <c r="L24" s="3">
        <f>IF(B24="","",INDEX(V_COMBUSTIBLE_H,MATCH(B24,LISTA_MAQUINARIA,0)))</f>
        <v>10800</v>
      </c>
      <c r="M24" s="3">
        <f>+IF(L24="","",(L24*D24)/F24)</f>
        <v>1787.5862068965516</v>
      </c>
      <c r="N24" s="3">
        <f>IF(G24="","",G24-M24)</f>
        <v>2821.3166144200623</v>
      </c>
      <c r="P24" s="11"/>
    </row>
    <row r="25" spans="2:16" x14ac:dyDescent="0.3">
      <c r="B25" s="27" t="s">
        <v>452</v>
      </c>
      <c r="C25" s="3">
        <f>+IF(B25="","",INDEX(U_MAQUINARIA,MATCH(B25,LISTA_MAQUINARIA,0)))</f>
        <v>0</v>
      </c>
      <c r="D25" s="30">
        <v>2</v>
      </c>
      <c r="E25" s="23">
        <f>+IF(B25="","",INDEX(V_MAQUINARIA,MATCH(B25,LISTA_MAQUINARIA,0)))</f>
        <v>33527.272727272728</v>
      </c>
      <c r="F25" s="3">
        <f>$G$20</f>
        <v>18.125</v>
      </c>
      <c r="G25" s="26">
        <f>+IF(B25="","",(D25*E25)/F25)</f>
        <v>3699.5611285266459</v>
      </c>
      <c r="K25" s="9"/>
      <c r="L25" s="3">
        <f>IF(B25="","",INDEX(V_COMBUSTIBLE_H,MATCH(B25,LISTA_MAQUINARIA,0)))</f>
        <v>10800</v>
      </c>
      <c r="M25" s="3">
        <f>+IF(L25="","",(L25*D25)/F25)</f>
        <v>1191.7241379310344</v>
      </c>
      <c r="N25" s="3">
        <f>IF(G25="","",G25-M25)</f>
        <v>2507.8369905956115</v>
      </c>
      <c r="P25" s="11"/>
    </row>
    <row r="26" spans="2:16" x14ac:dyDescent="0.3">
      <c r="B26" s="27" t="s">
        <v>449</v>
      </c>
      <c r="C26" s="3">
        <f>+IF(B26="","",INDEX(U_MAQUINARIA,MATCH(B26,LISTA_MAQUINARIA,0)))</f>
        <v>0</v>
      </c>
      <c r="D26" s="30">
        <v>2</v>
      </c>
      <c r="E26" s="23">
        <f>+IF(B26="","",INDEX(V_MAQUINARIA,MATCH(B26,LISTA_MAQUINARIA,0)))</f>
        <v>84381.818181818177</v>
      </c>
      <c r="F26" s="3">
        <f>$G$20</f>
        <v>18.125</v>
      </c>
      <c r="G26" s="26">
        <f>+IF(B26="","",(D26*E26)/F26)</f>
        <v>9311.0971786833852</v>
      </c>
      <c r="K26" s="9"/>
      <c r="L26" s="3">
        <f>IF(B26="","",INDEX(V_COMBUSTIBLE_H,MATCH(B26,LISTA_MAQUINARIA,0)))</f>
        <v>16200</v>
      </c>
      <c r="M26" s="3">
        <f>+IF(L26="","",(L26*D26)/F26)</f>
        <v>1787.5862068965516</v>
      </c>
      <c r="N26" s="3">
        <f>IF(G26="","",G26-M26)</f>
        <v>7523.5109717868336</v>
      </c>
      <c r="P26" s="11"/>
    </row>
    <row r="27" spans="2:16" x14ac:dyDescent="0.3">
      <c r="B27" s="27"/>
      <c r="C27" s="3" t="str">
        <f>+IF(B27="","",INDEX(U_MAQUINARIA,MATCH(B27,LISTA_MAQUINARIA,0)))</f>
        <v/>
      </c>
      <c r="D27" s="30"/>
      <c r="E27" s="23" t="str">
        <f>+IF(B27="","",INDEX(V_MAQUINARIA,MATCH(B27,LISTA_MAQUINARIA,0)))</f>
        <v/>
      </c>
      <c r="F27" s="3">
        <f>$G$20</f>
        <v>18.125</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47340.43887147335</v>
      </c>
      <c r="K28" s="9"/>
      <c r="M28" s="24">
        <f>SUM(M23:M27)</f>
        <v>11917.241379310344</v>
      </c>
      <c r="N28" s="24">
        <f>SUM(N23:N27)</f>
        <v>35423.19749216301</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t="s">
        <v>361</v>
      </c>
      <c r="C31" s="3" t="str">
        <f t="shared" ref="C31:C38" si="0">+IF(B31="","",INDEX(U_MATERIAL,MATCH(B31,L_MATERIALES,0)))</f>
        <v>UND</v>
      </c>
      <c r="D31" s="30">
        <v>1</v>
      </c>
      <c r="E31" s="23">
        <f t="shared" ref="E31:E38" si="1">+IF(B31="","",INDEX(V_UNITARIOMATERIAL,MATCH(B31,L_MATERIALES,0)))</f>
        <v>340000</v>
      </c>
      <c r="F31" s="30">
        <v>1000</v>
      </c>
      <c r="G31" s="26">
        <f>IF(D31="","",(E31*D31)/F31)</f>
        <v>340</v>
      </c>
      <c r="K31" s="9"/>
      <c r="L31" t="str">
        <f>+IF(B31="","",B31)</f>
        <v>HERRAMIENTA MENOR---</v>
      </c>
      <c r="M31">
        <f t="shared" ref="M31:M38" si="2">IF(D31="","",(D31/F31)*INDEX(CANT_PROYECTO,MATCH($B$13,ITEM,0)))</f>
        <v>6.5049999999999999</v>
      </c>
      <c r="N31" s="1"/>
      <c r="P31" s="11"/>
    </row>
    <row r="32" spans="2:16" x14ac:dyDescent="0.3">
      <c r="B32" s="27" t="s">
        <v>411</v>
      </c>
      <c r="C32" s="3" t="str">
        <f t="shared" si="0"/>
        <v>M3</v>
      </c>
      <c r="D32" s="30">
        <v>0.624</v>
      </c>
      <c r="E32" s="23">
        <f t="shared" si="1"/>
        <v>86000</v>
      </c>
      <c r="F32" s="30">
        <v>1</v>
      </c>
      <c r="G32" s="26">
        <f t="shared" ref="G32:G38" si="3">IF(D32="","",(E32*D32)/F32)</f>
        <v>53664</v>
      </c>
      <c r="K32" s="9"/>
      <c r="L32" t="str">
        <f t="shared" ref="L32:L38" si="4">+IF(B32="","",B32)</f>
        <v>ARENA ---</v>
      </c>
      <c r="M32">
        <f t="shared" si="2"/>
        <v>4059.12</v>
      </c>
      <c r="N32" s="1"/>
      <c r="P32" s="11"/>
    </row>
    <row r="33" spans="2:16" x14ac:dyDescent="0.3">
      <c r="B33" s="27" t="s">
        <v>407</v>
      </c>
      <c r="C33" s="3" t="str">
        <f t="shared" si="0"/>
        <v>ML</v>
      </c>
      <c r="D33" s="30">
        <v>1</v>
      </c>
      <c r="E33" s="23">
        <f t="shared" si="1"/>
        <v>400</v>
      </c>
      <c r="F33" s="30">
        <v>1</v>
      </c>
      <c r="G33" s="26">
        <f t="shared" si="3"/>
        <v>400</v>
      </c>
      <c r="K33" s="9"/>
      <c r="L33" t="str">
        <f t="shared" si="4"/>
        <v>CINTA PRECAUCION ---</v>
      </c>
      <c r="M33">
        <f t="shared" si="2"/>
        <v>6505</v>
      </c>
      <c r="N33" s="1"/>
      <c r="P33" s="11"/>
    </row>
    <row r="34" spans="2:16" x14ac:dyDescent="0.3">
      <c r="B34" s="27"/>
      <c r="C34" s="3" t="str">
        <f t="shared" si="0"/>
        <v/>
      </c>
      <c r="D34" s="30"/>
      <c r="E34" s="23" t="str">
        <f t="shared" si="1"/>
        <v/>
      </c>
      <c r="F34" s="30"/>
      <c r="G34" s="26" t="str">
        <f t="shared" si="3"/>
        <v/>
      </c>
      <c r="K34" s="9"/>
      <c r="L34" t="str">
        <f t="shared" si="4"/>
        <v/>
      </c>
      <c r="M34" t="str">
        <f t="shared" si="2"/>
        <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54404</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t="s">
        <v>455</v>
      </c>
      <c r="C42" s="3">
        <f>+IF(B42="","",INDEX(U_MAQUINARIA,MATCH(B42,LISTA_MAQUINARIA,0)))</f>
        <v>0</v>
      </c>
      <c r="D42" s="30">
        <v>1</v>
      </c>
      <c r="E42" s="23">
        <f>+IF(B42="","",INDEX(V_MAQUINARIA,MATCH(B42,LISTA_MAQUINARIA,0)))</f>
        <v>101145.45454545454</v>
      </c>
      <c r="F42" s="3">
        <f>$G$20</f>
        <v>18.125</v>
      </c>
      <c r="G42" s="26">
        <f>IF(D42="","",(E42*D42)/F42)</f>
        <v>5580.4388714733541</v>
      </c>
      <c r="K42" s="9"/>
      <c r="L42" s="23">
        <f>IF(B42="","",INDEX(V_COMBUSTIBLE_H,MATCH(B42,LISTA_MAQUINARIA,0)))</f>
        <v>21600</v>
      </c>
      <c r="M42" s="23">
        <f>+IF(L42="","",(L42*D42)/F42)</f>
        <v>1191.7241379310344</v>
      </c>
      <c r="N42" s="23">
        <f>IF(G42="","",G42-M42)</f>
        <v>4388.7147335423197</v>
      </c>
      <c r="P42" s="11"/>
    </row>
    <row r="43" spans="2:16" x14ac:dyDescent="0.3">
      <c r="B43" s="27"/>
      <c r="C43" s="3" t="str">
        <f>+IF(B43="","",INDEX(U_MAQUINARIA,MATCH(B43,LISTA_MAQUINARIA,0)))</f>
        <v/>
      </c>
      <c r="D43" s="30"/>
      <c r="E43" s="23" t="str">
        <f>+IF(B43="","",INDEX(V_MAQUINARIA,MATCH(B43,LISTA_MAQUINARIA,0)))</f>
        <v/>
      </c>
      <c r="F43" s="3">
        <f>+$G$20</f>
        <v>18.125</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18.125</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18.125</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18.125</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5580.4388714733541</v>
      </c>
      <c r="K47" s="9"/>
      <c r="M47" s="24">
        <f>SUM(M42:M46)</f>
        <v>1191.7241379310344</v>
      </c>
      <c r="N47" s="24">
        <f>SUM(N42:N46)</f>
        <v>4388.7147335423197</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t="s">
        <v>304</v>
      </c>
      <c r="C50" s="30">
        <v>6</v>
      </c>
      <c r="D50" s="22">
        <f>+IF(B50="","",INDEX(F_PRESTACIONAL,MATCH(B50,L_PERSONAL,)))</f>
        <v>1.6352</v>
      </c>
      <c r="E50" s="23">
        <f>+IF(B50="","",INDEX(V_H_MANODEOBRA,MATCH(B50,L_PERSONAL,0)))</f>
        <v>24658.815999999999</v>
      </c>
      <c r="F50" s="3">
        <f>+$G$20</f>
        <v>18.125</v>
      </c>
      <c r="G50" s="26">
        <f>+IF(C50="","",(E50*C50)/F50)</f>
        <v>8162.9184000000005</v>
      </c>
    </row>
    <row r="51" spans="2:7" x14ac:dyDescent="0.3">
      <c r="B51" s="27" t="s">
        <v>305</v>
      </c>
      <c r="C51" s="30">
        <v>6</v>
      </c>
      <c r="D51" s="22">
        <f>+IF(B51="","",INDEX(F_PRESTACIONAL,MATCH(B51,L_PERSONAL,)))</f>
        <v>2.2351999999999999</v>
      </c>
      <c r="E51" s="23">
        <f>+IF(B51="","",INDEX(V_H_MANODEOBRA,MATCH(B51,L_PERSONAL,0)))</f>
        <v>50800</v>
      </c>
      <c r="F51" s="3">
        <f>+$G$20</f>
        <v>18.125</v>
      </c>
      <c r="G51" s="26">
        <f>+IF(C51="","",(E51*C51)/F51)</f>
        <v>16816.551724137931</v>
      </c>
    </row>
    <row r="52" spans="2:7" x14ac:dyDescent="0.3">
      <c r="B52" s="27" t="s">
        <v>298</v>
      </c>
      <c r="C52" s="30">
        <v>1</v>
      </c>
      <c r="D52" s="22">
        <f>+IF(B52="","",INDEX(F_PRESTACIONAL,MATCH(B52,L_PERSONAL,)))</f>
        <v>1.6352</v>
      </c>
      <c r="E52" s="23">
        <f>+IF(B52="","",INDEX(V_H_MANODEOBRA,MATCH(B52,L_PERSONAL,0)))</f>
        <v>40136.727272727272</v>
      </c>
      <c r="F52" s="3">
        <f>+$G$20</f>
        <v>18.125</v>
      </c>
      <c r="G52" s="26">
        <f>+IF(C52="","",(E52*C52)/F52)</f>
        <v>2214.4401253918495</v>
      </c>
    </row>
    <row r="53" spans="2:7" x14ac:dyDescent="0.3">
      <c r="B53" s="27" t="s">
        <v>299</v>
      </c>
      <c r="C53" s="30">
        <v>1</v>
      </c>
      <c r="D53" s="22">
        <f>+IF(B53="","",INDEX(F_PRESTACIONAL,MATCH(B53,L_PERSONAL,)))</f>
        <v>1.6352</v>
      </c>
      <c r="E53" s="23">
        <f>+IF(B53="","",INDEX(V_H_MANODEOBRA,MATCH(B53,L_PERSONAL,0)))</f>
        <v>22298.18181818182</v>
      </c>
      <c r="F53" s="3">
        <f>+$G$20</f>
        <v>18.125</v>
      </c>
      <c r="G53" s="26">
        <f>+IF(C53="","",(E53*C53)/F53)</f>
        <v>1230.2445141065832</v>
      </c>
    </row>
    <row r="54" spans="2:7" x14ac:dyDescent="0.3">
      <c r="B54" s="27"/>
      <c r="C54" s="30"/>
      <c r="D54" s="22" t="str">
        <f>+IF(B54="","",INDEX(F_PRESTACIONAL,MATCH(B54,L_PERSONAL,)))</f>
        <v/>
      </c>
      <c r="E54" s="23" t="str">
        <f>+IF(B54="","",INDEX(V_H_MANODEOBRA,MATCH(B54,L_PERSONAL,0)))</f>
        <v/>
      </c>
      <c r="F54" s="3">
        <f>+$G$20</f>
        <v>18.125</v>
      </c>
      <c r="G54" s="26" t="str">
        <f>+IF(C54="","",(E54*C54)/F54)</f>
        <v/>
      </c>
    </row>
    <row r="55" spans="2:7" x14ac:dyDescent="0.3">
      <c r="B55" s="9"/>
      <c r="G55" s="26">
        <f>SUM(G50:G54)</f>
        <v>28424.154763636361</v>
      </c>
    </row>
    <row r="56" spans="2:7" ht="17.25" thickBot="1" x14ac:dyDescent="0.35">
      <c r="B56" s="9"/>
      <c r="G56" s="11"/>
    </row>
    <row r="57" spans="2:7" ht="17.25" thickBot="1" x14ac:dyDescent="0.35">
      <c r="B57" s="610" t="s">
        <v>98</v>
      </c>
      <c r="C57" s="611"/>
      <c r="D57" s="611"/>
      <c r="E57" s="611"/>
      <c r="F57" s="612"/>
      <c r="G57" s="66">
        <f>+G55+G47+G39+G28</f>
        <v>135749.03250658308</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16289.88390078997</v>
      </c>
    </row>
    <row r="61" spans="2:7" x14ac:dyDescent="0.3">
      <c r="B61" s="613" t="s">
        <v>86</v>
      </c>
      <c r="C61" s="614"/>
      <c r="D61" s="614"/>
      <c r="E61" s="614"/>
      <c r="F61" s="22">
        <f>+IMPREVISTOS</f>
        <v>0.03</v>
      </c>
      <c r="G61" s="26">
        <f>+$G$57*F61</f>
        <v>4072.4709751974924</v>
      </c>
    </row>
    <row r="62" spans="2:7" x14ac:dyDescent="0.3">
      <c r="B62" s="613" t="s">
        <v>87</v>
      </c>
      <c r="C62" s="614"/>
      <c r="D62" s="614"/>
      <c r="E62" s="614"/>
      <c r="F62" s="22">
        <f>+UTILIDAD</f>
        <v>0.05</v>
      </c>
      <c r="G62" s="26">
        <f>+$G$57*F62</f>
        <v>6787.4516253291549</v>
      </c>
    </row>
    <row r="63" spans="2:7" x14ac:dyDescent="0.3">
      <c r="B63" s="596" t="s">
        <v>100</v>
      </c>
      <c r="C63" s="597"/>
      <c r="D63" s="597"/>
      <c r="E63" s="597"/>
      <c r="F63" s="597"/>
      <c r="G63" s="53">
        <f>SUM(G60:G62)</f>
        <v>27149.806501316616</v>
      </c>
    </row>
    <row r="64" spans="2:7" ht="17.25" thickBot="1" x14ac:dyDescent="0.35">
      <c r="B64" s="9"/>
      <c r="G64" s="44"/>
    </row>
    <row r="65" spans="2:10" ht="17.25" thickBot="1" x14ac:dyDescent="0.35">
      <c r="B65" s="598" t="s">
        <v>101</v>
      </c>
      <c r="C65" s="599"/>
      <c r="D65" s="599"/>
      <c r="E65" s="599"/>
      <c r="F65" s="600"/>
      <c r="G65" s="65">
        <f>+G63+G57</f>
        <v>162898.83900789969</v>
      </c>
      <c r="H65">
        <f>1.34*0.68</f>
        <v>0.91120000000000012</v>
      </c>
      <c r="I65">
        <f>1/H65</f>
        <v>1.0974539069359086</v>
      </c>
      <c r="J65" s="294">
        <f>H65*G65</f>
        <v>148433.42210399822</v>
      </c>
    </row>
    <row r="66" spans="2:10" x14ac:dyDescent="0.3">
      <c r="B66" s="6"/>
      <c r="C66" s="7"/>
      <c r="D66" s="7"/>
      <c r="E66" s="7"/>
      <c r="F66" s="7"/>
      <c r="G66" s="8"/>
    </row>
    <row r="67" spans="2:10" x14ac:dyDescent="0.3">
      <c r="B67" s="9"/>
      <c r="G67" s="11"/>
    </row>
    <row r="68" spans="2:10" x14ac:dyDescent="0.3">
      <c r="B68" s="69" t="s">
        <v>123</v>
      </c>
      <c r="C68" s="67"/>
      <c r="D68" s="67"/>
      <c r="E68" s="67"/>
      <c r="F68" s="67"/>
      <c r="G68" s="70"/>
    </row>
    <row r="69" spans="2:10" x14ac:dyDescent="0.3">
      <c r="B69" s="71"/>
      <c r="C69" s="67"/>
      <c r="D69" s="67"/>
      <c r="E69" s="67"/>
      <c r="F69" s="67"/>
      <c r="G69" s="70"/>
    </row>
    <row r="70" spans="2:10" x14ac:dyDescent="0.3">
      <c r="B70" s="72"/>
      <c r="C70" s="68"/>
      <c r="D70" s="68"/>
      <c r="E70" s="68"/>
      <c r="F70" s="68"/>
      <c r="G70" s="73"/>
    </row>
    <row r="71" spans="2:10" x14ac:dyDescent="0.3">
      <c r="B71" s="71"/>
      <c r="C71" s="67"/>
      <c r="D71" s="67"/>
      <c r="E71" s="67"/>
      <c r="F71" s="67"/>
      <c r="G71" s="70"/>
    </row>
    <row r="72" spans="2:10" ht="17.25" thickBot="1" x14ac:dyDescent="0.35">
      <c r="B72" s="15"/>
      <c r="C72" s="13"/>
      <c r="D72" s="13"/>
      <c r="E72" s="13"/>
      <c r="F72" s="13"/>
      <c r="G72" s="14"/>
    </row>
    <row r="73" spans="2:10" x14ac:dyDescent="0.3">
      <c r="B73" s="591"/>
      <c r="C73" s="579"/>
      <c r="D73" s="579"/>
      <c r="E73" s="579"/>
      <c r="F73" s="579"/>
      <c r="G73" s="580"/>
    </row>
    <row r="74" spans="2:10" x14ac:dyDescent="0.3">
      <c r="B74" s="592"/>
      <c r="C74" s="593"/>
      <c r="D74" s="593"/>
      <c r="E74" s="593"/>
      <c r="F74" s="593"/>
      <c r="G74" s="594"/>
    </row>
    <row r="75" spans="2:10" x14ac:dyDescent="0.3">
      <c r="B75" s="592"/>
      <c r="C75" s="593"/>
      <c r="D75" s="593"/>
      <c r="E75" s="593"/>
      <c r="F75" s="593"/>
      <c r="G75" s="594"/>
    </row>
    <row r="76" spans="2:10" x14ac:dyDescent="0.3">
      <c r="B76" s="592"/>
      <c r="C76" s="593"/>
      <c r="D76" s="593"/>
      <c r="E76" s="593"/>
      <c r="F76" s="593"/>
      <c r="G76" s="594"/>
    </row>
    <row r="77" spans="2:10" x14ac:dyDescent="0.3">
      <c r="B77" s="592"/>
      <c r="C77" s="593"/>
      <c r="D77" s="593"/>
      <c r="E77" s="593"/>
      <c r="F77" s="593"/>
      <c r="G77" s="594"/>
    </row>
    <row r="78" spans="2:10"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disablePrompts="1" count="5">
    <dataValidation type="list" allowBlank="1" showInputMessage="1" showErrorMessage="1" sqref="E102" xr:uid="{B791C92E-F664-4ED0-BA38-E258B261F758}">
      <formula1>$A$103:$A$105</formula1>
    </dataValidation>
    <dataValidation type="list" allowBlank="1" showInputMessage="1" showErrorMessage="1" sqref="B13" xr:uid="{9221141D-E8F3-4F9D-A817-0060F3C99DCC}">
      <formula1>ITEM</formula1>
    </dataValidation>
    <dataValidation type="list" allowBlank="1" showInputMessage="1" showErrorMessage="1" sqref="B50:B54" xr:uid="{666DB5B3-88FD-43A6-98A0-166DC6720186}">
      <formula1>L_PERSONAL</formula1>
    </dataValidation>
    <dataValidation type="list" allowBlank="1" showInputMessage="1" showErrorMessage="1" sqref="B31:B38" xr:uid="{E36C0A7D-201C-4EC1-8B95-CD0D8B69C5A9}">
      <formula1>L_MATERIALES</formula1>
    </dataValidation>
    <dataValidation type="list" allowBlank="1" showInputMessage="1" showErrorMessage="1" sqref="B23:B27 B42:B46" xr:uid="{E367FD66-E9C1-4E4A-BA3A-6F61A3C97CD3}">
      <formula1>LISTA_MAQUINARIA</formula1>
    </dataValidation>
  </dataValidations>
  <pageMargins left="0.7" right="0.7" top="0.75" bottom="0.75" header="0.3" footer="0.3"/>
  <pageSetup scale="54" orientation="portrait" r:id="rId1"/>
  <rowBreaks count="1" manualBreakCount="1">
    <brk id="78" max="16383" man="1"/>
  </rowBreaks>
  <colBreaks count="1" manualBreakCount="1">
    <brk id="7" max="1048575" man="1"/>
  </colBreaks>
  <drawing r:id="rId2"/>
  <tableParts count="1">
    <tablePart r:id="rId3"/>
  </tableParts>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4C1DDC-AC3B-4BD1-9D97-0AFDE675B160}">
  <sheetPr codeName="Hoja61"/>
  <dimension ref="A1:P105"/>
  <sheetViews>
    <sheetView showGridLines="0" view="pageBreakPreview" topLeftCell="F1" zoomScale="60" zoomScaleNormal="46" workbookViewId="0"/>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8" max="8" width="14" bestFit="1" customWidth="1"/>
    <col min="9" max="9" width="8.625" customWidth="1"/>
    <col min="10" max="10" width="13.125" bestFit="1"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50</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18" t="str">
        <f>+IF($B$13="","",INDEX(DESCRIP_ITEM,MATCH($B$13,ITEM,0)))</f>
        <v>Zanja tipo 7, 8, 9, 10 BT-AC Secciónes 1.34 x 1.26 m, 1.34 x 1.55m. Incluye el perfilado del contorno de la zanja con las herramietas adecuadas, la disposición del material excavado a 1 metro de la zanja, la separación del descapote o capa orgánica con el resto del material excavado.</v>
      </c>
      <c r="C16" s="619"/>
      <c r="D16" s="619"/>
      <c r="E16" s="619"/>
      <c r="F16" s="619"/>
      <c r="G16" s="620"/>
    </row>
    <row r="17" spans="2:16" ht="44.25" customHeight="1" thickBot="1" x14ac:dyDescent="0.35">
      <c r="B17" s="621"/>
      <c r="C17" s="622"/>
      <c r="D17" s="622"/>
      <c r="E17" s="622"/>
      <c r="F17" s="622"/>
      <c r="G17" s="623"/>
    </row>
    <row r="18" spans="2:16" ht="17.25" thickBot="1" x14ac:dyDescent="0.35">
      <c r="B18" s="591"/>
      <c r="C18" s="579"/>
      <c r="D18" s="579"/>
      <c r="E18" s="579"/>
      <c r="G18" s="11"/>
    </row>
    <row r="19" spans="2:16" ht="17.25" thickBot="1" x14ac:dyDescent="0.35">
      <c r="B19" s="592"/>
      <c r="C19" s="593"/>
      <c r="D19" s="593"/>
      <c r="E19" s="593"/>
      <c r="F19" s="54" t="s">
        <v>89</v>
      </c>
      <c r="G19" s="25" t="str">
        <f>+IF(B13="","",INDEX(U_ITEM,MATCH(B13,ITEM,0)))</f>
        <v>ML</v>
      </c>
    </row>
    <row r="20" spans="2:16" ht="17.25" thickBot="1" x14ac:dyDescent="0.35">
      <c r="B20" s="592"/>
      <c r="C20" s="593"/>
      <c r="D20" s="593"/>
      <c r="E20" s="593"/>
      <c r="F20" s="55" t="s">
        <v>90</v>
      </c>
      <c r="G20" s="56">
        <f>(77.2/8)</f>
        <v>9.65</v>
      </c>
      <c r="H20">
        <f>1.34*1.26</f>
        <v>1.6884000000000001</v>
      </c>
      <c r="I20">
        <f>G20*8*1.34*1.55</f>
        <v>160.34440000000001</v>
      </c>
      <c r="J20">
        <f>I20/8</f>
        <v>20.043050000000001</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t="s">
        <v>405</v>
      </c>
      <c r="C23" s="3" t="str">
        <f>+IF(B23="","",INDEX(U_MAQUINARIA,MATCH(B23,LISTA_MAQUINARIA,0)))</f>
        <v>VALOR / HORA</v>
      </c>
      <c r="D23" s="30">
        <v>4</v>
      </c>
      <c r="E23" s="23">
        <f>+IF(B23="","",INDEX(V_MAQUINARIA,MATCH(B23,LISTA_MAQUINARIA,0)))</f>
        <v>134672.72727272729</v>
      </c>
      <c r="F23" s="3">
        <f>$G$20</f>
        <v>9.65</v>
      </c>
      <c r="G23" s="26">
        <f>+IF(B23="","",(D23*E23)/F23)</f>
        <v>55822.89213377297</v>
      </c>
      <c r="H23" s="294"/>
      <c r="K23" s="9"/>
      <c r="L23" s="23">
        <f>IF(B23="","",INDEX(V_COMBUSTIBLE_H,MATCH(B23,LISTA_MAQUINARIA,0)))</f>
        <v>32400</v>
      </c>
      <c r="M23" s="23">
        <f>+IF(L23="","",(L23*D23)/F23)</f>
        <v>13430.051813471502</v>
      </c>
      <c r="N23" s="23">
        <f>IF(G23="","",G23-M23)</f>
        <v>42392.840320301468</v>
      </c>
      <c r="P23" s="11"/>
    </row>
    <row r="24" spans="2:16" x14ac:dyDescent="0.3">
      <c r="B24" s="27" t="s">
        <v>453</v>
      </c>
      <c r="C24" s="3">
        <f>+IF(B24="","",INDEX(U_MAQUINARIA,MATCH(B24,LISTA_MAQUINARIA,0)))</f>
        <v>0</v>
      </c>
      <c r="D24" s="30">
        <v>3</v>
      </c>
      <c r="E24" s="23">
        <f>+IF(B24="","",INDEX(V_MAQUINARIA,MATCH(B24,LISTA_MAQUINARIA,0)))</f>
        <v>27845.454545454544</v>
      </c>
      <c r="F24" s="3">
        <f>$G$20</f>
        <v>9.65</v>
      </c>
      <c r="G24" s="26">
        <f>+IF(B24="","",(D24*E24)/F24)</f>
        <v>8656.6179934055581</v>
      </c>
      <c r="K24" s="9"/>
      <c r="L24" s="3">
        <f>IF(B24="","",INDEX(V_COMBUSTIBLE_H,MATCH(B24,LISTA_MAQUINARIA,0)))</f>
        <v>10800</v>
      </c>
      <c r="M24" s="3">
        <f>+IF(L24="","",(L24*D24)/F24)</f>
        <v>3357.5129533678755</v>
      </c>
      <c r="N24" s="3">
        <f>IF(G24="","",G24-M24)</f>
        <v>5299.1050400376826</v>
      </c>
      <c r="P24" s="11"/>
    </row>
    <row r="25" spans="2:16" x14ac:dyDescent="0.3">
      <c r="B25" s="27" t="s">
        <v>452</v>
      </c>
      <c r="C25" s="3">
        <f>+IF(B25="","",INDEX(U_MAQUINARIA,MATCH(B25,LISTA_MAQUINARIA,0)))</f>
        <v>0</v>
      </c>
      <c r="D25" s="30">
        <v>2</v>
      </c>
      <c r="E25" s="23">
        <f>+IF(B25="","",INDEX(V_MAQUINARIA,MATCH(B25,LISTA_MAQUINARIA,0)))</f>
        <v>33527.272727272728</v>
      </c>
      <c r="F25" s="3">
        <f>$G$20</f>
        <v>9.65</v>
      </c>
      <c r="G25" s="26">
        <f>+IF(B25="","",(D25*E25)/F25)</f>
        <v>6948.6575600565238</v>
      </c>
      <c r="K25" s="9"/>
      <c r="L25" s="3">
        <f>IF(B25="","",INDEX(V_COMBUSTIBLE_H,MATCH(B25,LISTA_MAQUINARIA,0)))</f>
        <v>10800</v>
      </c>
      <c r="M25" s="3">
        <f>+IF(L25="","",(L25*D25)/F25)</f>
        <v>2238.3419689119169</v>
      </c>
      <c r="N25" s="3">
        <f>IF(G25="","",G25-M25)</f>
        <v>4710.3155911446065</v>
      </c>
      <c r="P25" s="11"/>
    </row>
    <row r="26" spans="2:16" x14ac:dyDescent="0.3">
      <c r="B26" s="27" t="s">
        <v>449</v>
      </c>
      <c r="C26" s="3">
        <f>+IF(B26="","",INDEX(U_MAQUINARIA,MATCH(B26,LISTA_MAQUINARIA,0)))</f>
        <v>0</v>
      </c>
      <c r="D26" s="30">
        <v>2</v>
      </c>
      <c r="E26" s="23">
        <f>+IF(B26="","",INDEX(V_MAQUINARIA,MATCH(B26,LISTA_MAQUINARIA,0)))</f>
        <v>84381.818181818177</v>
      </c>
      <c r="F26" s="3">
        <f>$G$20</f>
        <v>9.65</v>
      </c>
      <c r="G26" s="26">
        <f>+IF(B26="","",(D26*E26)/F26)</f>
        <v>17488.459726801695</v>
      </c>
      <c r="K26" s="9"/>
      <c r="L26" s="3">
        <f>IF(B26="","",INDEX(V_COMBUSTIBLE_H,MATCH(B26,LISTA_MAQUINARIA,0)))</f>
        <v>16200</v>
      </c>
      <c r="M26" s="3">
        <f>+IF(L26="","",(L26*D26)/F26)</f>
        <v>3357.5129533678755</v>
      </c>
      <c r="N26" s="3">
        <f>IF(G26="","",G26-M26)</f>
        <v>14130.94677343382</v>
      </c>
      <c r="P26" s="11"/>
    </row>
    <row r="27" spans="2:16" x14ac:dyDescent="0.3">
      <c r="B27" s="27"/>
      <c r="C27" s="3" t="str">
        <f>+IF(B27="","",INDEX(U_MAQUINARIA,MATCH(B27,LISTA_MAQUINARIA,0)))</f>
        <v/>
      </c>
      <c r="D27" s="30"/>
      <c r="E27" s="23" t="str">
        <f>+IF(B27="","",INDEX(V_MAQUINARIA,MATCH(B27,LISTA_MAQUINARIA,0)))</f>
        <v/>
      </c>
      <c r="F27" s="3">
        <f>$G$20</f>
        <v>9.65</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88916.627414036746</v>
      </c>
      <c r="K28" s="9"/>
      <c r="M28" s="24">
        <f>SUM(M23:M27)</f>
        <v>22383.419689119175</v>
      </c>
      <c r="N28" s="24">
        <f>SUM(N23:N27)</f>
        <v>66533.207724917578</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t="s">
        <v>361</v>
      </c>
      <c r="C31" s="3" t="str">
        <f t="shared" ref="C31:C38" si="0">+IF(B31="","",INDEX(U_MATERIAL,MATCH(B31,L_MATERIALES,0)))</f>
        <v>UND</v>
      </c>
      <c r="D31" s="30">
        <v>1</v>
      </c>
      <c r="E31" s="23">
        <f t="shared" ref="E31:E38" si="1">+IF(B31="","",INDEX(V_UNITARIOMATERIAL,MATCH(B31,L_MATERIALES,0)))</f>
        <v>340000</v>
      </c>
      <c r="F31" s="30">
        <v>1000</v>
      </c>
      <c r="G31" s="26">
        <f>IF(D31="","",(E31*D31)/F31)</f>
        <v>340</v>
      </c>
      <c r="K31" s="9"/>
      <c r="L31" t="str">
        <f>+IF(B31="","",B31)</f>
        <v>HERRAMIENTA MENOR---</v>
      </c>
      <c r="M31">
        <f t="shared" ref="M31:M38" si="2">IF(D31="","",(D31/F31)*INDEX(CANT_PROYECTO,MATCH($B$13,ITEM,0)))</f>
        <v>3.5449999999999999</v>
      </c>
      <c r="N31" s="1"/>
      <c r="P31" s="11"/>
    </row>
    <row r="32" spans="2:16" x14ac:dyDescent="0.3">
      <c r="B32" s="27" t="s">
        <v>411</v>
      </c>
      <c r="C32" s="3" t="str">
        <f t="shared" si="0"/>
        <v>M3</v>
      </c>
      <c r="D32" s="30">
        <f>+(1.55*0.6*1.3)</f>
        <v>1.2089999999999999</v>
      </c>
      <c r="E32" s="23">
        <f t="shared" si="1"/>
        <v>86000</v>
      </c>
      <c r="F32" s="30">
        <v>1</v>
      </c>
      <c r="G32" s="26">
        <f t="shared" ref="G32:G38" si="3">IF(D32="","",(E32*D32)/F32)</f>
        <v>103973.99999999999</v>
      </c>
      <c r="K32" s="9"/>
      <c r="L32" t="str">
        <f t="shared" ref="L32:L38" si="4">+IF(B32="","",B32)</f>
        <v>ARENA ---</v>
      </c>
      <c r="M32">
        <f t="shared" si="2"/>
        <v>4285.9049999999997</v>
      </c>
      <c r="N32" s="1"/>
      <c r="P32" s="11"/>
    </row>
    <row r="33" spans="2:16" x14ac:dyDescent="0.3">
      <c r="B33" s="27" t="s">
        <v>407</v>
      </c>
      <c r="C33" s="3" t="str">
        <f t="shared" si="0"/>
        <v>ML</v>
      </c>
      <c r="D33" s="30">
        <v>1</v>
      </c>
      <c r="E33" s="23">
        <f t="shared" si="1"/>
        <v>400</v>
      </c>
      <c r="F33" s="30">
        <v>1</v>
      </c>
      <c r="G33" s="26">
        <f t="shared" si="3"/>
        <v>400</v>
      </c>
      <c r="K33" s="9"/>
      <c r="L33" t="str">
        <f t="shared" si="4"/>
        <v>CINTA PRECAUCION ---</v>
      </c>
      <c r="M33">
        <f t="shared" si="2"/>
        <v>3545</v>
      </c>
      <c r="N33" s="1"/>
      <c r="P33" s="11"/>
    </row>
    <row r="34" spans="2:16" x14ac:dyDescent="0.3">
      <c r="B34" s="27"/>
      <c r="C34" s="3" t="str">
        <f t="shared" si="0"/>
        <v/>
      </c>
      <c r="D34" s="30"/>
      <c r="E34" s="23" t="str">
        <f t="shared" si="1"/>
        <v/>
      </c>
      <c r="F34" s="30"/>
      <c r="G34" s="26" t="str">
        <f t="shared" si="3"/>
        <v/>
      </c>
      <c r="K34" s="9"/>
      <c r="L34" t="str">
        <f t="shared" si="4"/>
        <v/>
      </c>
      <c r="M34" t="str">
        <f t="shared" si="2"/>
        <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104713.99999999999</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t="s">
        <v>455</v>
      </c>
      <c r="C42" s="3">
        <f>+IF(B42="","",INDEX(U_MAQUINARIA,MATCH(B42,LISTA_MAQUINARIA,0)))</f>
        <v>0</v>
      </c>
      <c r="D42" s="30">
        <v>1</v>
      </c>
      <c r="E42" s="23">
        <f>+IF(B42="","",INDEX(V_MAQUINARIA,MATCH(B42,LISTA_MAQUINARIA,0)))</f>
        <v>101145.45454545454</v>
      </c>
      <c r="F42" s="3">
        <f>$G$20</f>
        <v>9.65</v>
      </c>
      <c r="G42" s="26">
        <f>IF(D42="","",(E42*D42)/F42)</f>
        <v>10481.394253414979</v>
      </c>
      <c r="K42" s="9"/>
      <c r="L42" s="23">
        <f>IF(B42="","",INDEX(V_COMBUSTIBLE_H,MATCH(B42,LISTA_MAQUINARIA,0)))</f>
        <v>21600</v>
      </c>
      <c r="M42" s="23">
        <f>+IF(L42="","",(L42*D42)/F42)</f>
        <v>2238.3419689119169</v>
      </c>
      <c r="N42" s="23">
        <f>IF(G42="","",G42-M42)</f>
        <v>8243.0522845030628</v>
      </c>
      <c r="P42" s="11"/>
    </row>
    <row r="43" spans="2:16" x14ac:dyDescent="0.3">
      <c r="B43" s="27"/>
      <c r="C43" s="3" t="str">
        <f>+IF(B43="","",INDEX(U_MAQUINARIA,MATCH(B43,LISTA_MAQUINARIA,0)))</f>
        <v/>
      </c>
      <c r="D43" s="30"/>
      <c r="E43" s="23" t="str">
        <f>+IF(B43="","",INDEX(V_MAQUINARIA,MATCH(B43,LISTA_MAQUINARIA,0)))</f>
        <v/>
      </c>
      <c r="F43" s="3">
        <f>+$G$20</f>
        <v>9.65</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9.65</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9.65</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9.65</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10481.394253414979</v>
      </c>
      <c r="K47" s="9"/>
      <c r="M47" s="24">
        <f>SUM(M42:M46)</f>
        <v>2238.3419689119169</v>
      </c>
      <c r="N47" s="24">
        <f>SUM(N42:N46)</f>
        <v>8243.0522845030628</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t="s">
        <v>304</v>
      </c>
      <c r="C50" s="30">
        <v>6</v>
      </c>
      <c r="D50" s="22">
        <f>+IF(B50="","",INDEX(F_PRESTACIONAL,MATCH(B50,L_PERSONAL,)))</f>
        <v>1.6352</v>
      </c>
      <c r="E50" s="23">
        <f>+IF(B50="","",INDEX(V_H_MANODEOBRA,MATCH(B50,L_PERSONAL,0)))</f>
        <v>24658.815999999999</v>
      </c>
      <c r="F50" s="3">
        <f>+$G$20</f>
        <v>9.65</v>
      </c>
      <c r="G50" s="26">
        <f>+IF(C50="","",(E50*C50)/F50)</f>
        <v>15331.906321243523</v>
      </c>
    </row>
    <row r="51" spans="2:7" x14ac:dyDescent="0.3">
      <c r="B51" s="27" t="s">
        <v>305</v>
      </c>
      <c r="C51" s="30">
        <v>6</v>
      </c>
      <c r="D51" s="22">
        <f>+IF(B51="","",INDEX(F_PRESTACIONAL,MATCH(B51,L_PERSONAL,)))</f>
        <v>2.2351999999999999</v>
      </c>
      <c r="E51" s="23">
        <f>+IF(B51="","",INDEX(V_H_MANODEOBRA,MATCH(B51,L_PERSONAL,0)))</f>
        <v>50800</v>
      </c>
      <c r="F51" s="3">
        <f>+$G$20</f>
        <v>9.65</v>
      </c>
      <c r="G51" s="26">
        <f>+IF(C51="","",(E51*C51)/F51)</f>
        <v>31585.492227979274</v>
      </c>
    </row>
    <row r="52" spans="2:7" x14ac:dyDescent="0.3">
      <c r="B52" s="27" t="s">
        <v>298</v>
      </c>
      <c r="C52" s="30">
        <v>1</v>
      </c>
      <c r="D52" s="22">
        <f>+IF(B52="","",INDEX(F_PRESTACIONAL,MATCH(B52,L_PERSONAL,)))</f>
        <v>1.6352</v>
      </c>
      <c r="E52" s="23">
        <f>+IF(B52="","",INDEX(V_H_MANODEOBRA,MATCH(B52,L_PERSONAL,0)))</f>
        <v>40136.727272727272</v>
      </c>
      <c r="F52" s="3">
        <f>+$G$20</f>
        <v>9.65</v>
      </c>
      <c r="G52" s="26">
        <f>+IF(C52="","",(E52*C52)/F52)</f>
        <v>4159.2463495054162</v>
      </c>
    </row>
    <row r="53" spans="2:7" x14ac:dyDescent="0.3">
      <c r="B53" s="27" t="s">
        <v>299</v>
      </c>
      <c r="C53" s="30">
        <v>1</v>
      </c>
      <c r="D53" s="22">
        <f>+IF(B53="","",INDEX(F_PRESTACIONAL,MATCH(B53,L_PERSONAL,)))</f>
        <v>1.6352</v>
      </c>
      <c r="E53" s="23">
        <f>+IF(B53="","",INDEX(V_H_MANODEOBRA,MATCH(B53,L_PERSONAL,0)))</f>
        <v>22298.18181818182</v>
      </c>
      <c r="F53" s="3">
        <f>+$G$20</f>
        <v>9.65</v>
      </c>
      <c r="G53" s="26">
        <f>+IF(C53="","",(E53*C53)/F53)</f>
        <v>2310.6924163918984</v>
      </c>
    </row>
    <row r="54" spans="2:7" x14ac:dyDescent="0.3">
      <c r="B54" s="27"/>
      <c r="C54" s="30"/>
      <c r="D54" s="22" t="str">
        <f>+IF(B54="","",INDEX(F_PRESTACIONAL,MATCH(B54,L_PERSONAL,)))</f>
        <v/>
      </c>
      <c r="E54" s="23" t="str">
        <f>+IF(B54="","",INDEX(V_H_MANODEOBRA,MATCH(B54,L_PERSONAL,0)))</f>
        <v/>
      </c>
      <c r="F54" s="3">
        <f>+$G$20</f>
        <v>9.65</v>
      </c>
      <c r="G54" s="26" t="str">
        <f>+IF(C54="","",(E54*C54)/F54)</f>
        <v/>
      </c>
    </row>
    <row r="55" spans="2:7" x14ac:dyDescent="0.3">
      <c r="B55" s="9"/>
      <c r="G55" s="26">
        <f>SUM(G50:G54)</f>
        <v>53387.337315120109</v>
      </c>
    </row>
    <row r="56" spans="2:7" ht="17.25" thickBot="1" x14ac:dyDescent="0.35">
      <c r="B56" s="9"/>
      <c r="G56" s="11"/>
    </row>
    <row r="57" spans="2:7" ht="17.25" thickBot="1" x14ac:dyDescent="0.35">
      <c r="B57" s="610" t="s">
        <v>98</v>
      </c>
      <c r="C57" s="611"/>
      <c r="D57" s="611"/>
      <c r="E57" s="611"/>
      <c r="F57" s="612"/>
      <c r="G57" s="66">
        <f>+G55+G47+G39+G28</f>
        <v>257499.35898257184</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30899.923077908621</v>
      </c>
    </row>
    <row r="61" spans="2:7" x14ac:dyDescent="0.3">
      <c r="B61" s="613" t="s">
        <v>86</v>
      </c>
      <c r="C61" s="614"/>
      <c r="D61" s="614"/>
      <c r="E61" s="614"/>
      <c r="F61" s="22">
        <f>+IMPREVISTOS</f>
        <v>0.03</v>
      </c>
      <c r="G61" s="26">
        <f>+$G$57*F61</f>
        <v>7724.9807694771553</v>
      </c>
    </row>
    <row r="62" spans="2:7" x14ac:dyDescent="0.3">
      <c r="B62" s="613" t="s">
        <v>87</v>
      </c>
      <c r="C62" s="614"/>
      <c r="D62" s="614"/>
      <c r="E62" s="614"/>
      <c r="F62" s="22">
        <f>+UTILIDAD</f>
        <v>0.05</v>
      </c>
      <c r="G62" s="26">
        <f>+$G$57*F62</f>
        <v>12874.967949128593</v>
      </c>
    </row>
    <row r="63" spans="2:7" x14ac:dyDescent="0.3">
      <c r="B63" s="596" t="s">
        <v>100</v>
      </c>
      <c r="C63" s="597"/>
      <c r="D63" s="597"/>
      <c r="E63" s="597"/>
      <c r="F63" s="597"/>
      <c r="G63" s="53">
        <f>SUM(G60:G62)</f>
        <v>51499.871796514373</v>
      </c>
    </row>
    <row r="64" spans="2:7" ht="17.25" thickBot="1" x14ac:dyDescent="0.35">
      <c r="B64" s="9"/>
      <c r="G64" s="44"/>
    </row>
    <row r="65" spans="2:10" ht="17.25" thickBot="1" x14ac:dyDescent="0.35">
      <c r="B65" s="598" t="s">
        <v>101</v>
      </c>
      <c r="C65" s="599"/>
      <c r="D65" s="599"/>
      <c r="E65" s="599"/>
      <c r="F65" s="600"/>
      <c r="G65" s="65">
        <f>+G63+G57</f>
        <v>308999.23077908624</v>
      </c>
      <c r="H65" s="294">
        <f>1.34*1.55</f>
        <v>2.0770000000000004</v>
      </c>
      <c r="I65" s="294">
        <f>1/H65</f>
        <v>0.48146364949446308</v>
      </c>
      <c r="J65" s="294">
        <f>I65*G65</f>
        <v>148771.89734188069</v>
      </c>
    </row>
    <row r="66" spans="2:10" x14ac:dyDescent="0.3">
      <c r="B66" s="6"/>
      <c r="C66" s="7"/>
      <c r="D66" s="7"/>
      <c r="E66" s="7"/>
      <c r="F66" s="7"/>
      <c r="G66" s="8"/>
    </row>
    <row r="67" spans="2:10" x14ac:dyDescent="0.3">
      <c r="B67" s="9"/>
      <c r="G67" s="11"/>
    </row>
    <row r="68" spans="2:10" x14ac:dyDescent="0.3">
      <c r="B68" s="69" t="s">
        <v>123</v>
      </c>
      <c r="C68" s="67"/>
      <c r="D68" s="67"/>
      <c r="E68" s="67"/>
      <c r="F68" s="67"/>
      <c r="G68" s="70"/>
    </row>
    <row r="69" spans="2:10" x14ac:dyDescent="0.3">
      <c r="B69" s="71"/>
      <c r="C69" s="67"/>
      <c r="D69" s="67"/>
      <c r="E69" s="67"/>
      <c r="F69" s="67"/>
      <c r="G69" s="70"/>
    </row>
    <row r="70" spans="2:10" x14ac:dyDescent="0.3">
      <c r="B70" s="72"/>
      <c r="C70" s="68"/>
      <c r="D70" s="68"/>
      <c r="E70" s="68"/>
      <c r="F70" s="68"/>
      <c r="G70" s="73"/>
    </row>
    <row r="71" spans="2:10" x14ac:dyDescent="0.3">
      <c r="B71" s="71"/>
      <c r="C71" s="67"/>
      <c r="D71" s="67"/>
      <c r="E71" s="67"/>
      <c r="F71" s="67"/>
      <c r="G71" s="70"/>
    </row>
    <row r="72" spans="2:10" ht="17.25" thickBot="1" x14ac:dyDescent="0.35">
      <c r="B72" s="15"/>
      <c r="C72" s="13"/>
      <c r="D72" s="13"/>
      <c r="E72" s="13"/>
      <c r="F72" s="13"/>
      <c r="G72" s="14"/>
    </row>
    <row r="73" spans="2:10" x14ac:dyDescent="0.3">
      <c r="B73" s="591"/>
      <c r="C73" s="579"/>
      <c r="D73" s="579"/>
      <c r="E73" s="579"/>
      <c r="F73" s="579"/>
      <c r="G73" s="580"/>
    </row>
    <row r="74" spans="2:10" x14ac:dyDescent="0.3">
      <c r="B74" s="592"/>
      <c r="C74" s="593"/>
      <c r="D74" s="593"/>
      <c r="E74" s="593"/>
      <c r="F74" s="593"/>
      <c r="G74" s="594"/>
    </row>
    <row r="75" spans="2:10" x14ac:dyDescent="0.3">
      <c r="B75" s="592"/>
      <c r="C75" s="593"/>
      <c r="D75" s="593"/>
      <c r="E75" s="593"/>
      <c r="F75" s="593"/>
      <c r="G75" s="594"/>
    </row>
    <row r="76" spans="2:10" x14ac:dyDescent="0.3">
      <c r="B76" s="592"/>
      <c r="C76" s="593"/>
      <c r="D76" s="593"/>
      <c r="E76" s="593"/>
      <c r="F76" s="593"/>
      <c r="G76" s="594"/>
    </row>
    <row r="77" spans="2:10" x14ac:dyDescent="0.3">
      <c r="B77" s="592"/>
      <c r="C77" s="593"/>
      <c r="D77" s="593"/>
      <c r="E77" s="593"/>
      <c r="F77" s="593"/>
      <c r="G77" s="594"/>
    </row>
    <row r="78" spans="2:10"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disablePrompts="1" count="5">
    <dataValidation type="list" allowBlank="1" showInputMessage="1" showErrorMessage="1" sqref="E102" xr:uid="{24FDE183-3355-413F-A845-D936AF5D8A7E}">
      <formula1>$A$103:$A$105</formula1>
    </dataValidation>
    <dataValidation type="list" allowBlank="1" showInputMessage="1" showErrorMessage="1" sqref="B13" xr:uid="{59D39D35-0752-4019-ABCA-36B2633B741C}">
      <formula1>ITEM</formula1>
    </dataValidation>
    <dataValidation type="list" allowBlank="1" showInputMessage="1" showErrorMessage="1" sqref="B50:B54" xr:uid="{14DBC567-88A7-48FC-AF76-945968FF8811}">
      <formula1>L_PERSONAL</formula1>
    </dataValidation>
    <dataValidation type="list" allowBlank="1" showInputMessage="1" showErrorMessage="1" sqref="B31:B38" xr:uid="{0C3B54DD-E974-44A3-80AA-5F0A354A79CF}">
      <formula1>L_MATERIALES</formula1>
    </dataValidation>
    <dataValidation type="list" allowBlank="1" showInputMessage="1" showErrorMessage="1" sqref="B23:B27 B42:B46" xr:uid="{D8CA97B4-B670-49F3-BE5E-8783509604F5}">
      <formula1>LISTA_MAQUINARIA</formula1>
    </dataValidation>
  </dataValidations>
  <pageMargins left="0.7" right="0.7" top="0.75" bottom="0.75" header="0.3" footer="0.3"/>
  <pageSetup scale="54" orientation="portrait" r:id="rId1"/>
  <rowBreaks count="1" manualBreakCount="1">
    <brk id="78" max="16383" man="1"/>
  </rowBreaks>
  <colBreaks count="1" manualBreakCount="1">
    <brk id="7" max="1048575" man="1"/>
  </colBreaks>
  <drawing r:id="rId2"/>
  <tableParts count="1">
    <tablePart r:id="rId3"/>
  </tablePart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C9927C-5988-45C1-B26F-FF1A47018F93}">
  <sheetPr codeName="Hoja62"/>
  <dimension ref="A1:P105"/>
  <sheetViews>
    <sheetView showGridLines="0" view="pageBreakPreview" zoomScale="60" zoomScaleNormal="45" workbookViewId="0">
      <selection activeCell="I18" sqref="I18"/>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9" width="16.625" bestFit="1" customWidth="1"/>
    <col min="10"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51</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18" t="str">
        <f>+IF($B$13="","",INDEX(DESCRIP_ITEM,MATCH($B$13,ITEM,0)))</f>
        <v>Zanja tipo 1 y 2  BT-DC secciónes 0.90 x 0,95 m y 1.15 x 0.95m. Incluye el perfilado del contorno de la zanja con las herramietas adecuadas, la disposición del material excavado a 1 metro de la zanja, la separación del descapote o capa orgánica con el resto del material excavado.</v>
      </c>
      <c r="C16" s="619"/>
      <c r="D16" s="619"/>
      <c r="E16" s="619"/>
      <c r="F16" s="619"/>
      <c r="G16" s="620"/>
    </row>
    <row r="17" spans="2:16" ht="44.25" customHeight="1" thickBot="1" x14ac:dyDescent="0.35">
      <c r="B17" s="621"/>
      <c r="C17" s="622"/>
      <c r="D17" s="622"/>
      <c r="E17" s="622"/>
      <c r="F17" s="622"/>
      <c r="G17" s="623"/>
    </row>
    <row r="18" spans="2:16" ht="17.25" thickBot="1" x14ac:dyDescent="0.35">
      <c r="B18" s="591"/>
      <c r="C18" s="579"/>
      <c r="D18" s="579"/>
      <c r="E18" s="579"/>
      <c r="G18" s="11"/>
    </row>
    <row r="19" spans="2:16" ht="17.25" thickBot="1" x14ac:dyDescent="0.35">
      <c r="B19" s="592"/>
      <c r="C19" s="593"/>
      <c r="D19" s="593"/>
      <c r="E19" s="593"/>
      <c r="F19" s="54" t="s">
        <v>89</v>
      </c>
      <c r="G19" s="25" t="str">
        <f>+IF(B13="","",INDEX(U_ITEM,MATCH(B13,ITEM,0)))</f>
        <v>ML</v>
      </c>
    </row>
    <row r="20" spans="2:16" ht="17.25" thickBot="1" x14ac:dyDescent="0.35">
      <c r="B20" s="592"/>
      <c r="C20" s="593"/>
      <c r="D20" s="593"/>
      <c r="E20" s="593"/>
      <c r="F20" s="55" t="s">
        <v>90</v>
      </c>
      <c r="G20" s="56">
        <f>((183.2*24)/30)/8</f>
        <v>18.319999999999997</v>
      </c>
      <c r="H20">
        <f>1.15*0.95</f>
        <v>1.0924999999999998</v>
      </c>
      <c r="I20">
        <f>1/H20</f>
        <v>0.91533180778032053</v>
      </c>
      <c r="K20" s="92" t="s">
        <v>134</v>
      </c>
      <c r="L20" s="93"/>
      <c r="M20" s="93"/>
      <c r="N20" s="93"/>
      <c r="O20" s="93"/>
      <c r="P20" s="94"/>
    </row>
    <row r="21" spans="2:16" ht="15" customHeight="1" thickBot="1" x14ac:dyDescent="0.35">
      <c r="B21" s="58" t="s">
        <v>91</v>
      </c>
      <c r="G21" s="11"/>
      <c r="I21" s="294">
        <f>I20*G65</f>
        <v>147541.44159854218</v>
      </c>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t="s">
        <v>405</v>
      </c>
      <c r="C23" s="3" t="str">
        <f>+IF(B23="","",INDEX(U_MAQUINARIA,MATCH(B23,LISTA_MAQUINARIA,0)))</f>
        <v>VALOR / HORA</v>
      </c>
      <c r="D23" s="30">
        <v>4</v>
      </c>
      <c r="E23" s="23">
        <f>+IF(B23="","",INDEX(V_MAQUINARIA,MATCH(B23,LISTA_MAQUINARIA,0)))</f>
        <v>134672.72727272729</v>
      </c>
      <c r="F23" s="3">
        <f>$G$20</f>
        <v>18.319999999999997</v>
      </c>
      <c r="G23" s="26">
        <f>+IF(B23="","",(D23*E23)/F23)</f>
        <v>29404.525605398976</v>
      </c>
      <c r="K23" s="9"/>
      <c r="L23" s="23">
        <f>IF(B23="","",INDEX(V_COMBUSTIBLE_H,MATCH(B23,LISTA_MAQUINARIA,0)))</f>
        <v>32400</v>
      </c>
      <c r="M23" s="23">
        <f>+IF(L23="","",(L23*D23)/F23)</f>
        <v>7074.2358078602629</v>
      </c>
      <c r="N23" s="23">
        <f>IF(G23="","",G23-M23)</f>
        <v>22330.289797538713</v>
      </c>
      <c r="P23" s="11"/>
    </row>
    <row r="24" spans="2:16" x14ac:dyDescent="0.3">
      <c r="B24" s="27" t="s">
        <v>449</v>
      </c>
      <c r="C24" s="3">
        <f>+IF(B24="","",INDEX(U_MAQUINARIA,MATCH(B24,LISTA_MAQUINARIA,0)))</f>
        <v>0</v>
      </c>
      <c r="D24" s="30">
        <v>2</v>
      </c>
      <c r="E24" s="23">
        <f>+IF(B24="","",INDEX(V_MAQUINARIA,MATCH(B24,LISTA_MAQUINARIA,0)))</f>
        <v>84381.818181818177</v>
      </c>
      <c r="F24" s="3">
        <f>$G$20</f>
        <v>18.319999999999997</v>
      </c>
      <c r="G24" s="26">
        <f>+IF(B24="","",(D24*E24)/F24)</f>
        <v>9211.9888844779689</v>
      </c>
      <c r="K24" s="9"/>
      <c r="L24" s="3">
        <f>IF(B24="","",INDEX(V_COMBUSTIBLE_H,MATCH(B24,LISTA_MAQUINARIA,0)))</f>
        <v>16200</v>
      </c>
      <c r="M24" s="3">
        <f>+IF(L24="","",(L24*D24)/F24)</f>
        <v>1768.5589519650657</v>
      </c>
      <c r="N24" s="3">
        <f>IF(G24="","",G24-M24)</f>
        <v>7443.4299325129032</v>
      </c>
      <c r="P24" s="11"/>
    </row>
    <row r="25" spans="2:16" x14ac:dyDescent="0.3">
      <c r="B25" s="27" t="s">
        <v>452</v>
      </c>
      <c r="C25" s="3">
        <f>+IF(B25="","",INDEX(U_MAQUINARIA,MATCH(B25,LISTA_MAQUINARIA,0)))</f>
        <v>0</v>
      </c>
      <c r="D25" s="30">
        <v>2</v>
      </c>
      <c r="E25" s="23">
        <f>+IF(B25="","",INDEX(V_MAQUINARIA,MATCH(B25,LISTA_MAQUINARIA,0)))</f>
        <v>33527.272727272728</v>
      </c>
      <c r="F25" s="3">
        <f>$G$20</f>
        <v>18.319999999999997</v>
      </c>
      <c r="G25" s="26">
        <f>+IF(B25="","",(D25*E25)/F25)</f>
        <v>3660.1826121476784</v>
      </c>
      <c r="K25" s="9"/>
      <c r="L25" s="3">
        <f>IF(B25="","",INDEX(V_COMBUSTIBLE_H,MATCH(B25,LISTA_MAQUINARIA,0)))</f>
        <v>10800</v>
      </c>
      <c r="M25" s="3">
        <f>+IF(L25="","",(L25*D25)/F25)</f>
        <v>1179.0393013100438</v>
      </c>
      <c r="N25" s="3">
        <f>IF(G25="","",G25-M25)</f>
        <v>2481.1433108376345</v>
      </c>
      <c r="P25" s="11"/>
    </row>
    <row r="26" spans="2:16" x14ac:dyDescent="0.3">
      <c r="B26" s="27" t="s">
        <v>453</v>
      </c>
      <c r="C26" s="3">
        <f>+IF(B26="","",INDEX(U_MAQUINARIA,MATCH(B26,LISTA_MAQUINARIA,0)))</f>
        <v>0</v>
      </c>
      <c r="D26" s="30">
        <v>3</v>
      </c>
      <c r="E26" s="23">
        <f>+IF(B26="","",INDEX(V_MAQUINARIA,MATCH(B26,LISTA_MAQUINARIA,0)))</f>
        <v>27845.454545454544</v>
      </c>
      <c r="F26" s="3">
        <f>$G$20</f>
        <v>18.319999999999997</v>
      </c>
      <c r="G26" s="26">
        <f>+IF(B26="","",(D26*E26)/F26)</f>
        <v>4559.8451766574044</v>
      </c>
      <c r="K26" s="9"/>
      <c r="L26" s="3">
        <f>IF(B26="","",INDEX(V_COMBUSTIBLE_H,MATCH(B26,LISTA_MAQUINARIA,0)))</f>
        <v>10800</v>
      </c>
      <c r="M26" s="3">
        <f>+IF(L26="","",(L26*D26)/F26)</f>
        <v>1768.5589519650657</v>
      </c>
      <c r="N26" s="3">
        <f>IF(G26="","",G26-M26)</f>
        <v>2791.2862246923387</v>
      </c>
      <c r="P26" s="11"/>
    </row>
    <row r="27" spans="2:16" x14ac:dyDescent="0.3">
      <c r="B27" s="27"/>
      <c r="C27" s="3" t="str">
        <f>+IF(B27="","",INDEX(U_MAQUINARIA,MATCH(B27,LISTA_MAQUINARIA,0)))</f>
        <v/>
      </c>
      <c r="D27" s="30"/>
      <c r="E27" s="23" t="str">
        <f>+IF(B27="","",INDEX(V_MAQUINARIA,MATCH(B27,LISTA_MAQUINARIA,0)))</f>
        <v/>
      </c>
      <c r="F27" s="3">
        <f>$G$20</f>
        <v>18.319999999999997</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46836.542278682027</v>
      </c>
      <c r="K28" s="9"/>
      <c r="M28" s="24">
        <f>SUM(M23:M27)</f>
        <v>11790.393013100438</v>
      </c>
      <c r="N28" s="24">
        <f>SUM(N23:N27)</f>
        <v>35046.149265581589</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t="s">
        <v>361</v>
      </c>
      <c r="C31" s="3" t="str">
        <f t="shared" ref="C31:C38" si="0">+IF(B31="","",INDEX(U_MATERIAL,MATCH(B31,L_MATERIALES,0)))</f>
        <v>UND</v>
      </c>
      <c r="D31" s="30">
        <v>1</v>
      </c>
      <c r="E31" s="23">
        <f t="shared" ref="E31:E38" si="1">+IF(B31="","",INDEX(V_UNITARIOMATERIAL,MATCH(B31,L_MATERIALES,0)))</f>
        <v>340000</v>
      </c>
      <c r="F31" s="30">
        <v>1000</v>
      </c>
      <c r="G31" s="26">
        <f>IF(D31="","",(E31*D31)/F31)</f>
        <v>340</v>
      </c>
      <c r="K31" s="9"/>
      <c r="L31" t="str">
        <f>+IF(B31="","",B31)</f>
        <v>HERRAMIENTA MENOR---</v>
      </c>
      <c r="M31">
        <f t="shared" ref="M31:M38" si="2">IF(D31="","",(D31/F31)*INDEX(CANT_PROYECTO,MATCH($B$13,ITEM,0)))</f>
        <v>7.1310000000000002</v>
      </c>
      <c r="N31" s="1"/>
      <c r="P31" s="11"/>
    </row>
    <row r="32" spans="2:16" x14ac:dyDescent="0.3">
      <c r="B32" s="27" t="s">
        <v>411</v>
      </c>
      <c r="C32" s="3" t="str">
        <f t="shared" si="0"/>
        <v>M3</v>
      </c>
      <c r="D32" s="30">
        <f>+(0.95*0.5*1.3)</f>
        <v>0.61749999999999994</v>
      </c>
      <c r="E32" s="23">
        <f t="shared" si="1"/>
        <v>86000</v>
      </c>
      <c r="F32" s="30">
        <v>1</v>
      </c>
      <c r="G32" s="26">
        <f t="shared" ref="G32:G38" si="3">IF(D32="","",(E32*D32)/F32)</f>
        <v>53104.999999999993</v>
      </c>
      <c r="K32" s="9"/>
      <c r="L32" t="str">
        <f t="shared" ref="L32:L38" si="4">+IF(B32="","",B32)</f>
        <v>ARENA ---</v>
      </c>
      <c r="M32">
        <f t="shared" si="2"/>
        <v>4403.3924999999999</v>
      </c>
      <c r="N32" s="1"/>
      <c r="P32" s="11"/>
    </row>
    <row r="33" spans="2:16" x14ac:dyDescent="0.3">
      <c r="B33" s="27" t="s">
        <v>407</v>
      </c>
      <c r="C33" s="3" t="str">
        <f t="shared" si="0"/>
        <v>ML</v>
      </c>
      <c r="D33" s="30">
        <v>1</v>
      </c>
      <c r="E33" s="23">
        <f t="shared" si="1"/>
        <v>400</v>
      </c>
      <c r="F33" s="30">
        <v>1</v>
      </c>
      <c r="G33" s="26">
        <f t="shared" si="3"/>
        <v>400</v>
      </c>
      <c r="K33" s="9"/>
      <c r="L33" t="str">
        <f t="shared" si="4"/>
        <v>CINTA PRECAUCION ---</v>
      </c>
      <c r="M33">
        <f t="shared" si="2"/>
        <v>7131</v>
      </c>
      <c r="N33" s="1"/>
      <c r="P33" s="11"/>
    </row>
    <row r="34" spans="2:16" x14ac:dyDescent="0.3">
      <c r="B34" s="27"/>
      <c r="C34" s="3" t="str">
        <f t="shared" si="0"/>
        <v/>
      </c>
      <c r="D34" s="30"/>
      <c r="E34" s="23" t="str">
        <f t="shared" si="1"/>
        <v/>
      </c>
      <c r="F34" s="30"/>
      <c r="G34" s="26" t="str">
        <f t="shared" si="3"/>
        <v/>
      </c>
      <c r="K34" s="9"/>
      <c r="L34" t="str">
        <f t="shared" si="4"/>
        <v/>
      </c>
      <c r="M34" t="str">
        <f t="shared" si="2"/>
        <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53844.999999999993</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t="s">
        <v>455</v>
      </c>
      <c r="C42" s="3">
        <f>+IF(B42="","",INDEX(U_MAQUINARIA,MATCH(B42,LISTA_MAQUINARIA,0)))</f>
        <v>0</v>
      </c>
      <c r="D42" s="30">
        <v>1</v>
      </c>
      <c r="E42" s="23">
        <f>+IF(B42="","",INDEX(V_MAQUINARIA,MATCH(B42,LISTA_MAQUINARIA,0)))</f>
        <v>101145.45454545454</v>
      </c>
      <c r="F42" s="3">
        <f>$G$20</f>
        <v>18.319999999999997</v>
      </c>
      <c r="G42" s="26">
        <f>IF(D42="","",(E42*D42)/F42)</f>
        <v>5521.0400952759037</v>
      </c>
      <c r="K42" s="9"/>
      <c r="L42" s="23">
        <f>IF(B42="","",INDEX(V_COMBUSTIBLE_H,MATCH(B42,LISTA_MAQUINARIA,0)))</f>
        <v>21600</v>
      </c>
      <c r="M42" s="23">
        <f>+IF(L42="","",(L42*D42)/F42)</f>
        <v>1179.0393013100438</v>
      </c>
      <c r="N42" s="23">
        <f>IF(G42="","",G42-M42)</f>
        <v>4342.0007939658599</v>
      </c>
      <c r="P42" s="11"/>
    </row>
    <row r="43" spans="2:16" x14ac:dyDescent="0.3">
      <c r="B43" s="27"/>
      <c r="C43" s="3" t="str">
        <f>+IF(B43="","",INDEX(U_MAQUINARIA,MATCH(B43,LISTA_MAQUINARIA,0)))</f>
        <v/>
      </c>
      <c r="D43" s="30"/>
      <c r="E43" s="23" t="str">
        <f>+IF(B43="","",INDEX(V_MAQUINARIA,MATCH(B43,LISTA_MAQUINARIA,0)))</f>
        <v/>
      </c>
      <c r="F43" s="3">
        <f>+$G$20</f>
        <v>18.319999999999997</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18.319999999999997</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18.319999999999997</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18.319999999999997</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5521.0400952759037</v>
      </c>
      <c r="K47" s="9"/>
      <c r="M47" s="24">
        <f>SUM(M42:M46)</f>
        <v>1179.0393013100438</v>
      </c>
      <c r="N47" s="24">
        <f>SUM(N42:N46)</f>
        <v>4342.0007939658599</v>
      </c>
      <c r="P47" s="11"/>
    </row>
    <row r="48" spans="2:16" ht="17.25" thickBot="1" x14ac:dyDescent="0.35">
      <c r="B48" s="64" t="s">
        <v>96</v>
      </c>
      <c r="G48" s="11"/>
      <c r="K48" s="15"/>
      <c r="L48" s="13"/>
      <c r="M48" s="13"/>
      <c r="N48" s="13"/>
      <c r="O48" s="13"/>
      <c r="P48" s="14"/>
    </row>
    <row r="49" spans="2:11" x14ac:dyDescent="0.3">
      <c r="B49" s="63" t="s">
        <v>75</v>
      </c>
      <c r="C49" s="30" t="s">
        <v>60</v>
      </c>
      <c r="D49" s="30" t="s">
        <v>97</v>
      </c>
      <c r="E49" s="30" t="s">
        <v>92</v>
      </c>
      <c r="F49" s="30" t="s">
        <v>93</v>
      </c>
      <c r="G49" s="47" t="s">
        <v>85</v>
      </c>
    </row>
    <row r="50" spans="2:11" x14ac:dyDescent="0.3">
      <c r="B50" s="27" t="s">
        <v>304</v>
      </c>
      <c r="C50" s="30">
        <v>6</v>
      </c>
      <c r="D50" s="22">
        <f>+IF(B50="","",INDEX(F_PRESTACIONAL,MATCH(B50,L_PERSONAL,)))</f>
        <v>1.6352</v>
      </c>
      <c r="E50" s="23">
        <f>+IF(B50="","",INDEX(V_H_MANODEOBRA,MATCH(B50,L_PERSONAL,0)))</f>
        <v>24658.815999999999</v>
      </c>
      <c r="F50" s="3">
        <f>+$G$20</f>
        <v>18.319999999999997</v>
      </c>
      <c r="G50" s="26">
        <f>+IF(C50="","",(E50*C50)/F50)</f>
        <v>8076.0314410480369</v>
      </c>
      <c r="I50" t="s">
        <v>575</v>
      </c>
      <c r="J50" t="s">
        <v>576</v>
      </c>
      <c r="K50" t="s">
        <v>577</v>
      </c>
    </row>
    <row r="51" spans="2:11" x14ac:dyDescent="0.3">
      <c r="B51" s="27" t="s">
        <v>305</v>
      </c>
      <c r="C51" s="30">
        <v>6</v>
      </c>
      <c r="D51" s="22">
        <f>+IF(B51="","",INDEX(F_PRESTACIONAL,MATCH(B51,L_PERSONAL,)))</f>
        <v>2.2351999999999999</v>
      </c>
      <c r="E51" s="23">
        <f>+IF(B51="","",INDEX(V_H_MANODEOBRA,MATCH(B51,L_PERSONAL,0)))</f>
        <v>50800</v>
      </c>
      <c r="F51" s="3">
        <f>+$G$20</f>
        <v>18.319999999999997</v>
      </c>
      <c r="G51" s="26">
        <f>+IF(C51="","",(E51*C51)/F51)</f>
        <v>16637.55458515284</v>
      </c>
      <c r="I51">
        <v>27000</v>
      </c>
      <c r="J51">
        <v>35000</v>
      </c>
      <c r="K51">
        <f>86000*1.3</f>
        <v>111800</v>
      </c>
    </row>
    <row r="52" spans="2:11" x14ac:dyDescent="0.3">
      <c r="B52" s="27" t="s">
        <v>298</v>
      </c>
      <c r="C52" s="30">
        <v>1</v>
      </c>
      <c r="D52" s="22">
        <f>+IF(B52="","",INDEX(F_PRESTACIONAL,MATCH(B52,L_PERSONAL,)))</f>
        <v>1.6352</v>
      </c>
      <c r="E52" s="23">
        <f>+IF(B52="","",INDEX(V_H_MANODEOBRA,MATCH(B52,L_PERSONAL,0)))</f>
        <v>40136.727272727272</v>
      </c>
      <c r="F52" s="3">
        <f>+$G$20</f>
        <v>18.319999999999997</v>
      </c>
      <c r="G52" s="26">
        <f>+IF(C52="","",(E52*C52)/F52)</f>
        <v>2190.8693926161177</v>
      </c>
    </row>
    <row r="53" spans="2:11" x14ac:dyDescent="0.3">
      <c r="B53" s="27" t="s">
        <v>299</v>
      </c>
      <c r="C53" s="30">
        <v>1</v>
      </c>
      <c r="D53" s="22">
        <f>+IF(B53="","",INDEX(F_PRESTACIONAL,MATCH(B53,L_PERSONAL,)))</f>
        <v>1.6352</v>
      </c>
      <c r="E53" s="23">
        <f>+IF(B53="","",INDEX(V_H_MANODEOBRA,MATCH(B53,L_PERSONAL,0)))</f>
        <v>22298.18181818182</v>
      </c>
      <c r="F53" s="3">
        <f>+$G$20</f>
        <v>18.319999999999997</v>
      </c>
      <c r="G53" s="26">
        <f>+IF(C53="","",(E53*C53)/F53)</f>
        <v>1217.14966256451</v>
      </c>
    </row>
    <row r="54" spans="2:11" x14ac:dyDescent="0.3">
      <c r="B54" s="27"/>
      <c r="C54" s="30"/>
      <c r="D54" s="22" t="str">
        <f>+IF(B54="","",INDEX(F_PRESTACIONAL,MATCH(B54,L_PERSONAL,)))</f>
        <v/>
      </c>
      <c r="E54" s="23" t="str">
        <f>+IF(B54="","",INDEX(V_H_MANODEOBRA,MATCH(B54,L_PERSONAL,0)))</f>
        <v/>
      </c>
      <c r="F54" s="3">
        <f>+$G$20</f>
        <v>18.319999999999997</v>
      </c>
      <c r="G54" s="26" t="str">
        <f>+IF(C54="","",(E54*C54)/F54)</f>
        <v/>
      </c>
    </row>
    <row r="55" spans="2:11" x14ac:dyDescent="0.3">
      <c r="B55" s="9"/>
      <c r="G55" s="26">
        <f>SUM(G50:G54)</f>
        <v>28121.605081381505</v>
      </c>
    </row>
    <row r="56" spans="2:11" ht="17.25" thickBot="1" x14ac:dyDescent="0.35">
      <c r="B56" s="9"/>
      <c r="G56" s="11"/>
    </row>
    <row r="57" spans="2:11" ht="17.25" thickBot="1" x14ac:dyDescent="0.35">
      <c r="B57" s="610" t="s">
        <v>98</v>
      </c>
      <c r="C57" s="611"/>
      <c r="D57" s="611"/>
      <c r="E57" s="611"/>
      <c r="F57" s="612"/>
      <c r="G57" s="66">
        <f>+G55+G47+G39+G28</f>
        <v>134324.18745533942</v>
      </c>
    </row>
    <row r="58" spans="2:11" x14ac:dyDescent="0.3">
      <c r="B58" s="9"/>
      <c r="G58" s="11"/>
    </row>
    <row r="59" spans="2:11" x14ac:dyDescent="0.3">
      <c r="B59" s="52" t="s">
        <v>122</v>
      </c>
      <c r="G59" s="11"/>
    </row>
    <row r="60" spans="2:11" x14ac:dyDescent="0.3">
      <c r="B60" s="613" t="s">
        <v>99</v>
      </c>
      <c r="C60" s="614"/>
      <c r="D60" s="614"/>
      <c r="E60" s="614"/>
      <c r="F60" s="22">
        <f>+ADMINISTRACION</f>
        <v>0.12</v>
      </c>
      <c r="G60" s="26">
        <f>+$G$57*F60</f>
        <v>16118.90249464073</v>
      </c>
    </row>
    <row r="61" spans="2:11" x14ac:dyDescent="0.3">
      <c r="B61" s="613" t="s">
        <v>86</v>
      </c>
      <c r="C61" s="614"/>
      <c r="D61" s="614"/>
      <c r="E61" s="614"/>
      <c r="F61" s="22">
        <f>+IMPREVISTOS</f>
        <v>0.03</v>
      </c>
      <c r="G61" s="26">
        <f>+$G$57*F61</f>
        <v>4029.7256236601825</v>
      </c>
    </row>
    <row r="62" spans="2:11" x14ac:dyDescent="0.3">
      <c r="B62" s="613" t="s">
        <v>87</v>
      </c>
      <c r="C62" s="614"/>
      <c r="D62" s="614"/>
      <c r="E62" s="614"/>
      <c r="F62" s="22">
        <f>+UTILIDAD</f>
        <v>0.05</v>
      </c>
      <c r="G62" s="26">
        <f>+$G$57*F62</f>
        <v>6716.2093727669708</v>
      </c>
    </row>
    <row r="63" spans="2:11" x14ac:dyDescent="0.3">
      <c r="B63" s="596" t="s">
        <v>100</v>
      </c>
      <c r="C63" s="597"/>
      <c r="D63" s="597"/>
      <c r="E63" s="597"/>
      <c r="F63" s="597"/>
      <c r="G63" s="53">
        <f>SUM(G60:G62)</f>
        <v>26864.837491067883</v>
      </c>
    </row>
    <row r="64" spans="2:11" ht="17.25" thickBot="1" x14ac:dyDescent="0.35">
      <c r="B64" s="9"/>
      <c r="G64" s="44"/>
    </row>
    <row r="65" spans="2:7" ht="17.25" thickBot="1" x14ac:dyDescent="0.35">
      <c r="B65" s="598" t="s">
        <v>101</v>
      </c>
      <c r="C65" s="599"/>
      <c r="D65" s="599"/>
      <c r="E65" s="599"/>
      <c r="F65" s="600"/>
      <c r="G65" s="65">
        <f>+G63+G57</f>
        <v>161189.0249464073</v>
      </c>
    </row>
    <row r="66" spans="2:7" x14ac:dyDescent="0.3">
      <c r="B66" s="6"/>
      <c r="C66" s="7"/>
      <c r="D66" s="7"/>
      <c r="E66" s="7"/>
      <c r="F66" s="7"/>
      <c r="G66" s="8"/>
    </row>
    <row r="67" spans="2:7" x14ac:dyDescent="0.3">
      <c r="B67" s="9"/>
      <c r="G67" s="11"/>
    </row>
    <row r="68" spans="2:7" x14ac:dyDescent="0.3">
      <c r="B68" s="69" t="s">
        <v>123</v>
      </c>
      <c r="C68" s="67"/>
      <c r="D68" s="67"/>
      <c r="E68" s="67"/>
      <c r="F68" s="67"/>
      <c r="G68" s="70"/>
    </row>
    <row r="69" spans="2:7" x14ac:dyDescent="0.3">
      <c r="B69" s="71"/>
      <c r="C69" s="67"/>
      <c r="D69" s="67"/>
      <c r="E69" s="67"/>
      <c r="F69" s="67"/>
      <c r="G69" s="70"/>
    </row>
    <row r="70" spans="2:7" x14ac:dyDescent="0.3">
      <c r="B70" s="72"/>
      <c r="C70" s="68"/>
      <c r="D70" s="68"/>
      <c r="E70" s="68"/>
      <c r="F70" s="68"/>
      <c r="G70" s="73"/>
    </row>
    <row r="71" spans="2:7" x14ac:dyDescent="0.3">
      <c r="B71" s="71"/>
      <c r="C71" s="67"/>
      <c r="D71" s="67"/>
      <c r="E71" s="67"/>
      <c r="F71" s="67"/>
      <c r="G71" s="70"/>
    </row>
    <row r="72" spans="2:7" ht="17.25" thickBot="1" x14ac:dyDescent="0.35">
      <c r="B72" s="15"/>
      <c r="C72" s="13"/>
      <c r="D72" s="13"/>
      <c r="E72" s="13"/>
      <c r="F72" s="13"/>
      <c r="G72" s="14"/>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count="5">
    <dataValidation type="list" allowBlank="1" showInputMessage="1" showErrorMessage="1" sqref="E102" xr:uid="{E0ACA323-2DDA-495F-B1D1-290283B67A8C}">
      <formula1>$A$103:$A$105</formula1>
    </dataValidation>
    <dataValidation type="list" allowBlank="1" showInputMessage="1" showErrorMessage="1" sqref="B13" xr:uid="{F18CF92C-063E-4E15-A29A-6CA2188E40BF}">
      <formula1>ITEM</formula1>
    </dataValidation>
    <dataValidation type="list" allowBlank="1" showInputMessage="1" showErrorMessage="1" sqref="B50:B54" xr:uid="{557E8F61-D179-4670-8A59-8DCAB068C73A}">
      <formula1>L_PERSONAL</formula1>
    </dataValidation>
    <dataValidation type="list" allowBlank="1" showInputMessage="1" showErrorMessage="1" sqref="B31:B38" xr:uid="{1D827D96-AB26-407A-AAA6-1337EBF11B3D}">
      <formula1>L_MATERIALES</formula1>
    </dataValidation>
    <dataValidation type="list" allowBlank="1" showInputMessage="1" showErrorMessage="1" sqref="B23:B27 B42:B46" xr:uid="{EA83A6C8-6985-486B-A173-7E2566AD83C6}">
      <formula1>LISTA_MAQUINARIA</formula1>
    </dataValidation>
  </dataValidations>
  <pageMargins left="0.7" right="0.7" top="0.75" bottom="0.75" header="0.3" footer="0.3"/>
  <pageSetup scale="54" orientation="portrait" r:id="rId1"/>
  <rowBreaks count="1" manualBreakCount="1">
    <brk id="78" max="16383" man="1"/>
  </rowBreaks>
  <colBreaks count="1" manualBreakCount="1">
    <brk id="7" max="1048575" man="1"/>
  </colBreaks>
  <drawing r:id="rId2"/>
  <tableParts count="1">
    <tablePart r:id="rId3"/>
  </tablePart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390D13-C9BD-43A3-AA98-923D0C806140}">
  <sheetPr codeName="Hoja63"/>
  <dimension ref="A1:P105"/>
  <sheetViews>
    <sheetView showGridLines="0" view="pageBreakPreview" topLeftCell="A5" zoomScale="60" zoomScaleNormal="63" workbookViewId="0">
      <selection activeCell="H21" sqref="H21"/>
    </sheetView>
  </sheetViews>
  <sheetFormatPr defaultColWidth="11" defaultRowHeight="16.5" x14ac:dyDescent="0.3"/>
  <cols>
    <col min="2" max="2" width="43.375" bestFit="1" customWidth="1"/>
    <col min="3" max="3" width="19.375" customWidth="1"/>
    <col min="4" max="4" width="14" customWidth="1"/>
    <col min="5" max="5" width="17.375" bestFit="1" customWidth="1"/>
    <col min="6" max="6" width="22.625" bestFit="1" customWidth="1"/>
    <col min="7" max="7" width="23.625" customWidth="1"/>
    <col min="9" max="9" width="14" bestFit="1" customWidth="1"/>
    <col min="10"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52</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18" t="str">
        <f>+IF($B$13="","",INDEX(DESCRIP_ITEM,MATCH($B$13,ITEM,0)))</f>
        <v>suminsitro e Instalación de latiguillo de 0,10m de cable de cobre Aislado verde No. 6 AWG con dos terminales de ojo estañado para puesta a tierra, con certificación RETIE. con tornillo , tuerca, arandela plana y arandela de presión  (dos juegos por latiguillo) para equipotencialización de módulos.</v>
      </c>
      <c r="C16" s="619"/>
      <c r="D16" s="619"/>
      <c r="E16" s="619"/>
      <c r="F16" s="619"/>
      <c r="G16" s="620"/>
    </row>
    <row r="17" spans="2:16" ht="44.25" customHeight="1" thickBot="1" x14ac:dyDescent="0.35">
      <c r="B17" s="621"/>
      <c r="C17" s="622"/>
      <c r="D17" s="622"/>
      <c r="E17" s="622"/>
      <c r="F17" s="622"/>
      <c r="G17" s="623"/>
    </row>
    <row r="18" spans="2:16" ht="17.25" thickBot="1" x14ac:dyDescent="0.35">
      <c r="B18" s="591"/>
      <c r="C18" s="579"/>
      <c r="D18" s="579"/>
      <c r="E18" s="579"/>
      <c r="G18" s="11"/>
    </row>
    <row r="19" spans="2:16" ht="17.25" thickBot="1" x14ac:dyDescent="0.35">
      <c r="B19" s="592"/>
      <c r="C19" s="593"/>
      <c r="D19" s="593"/>
      <c r="E19" s="593"/>
      <c r="F19" s="54" t="s">
        <v>89</v>
      </c>
      <c r="G19" s="25" t="str">
        <f>+IF(B13="","",INDEX(U_ITEM,MATCH(B13,ITEM,0)))</f>
        <v>UN</v>
      </c>
    </row>
    <row r="20" spans="2:16" ht="17.25" thickBot="1" x14ac:dyDescent="0.35">
      <c r="B20" s="592"/>
      <c r="C20" s="593"/>
      <c r="D20" s="593"/>
      <c r="E20" s="593"/>
      <c r="F20" s="55" t="s">
        <v>90</v>
      </c>
      <c r="G20" s="56">
        <f>1200/8</f>
        <v>150</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c r="C23" s="3" t="str">
        <f>+IF(B23="","",INDEX(U_MAQUINARIA,MATCH(B23,LISTA_MAQUINARIA,0)))</f>
        <v/>
      </c>
      <c r="D23" s="30"/>
      <c r="E23" s="23" t="str">
        <f>+IF(B23="","",INDEX(V_MAQUINARIA,MATCH(B23,LISTA_MAQUINARIA,0)))</f>
        <v/>
      </c>
      <c r="F23" s="3">
        <f>$G$20</f>
        <v>150</v>
      </c>
      <c r="G23" s="26" t="str">
        <f>+IF(B23="","",(D23*E23)/F23)</f>
        <v/>
      </c>
      <c r="K23" s="9"/>
      <c r="L23" s="23" t="str">
        <f>IF(B23="","",INDEX(V_COMBUSTIBLE_H,MATCH(B23,LISTA_MAQUINARIA,0)))</f>
        <v/>
      </c>
      <c r="M23" s="23" t="str">
        <f>+IF(L23="","",(L23*D23)/F23)</f>
        <v/>
      </c>
      <c r="N23" s="23" t="str">
        <f>IF(G23="","",G23-M23)</f>
        <v/>
      </c>
      <c r="P23" s="11"/>
    </row>
    <row r="24" spans="2:16" x14ac:dyDescent="0.3">
      <c r="B24" s="27"/>
      <c r="C24" s="3" t="str">
        <f>+IF(B24="","",INDEX(U_MAQUINARIA,MATCH(B24,LISTA_MAQUINARIA,0)))</f>
        <v/>
      </c>
      <c r="D24" s="30"/>
      <c r="E24" s="23" t="str">
        <f>+IF(B24="","",INDEX(V_MAQUINARIA,MATCH(B24,LISTA_MAQUINARIA,0)))</f>
        <v/>
      </c>
      <c r="F24" s="3">
        <f>$G$20</f>
        <v>150</v>
      </c>
      <c r="G24" s="26" t="str">
        <f>+IF(B24="","",(D24*E24)/F24)</f>
        <v/>
      </c>
      <c r="K24" s="9"/>
      <c r="L24" s="3" t="str">
        <f>IF(B24="","",INDEX(V_COMBUSTIBLE_H,MATCH(B24,LISTA_MAQUINARIA,0)))</f>
        <v/>
      </c>
      <c r="M24" s="3" t="str">
        <f>+IF(L24="","",(L24*D24)/F24)</f>
        <v/>
      </c>
      <c r="N24" s="3" t="str">
        <f>IF(G24="","",G24-M24)</f>
        <v/>
      </c>
      <c r="P24" s="11"/>
    </row>
    <row r="25" spans="2:16" x14ac:dyDescent="0.3">
      <c r="B25" s="27"/>
      <c r="C25" s="3" t="str">
        <f>+IF(B25="","",INDEX(U_MAQUINARIA,MATCH(B25,LISTA_MAQUINARIA,0)))</f>
        <v/>
      </c>
      <c r="D25" s="30"/>
      <c r="E25" s="23" t="str">
        <f>+IF(B25="","",INDEX(V_MAQUINARIA,MATCH(B25,LISTA_MAQUINARIA,0)))</f>
        <v/>
      </c>
      <c r="F25" s="3">
        <f>$G$20</f>
        <v>150</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150</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150</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0</v>
      </c>
      <c r="K28" s="9"/>
      <c r="M28" s="24">
        <f>SUM(M23:M27)</f>
        <v>0</v>
      </c>
      <c r="N28" s="24">
        <f>SUM(N23:N27)</f>
        <v>0</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t="s">
        <v>560</v>
      </c>
      <c r="C31" s="3" t="str">
        <f t="shared" ref="C31:C38" si="0">+IF(B31="","",INDEX(U_MATERIAL,MATCH(B31,L_MATERIALES,0)))</f>
        <v>ML</v>
      </c>
      <c r="D31" s="30">
        <v>0.11</v>
      </c>
      <c r="E31" s="23">
        <f t="shared" ref="E31:E38" si="1">+IF(B31="","",INDEX(V_UNITARIOMATERIAL,MATCH(B31,L_MATERIALES,0)))</f>
        <v>11700</v>
      </c>
      <c r="F31" s="30">
        <v>1</v>
      </c>
      <c r="G31" s="26">
        <f>IF(D31="","",(E31*D31)/F31)</f>
        <v>1287</v>
      </c>
      <c r="K31" s="9"/>
      <c r="L31" t="str">
        <f>+IF(B31="","",B31)</f>
        <v>Cable de cobre aislado verde no 6 AWG---</v>
      </c>
      <c r="M31">
        <f t="shared" ref="M31:M38" si="2">IF(D31="","",(D31/F31)*INDEX(CANT_PROYECTO,MATCH($B$13,ITEM,0)))</f>
        <v>21355.4</v>
      </c>
      <c r="N31" s="1"/>
      <c r="P31" s="11"/>
    </row>
    <row r="32" spans="2:16" x14ac:dyDescent="0.3">
      <c r="B32" s="27" t="s">
        <v>361</v>
      </c>
      <c r="C32" s="3" t="str">
        <f t="shared" si="0"/>
        <v>UND</v>
      </c>
      <c r="D32" s="30">
        <v>1</v>
      </c>
      <c r="E32" s="23">
        <f t="shared" si="1"/>
        <v>340000</v>
      </c>
      <c r="F32" s="30">
        <v>5000</v>
      </c>
      <c r="G32" s="26">
        <f t="shared" ref="G32:G38" si="3">IF(D32="","",(E32*D32)/F32)</f>
        <v>68</v>
      </c>
      <c r="K32" s="9"/>
      <c r="L32" t="str">
        <f t="shared" ref="L32:L38" si="4">+IF(B32="","",B32)</f>
        <v>HERRAMIENTA MENOR---</v>
      </c>
      <c r="M32">
        <f t="shared" si="2"/>
        <v>38.828000000000003</v>
      </c>
      <c r="N32" s="1"/>
      <c r="P32" s="11"/>
    </row>
    <row r="33" spans="2:16" x14ac:dyDescent="0.3">
      <c r="B33" s="27" t="s">
        <v>584</v>
      </c>
      <c r="C33" s="3" t="str">
        <f t="shared" si="0"/>
        <v>und</v>
      </c>
      <c r="D33" s="30">
        <v>1</v>
      </c>
      <c r="E33" s="23">
        <f t="shared" si="1"/>
        <v>24133.272727272728</v>
      </c>
      <c r="F33" s="30">
        <v>1</v>
      </c>
      <c r="G33" s="26">
        <f t="shared" si="3"/>
        <v>24133.272727272728</v>
      </c>
      <c r="K33" s="9"/>
      <c r="L33" t="str">
        <f t="shared" si="4"/>
        <v>Latiguillo para panel 0.1m (Doble terminal)---</v>
      </c>
      <c r="M33">
        <f t="shared" si="2"/>
        <v>194140</v>
      </c>
      <c r="N33" s="1"/>
      <c r="P33" s="11"/>
    </row>
    <row r="34" spans="2:16" x14ac:dyDescent="0.3">
      <c r="B34" s="27"/>
      <c r="C34" s="3" t="str">
        <f t="shared" si="0"/>
        <v/>
      </c>
      <c r="D34" s="30"/>
      <c r="E34" s="23" t="str">
        <f t="shared" si="1"/>
        <v/>
      </c>
      <c r="F34" s="30"/>
      <c r="G34" s="26" t="str">
        <f t="shared" si="3"/>
        <v/>
      </c>
      <c r="K34" s="9"/>
      <c r="L34" t="str">
        <f t="shared" si="4"/>
        <v/>
      </c>
      <c r="M34" t="str">
        <f t="shared" si="2"/>
        <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25488.272727272728</v>
      </c>
      <c r="H39">
        <f>8*4</f>
        <v>32</v>
      </c>
      <c r="I39">
        <f>((H39*22)/30)/8</f>
        <v>2.9333333333333331</v>
      </c>
      <c r="K39" s="9"/>
      <c r="P39" s="11"/>
    </row>
    <row r="40" spans="2:16" ht="17.25" thickBot="1" x14ac:dyDescent="0.35">
      <c r="B40" s="62" t="s">
        <v>94</v>
      </c>
      <c r="G40" s="11"/>
      <c r="I40" s="294"/>
      <c r="K40" s="9"/>
      <c r="P40" s="11"/>
    </row>
    <row r="41" spans="2:16" ht="66" x14ac:dyDescent="0.3">
      <c r="B41" s="61" t="s">
        <v>75</v>
      </c>
      <c r="C41" s="33" t="s">
        <v>10</v>
      </c>
      <c r="D41" s="33" t="s">
        <v>60</v>
      </c>
      <c r="E41" s="33" t="s">
        <v>92</v>
      </c>
      <c r="F41" s="33" t="s">
        <v>93</v>
      </c>
      <c r="G41" s="51" t="s">
        <v>85</v>
      </c>
      <c r="I41" s="1">
        <f>E51/2</f>
        <v>12329.407999999999</v>
      </c>
      <c r="K41" s="9"/>
      <c r="L41" s="42" t="s">
        <v>109</v>
      </c>
      <c r="M41" s="42" t="s">
        <v>107</v>
      </c>
      <c r="N41" s="42" t="s">
        <v>108</v>
      </c>
      <c r="P41" s="11"/>
    </row>
    <row r="42" spans="2:16" x14ac:dyDescent="0.3">
      <c r="B42" s="27" t="s">
        <v>455</v>
      </c>
      <c r="C42" s="3">
        <f>+IF(B42="","",INDEX(U_MAQUINARIA,MATCH(B42,LISTA_MAQUINARIA,0)))</f>
        <v>0</v>
      </c>
      <c r="D42" s="30">
        <v>0.5</v>
      </c>
      <c r="E42" s="23">
        <f>+IF(B42="","",INDEX(V_MAQUINARIA,MATCH(B42,LISTA_MAQUINARIA,0)))</f>
        <v>101145.45454545454</v>
      </c>
      <c r="F42" s="3">
        <f>$G$20</f>
        <v>150</v>
      </c>
      <c r="G42" s="26">
        <f>IF(D42="","",(E42*D42)/F42)</f>
        <v>337.15151515151513</v>
      </c>
      <c r="I42" s="294">
        <f>I41/I39</f>
        <v>4203.2072727272725</v>
      </c>
      <c r="K42" s="9"/>
      <c r="L42" s="23">
        <f>IF(B42="","",INDEX(V_COMBUSTIBLE_H,MATCH(B42,LISTA_MAQUINARIA,0)))</f>
        <v>21600</v>
      </c>
      <c r="M42" s="23">
        <f>+IF(L42="","",(L42*D42)/F42)</f>
        <v>72</v>
      </c>
      <c r="N42" s="23">
        <f>IF(G42="","",G42-M42)</f>
        <v>265.15151515151513</v>
      </c>
      <c r="P42" s="11"/>
    </row>
    <row r="43" spans="2:16" x14ac:dyDescent="0.3">
      <c r="B43" s="27"/>
      <c r="C43" s="3" t="str">
        <f>+IF(B43="","",INDEX(U_MAQUINARIA,MATCH(B43,LISTA_MAQUINARIA,0)))</f>
        <v/>
      </c>
      <c r="D43" s="30"/>
      <c r="E43" s="23" t="str">
        <f>+IF(B43="","",INDEX(V_MAQUINARIA,MATCH(B43,LISTA_MAQUINARIA,0)))</f>
        <v/>
      </c>
      <c r="F43" s="3">
        <f>+$G$20</f>
        <v>150</v>
      </c>
      <c r="G43" s="26" t="str">
        <f>IF(D43="","",(E43*D43)/F43)</f>
        <v/>
      </c>
      <c r="I43" s="294">
        <f>2500000</f>
        <v>2500000</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150</v>
      </c>
      <c r="G44" s="26" t="str">
        <f>IF(D44="","",(E44*D44)/F44)</f>
        <v/>
      </c>
      <c r="I44" s="294">
        <f>I43/180</f>
        <v>13888.888888888889</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150</v>
      </c>
      <c r="G45" s="26" t="str">
        <f>IF(D45="","",(E45*D45)/F45)</f>
        <v/>
      </c>
      <c r="I45" s="294">
        <f>I44/I39</f>
        <v>4734.848484848485</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150</v>
      </c>
      <c r="G46" s="26" t="str">
        <f>IF(D46="","",(E46*D46)/F46)</f>
        <v/>
      </c>
      <c r="I46" s="294">
        <f>I45+G39</f>
        <v>30223.121212121212</v>
      </c>
      <c r="K46" s="9"/>
      <c r="L46" s="23" t="str">
        <f>IF(B46="","",INDEX(V_COMBUSTIBLE_H,MATCH(B46,LISTA_MAQUINARIA,0)))</f>
        <v/>
      </c>
      <c r="M46" s="23" t="str">
        <f>+IF(L46="","",(L46*D46)/F46)</f>
        <v/>
      </c>
      <c r="N46" s="23" t="str">
        <f>IF(G46="","",G46-M46)</f>
        <v/>
      </c>
      <c r="P46" s="11"/>
    </row>
    <row r="47" spans="2:16" ht="17.25" thickBot="1" x14ac:dyDescent="0.35">
      <c r="B47" s="9"/>
      <c r="G47" s="26">
        <f>SUM(G42:G46)</f>
        <v>337.15151515151513</v>
      </c>
      <c r="I47" s="294">
        <f>I46*1.5</f>
        <v>45334.681818181816</v>
      </c>
      <c r="K47" s="9"/>
      <c r="M47" s="24">
        <f>SUM(M42:M46)</f>
        <v>72</v>
      </c>
      <c r="N47" s="24">
        <f>SUM(N42:N46)</f>
        <v>265.15151515151513</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t="s">
        <v>298</v>
      </c>
      <c r="C50" s="30">
        <v>1</v>
      </c>
      <c r="D50" s="22">
        <f>+IF(B50="","",INDEX(F_PRESTACIONAL,MATCH(B50,L_PERSONAL,)))</f>
        <v>1.6352</v>
      </c>
      <c r="E50" s="23">
        <f>+IF(B50="","",INDEX(V_H_MANODEOBRA,MATCH(B50,L_PERSONAL,0)))</f>
        <v>40136.727272727272</v>
      </c>
      <c r="F50" s="3">
        <f>+$G$20</f>
        <v>150</v>
      </c>
      <c r="G50" s="26">
        <f>+IF(C50="","",(E50*C50)/F50)</f>
        <v>267.5781818181818</v>
      </c>
    </row>
    <row r="51" spans="2:7" x14ac:dyDescent="0.3">
      <c r="B51" s="27" t="s">
        <v>304</v>
      </c>
      <c r="C51" s="30">
        <v>8</v>
      </c>
      <c r="D51" s="22">
        <f>+IF(B51="","",INDEX(F_PRESTACIONAL,MATCH(B51,L_PERSONAL,)))</f>
        <v>1.6352</v>
      </c>
      <c r="E51" s="23">
        <f>+IF(B51="","",INDEX(V_H_MANODEOBRA,MATCH(B51,L_PERSONAL,0)))</f>
        <v>24658.815999999999</v>
      </c>
      <c r="F51" s="3">
        <f>+$G$20</f>
        <v>150</v>
      </c>
      <c r="G51" s="26">
        <f>+IF(C51="","",(E51*C51)/F51)</f>
        <v>1315.1368533333332</v>
      </c>
    </row>
    <row r="52" spans="2:7" x14ac:dyDescent="0.3">
      <c r="B52" s="27" t="s">
        <v>299</v>
      </c>
      <c r="C52" s="30">
        <v>0.5</v>
      </c>
      <c r="D52" s="22">
        <f>+IF(B52="","",INDEX(F_PRESTACIONAL,MATCH(B52,L_PERSONAL,)))</f>
        <v>1.6352</v>
      </c>
      <c r="E52" s="23">
        <f>+IF(B52="","",INDEX(V_H_MANODEOBRA,MATCH(B52,L_PERSONAL,0)))</f>
        <v>22298.18181818182</v>
      </c>
      <c r="F52" s="3">
        <f>+$G$20</f>
        <v>150</v>
      </c>
      <c r="G52" s="26">
        <f>+IF(C52="","",(E52*C52)/F52)</f>
        <v>74.327272727272728</v>
      </c>
    </row>
    <row r="53" spans="2:7" x14ac:dyDescent="0.3">
      <c r="B53" s="27"/>
      <c r="C53" s="30"/>
      <c r="D53" s="22" t="str">
        <f>+IF(B53="","",INDEX(F_PRESTACIONAL,MATCH(B53,L_PERSONAL,)))</f>
        <v/>
      </c>
      <c r="E53" s="23" t="str">
        <f>+IF(B53="","",INDEX(V_H_MANODEOBRA,MATCH(B53,L_PERSONAL,0)))</f>
        <v/>
      </c>
      <c r="F53" s="3">
        <f>+$G$20</f>
        <v>150</v>
      </c>
      <c r="G53" s="26" t="str">
        <f>+IF(C53="","",(E53*C53)/F53)</f>
        <v/>
      </c>
    </row>
    <row r="54" spans="2:7" x14ac:dyDescent="0.3">
      <c r="B54" s="27"/>
      <c r="C54" s="30"/>
      <c r="D54" s="22" t="str">
        <f>+IF(B54="","",INDEX(F_PRESTACIONAL,MATCH(B54,L_PERSONAL,)))</f>
        <v/>
      </c>
      <c r="E54" s="23" t="str">
        <f>+IF(B54="","",INDEX(V_H_MANODEOBRA,MATCH(B54,L_PERSONAL,0)))</f>
        <v/>
      </c>
      <c r="F54" s="3">
        <f>+$G$20</f>
        <v>150</v>
      </c>
      <c r="G54" s="26" t="str">
        <f>+IF(C54="","",(E54*C54)/F54)</f>
        <v/>
      </c>
    </row>
    <row r="55" spans="2:7" x14ac:dyDescent="0.3">
      <c r="B55" s="9"/>
      <c r="G55" s="26">
        <f>SUM(G50:G54)</f>
        <v>1657.0423078787876</v>
      </c>
    </row>
    <row r="56" spans="2:7" ht="17.25" thickBot="1" x14ac:dyDescent="0.35">
      <c r="B56" s="9"/>
      <c r="G56" s="11"/>
    </row>
    <row r="57" spans="2:7" ht="17.25" thickBot="1" x14ac:dyDescent="0.35">
      <c r="B57" s="610" t="s">
        <v>98</v>
      </c>
      <c r="C57" s="611"/>
      <c r="D57" s="611"/>
      <c r="E57" s="611"/>
      <c r="F57" s="612"/>
      <c r="G57" s="66">
        <f>+G55+G47+G39+G28</f>
        <v>27482.46655030303</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3297.8959860363634</v>
      </c>
    </row>
    <row r="61" spans="2:7" x14ac:dyDescent="0.3">
      <c r="B61" s="613" t="s">
        <v>86</v>
      </c>
      <c r="C61" s="614"/>
      <c r="D61" s="614"/>
      <c r="E61" s="614"/>
      <c r="F61" s="22">
        <f>+IMPREVISTOS</f>
        <v>0.03</v>
      </c>
      <c r="G61" s="26">
        <f>+$G$57*F61</f>
        <v>824.47399650909085</v>
      </c>
    </row>
    <row r="62" spans="2:7" x14ac:dyDescent="0.3">
      <c r="B62" s="613" t="s">
        <v>87</v>
      </c>
      <c r="C62" s="614"/>
      <c r="D62" s="614"/>
      <c r="E62" s="614"/>
      <c r="F62" s="22">
        <f>+UTILIDAD</f>
        <v>0.05</v>
      </c>
      <c r="G62" s="26">
        <f>+$G$57*F62</f>
        <v>1374.1233275151517</v>
      </c>
    </row>
    <row r="63" spans="2:7" x14ac:dyDescent="0.3">
      <c r="B63" s="596" t="s">
        <v>100</v>
      </c>
      <c r="C63" s="597"/>
      <c r="D63" s="597"/>
      <c r="E63" s="597"/>
      <c r="F63" s="597"/>
      <c r="G63" s="53">
        <f>SUM(G60:G62)</f>
        <v>5496.4933100606058</v>
      </c>
    </row>
    <row r="64" spans="2:7" ht="17.25" thickBot="1" x14ac:dyDescent="0.35">
      <c r="B64" s="9"/>
      <c r="G64" s="44"/>
    </row>
    <row r="65" spans="2:7" ht="17.25" thickBot="1" x14ac:dyDescent="0.35">
      <c r="B65" s="598" t="s">
        <v>101</v>
      </c>
      <c r="C65" s="599"/>
      <c r="D65" s="599"/>
      <c r="E65" s="599"/>
      <c r="F65" s="600"/>
      <c r="G65" s="65">
        <f>+G63+G57</f>
        <v>32978.959860363633</v>
      </c>
    </row>
    <row r="66" spans="2:7" x14ac:dyDescent="0.3">
      <c r="B66" s="6"/>
      <c r="C66" s="7"/>
      <c r="D66" s="7"/>
      <c r="E66" s="7"/>
      <c r="F66" s="7"/>
      <c r="G66" s="8"/>
    </row>
    <row r="67" spans="2:7" x14ac:dyDescent="0.3">
      <c r="B67" s="9"/>
      <c r="G67" s="11"/>
    </row>
    <row r="68" spans="2:7" x14ac:dyDescent="0.3">
      <c r="B68" s="69" t="s">
        <v>123</v>
      </c>
      <c r="C68" s="67"/>
      <c r="D68" s="67"/>
      <c r="E68" s="67"/>
      <c r="F68" s="67"/>
      <c r="G68" s="70"/>
    </row>
    <row r="69" spans="2:7" x14ac:dyDescent="0.3">
      <c r="B69" s="71"/>
      <c r="C69" s="67"/>
      <c r="D69" s="67"/>
      <c r="E69" s="67"/>
      <c r="F69" s="67"/>
      <c r="G69" s="70"/>
    </row>
    <row r="70" spans="2:7" x14ac:dyDescent="0.3">
      <c r="B70" s="72"/>
      <c r="C70" s="68"/>
      <c r="D70" s="68"/>
      <c r="E70" s="68"/>
      <c r="F70" s="68"/>
      <c r="G70" s="73"/>
    </row>
    <row r="71" spans="2:7" x14ac:dyDescent="0.3">
      <c r="B71" s="71"/>
      <c r="C71" s="67"/>
      <c r="D71" s="67"/>
      <c r="E71" s="67"/>
      <c r="F71" s="67"/>
      <c r="G71" s="70"/>
    </row>
    <row r="72" spans="2:7" ht="17.25" thickBot="1" x14ac:dyDescent="0.35">
      <c r="B72" s="15"/>
      <c r="C72" s="13"/>
      <c r="D72" s="13"/>
      <c r="E72" s="13"/>
      <c r="F72" s="13"/>
      <c r="G72" s="14"/>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count="5">
    <dataValidation type="list" allowBlank="1" showInputMessage="1" showErrorMessage="1" sqref="E102" xr:uid="{7C83BF4E-B4AB-436B-B038-FCA1F6A8E617}">
      <formula1>$A$103:$A$105</formula1>
    </dataValidation>
    <dataValidation type="list" allowBlank="1" showInputMessage="1" showErrorMessage="1" sqref="B13" xr:uid="{6DA197E5-F42D-4043-A64F-A2A35395F086}">
      <formula1>ITEM</formula1>
    </dataValidation>
    <dataValidation type="list" allowBlank="1" showInputMessage="1" showErrorMessage="1" sqref="B50:B54" xr:uid="{9A40ABF5-3250-4D92-829C-010B33746C0D}">
      <formula1>L_PERSONAL</formula1>
    </dataValidation>
    <dataValidation type="list" allowBlank="1" showInputMessage="1" showErrorMessage="1" sqref="B31:B38" xr:uid="{6CCA295F-3887-47C5-9F6F-5C8742A3A5A1}">
      <formula1>L_MATERIALES</formula1>
    </dataValidation>
    <dataValidation type="list" allowBlank="1" showInputMessage="1" showErrorMessage="1" sqref="B23:B27 B42:B46" xr:uid="{88916E1B-B936-4BD2-A2DB-C5D009A6218D}">
      <formula1>LISTA_MAQUINARIA</formula1>
    </dataValidation>
  </dataValidations>
  <pageMargins left="0.7" right="0.7" top="0.75" bottom="0.75" header="0.3" footer="0.3"/>
  <pageSetup scale="54" orientation="portrait" r:id="rId1"/>
  <rowBreaks count="1" manualBreakCount="1">
    <brk id="78" max="16383" man="1"/>
  </rowBreaks>
  <colBreaks count="1" manualBreakCount="1">
    <brk id="7" max="1048575" man="1"/>
  </colBreaks>
  <drawing r:id="rId2"/>
  <tableParts count="1">
    <tablePart r:id="rId3"/>
  </tablePart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5C4F8-69AF-404C-A51F-E514A43717BF}">
  <sheetPr codeName="Hoja64"/>
  <dimension ref="A1:P105"/>
  <sheetViews>
    <sheetView showGridLines="0" view="pageBreakPreview" zoomScale="60" zoomScaleNormal="48" workbookViewId="0">
      <selection activeCell="B1" sqref="B1:G78"/>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53</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18" t="str">
        <f>+IF($B$13="","",INDEX(DESCRIP_ITEM,MATCH($B$13,ITEM,0)))</f>
        <v xml:space="preserve">Suministro e instalacion de tuberia condcuit PVC - DB para ductos de cruces viales de  (4") para zanjas BT. Incluye el empate y aplicación de soldadura para PVC. Sujección de los tubos en la zanja para conservar simetrias, campanas a lado y lado del cruce vial. </v>
      </c>
      <c r="C16" s="619"/>
      <c r="D16" s="619"/>
      <c r="E16" s="619"/>
      <c r="F16" s="619"/>
      <c r="G16" s="620"/>
    </row>
    <row r="17" spans="2:16" ht="44.25" customHeight="1" thickBot="1" x14ac:dyDescent="0.35">
      <c r="B17" s="621"/>
      <c r="C17" s="622"/>
      <c r="D17" s="622"/>
      <c r="E17" s="622"/>
      <c r="F17" s="622"/>
      <c r="G17" s="623"/>
    </row>
    <row r="18" spans="2:16" ht="17.25" thickBot="1" x14ac:dyDescent="0.35">
      <c r="B18" s="591"/>
      <c r="C18" s="579"/>
      <c r="D18" s="579"/>
      <c r="E18" s="579"/>
      <c r="G18" s="11"/>
    </row>
    <row r="19" spans="2:16" ht="17.25" thickBot="1" x14ac:dyDescent="0.35">
      <c r="B19" s="592"/>
      <c r="C19" s="593"/>
      <c r="D19" s="593"/>
      <c r="E19" s="593"/>
      <c r="F19" s="54" t="s">
        <v>89</v>
      </c>
      <c r="G19" s="25" t="str">
        <f>+IF(B13="","",INDEX(U_ITEM,MATCH(B13,ITEM,0)))</f>
        <v>ML</v>
      </c>
    </row>
    <row r="20" spans="2:16" ht="17.25" thickBot="1" x14ac:dyDescent="0.35">
      <c r="B20" s="592"/>
      <c r="C20" s="593"/>
      <c r="D20" s="593"/>
      <c r="E20" s="593"/>
      <c r="F20" s="55" t="s">
        <v>90</v>
      </c>
      <c r="G20" s="56">
        <v>100</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t="s">
        <v>354</v>
      </c>
      <c r="C23" s="3" t="str">
        <f>+IF(B23="","",INDEX(U_MAQUINARIA,MATCH(B23,LISTA_MAQUINARIA,0)))</f>
        <v>VALOR / HORA</v>
      </c>
      <c r="D23" s="30">
        <v>1</v>
      </c>
      <c r="E23" s="23">
        <f>+IF(B23="","",INDEX(V_MAQUINARIA,MATCH(B23,LISTA_MAQUINARIA,0)))</f>
        <v>89781.818181818177</v>
      </c>
      <c r="F23" s="3">
        <f>$G$20</f>
        <v>100</v>
      </c>
      <c r="G23" s="26">
        <f>+IF(B23="","",(D23*E23)/F23)</f>
        <v>897.81818181818176</v>
      </c>
      <c r="K23" s="9"/>
      <c r="L23" s="23">
        <f>IF(B23="","",INDEX(V_COMBUSTIBLE_H,MATCH(B23,LISTA_MAQUINARIA,0)))</f>
        <v>21600</v>
      </c>
      <c r="M23" s="23">
        <f>+IF(L23="","",(L23*D23)/F23)</f>
        <v>216</v>
      </c>
      <c r="N23" s="23">
        <f>IF(G23="","",G23-M23)</f>
        <v>681.81818181818176</v>
      </c>
      <c r="P23" s="11"/>
    </row>
    <row r="24" spans="2:16" x14ac:dyDescent="0.3">
      <c r="B24" s="27"/>
      <c r="C24" s="3" t="str">
        <f>+IF(B24="","",INDEX(U_MAQUINARIA,MATCH(B24,LISTA_MAQUINARIA,0)))</f>
        <v/>
      </c>
      <c r="D24" s="30"/>
      <c r="E24" s="23" t="str">
        <f>+IF(B24="","",INDEX(V_MAQUINARIA,MATCH(B24,LISTA_MAQUINARIA,0)))</f>
        <v/>
      </c>
      <c r="F24" s="3">
        <f>$G$20</f>
        <v>100</v>
      </c>
      <c r="G24" s="26" t="str">
        <f>+IF(B24="","",(D24*E24)/F24)</f>
        <v/>
      </c>
      <c r="K24" s="9"/>
      <c r="L24" s="3" t="str">
        <f>IF(B24="","",INDEX(V_COMBUSTIBLE_H,MATCH(B24,LISTA_MAQUINARIA,0)))</f>
        <v/>
      </c>
      <c r="M24" s="3" t="str">
        <f>+IF(L24="","",(L24*D24)/F24)</f>
        <v/>
      </c>
      <c r="N24" s="3" t="str">
        <f>IF(G24="","",G24-M24)</f>
        <v/>
      </c>
      <c r="P24" s="11"/>
    </row>
    <row r="25" spans="2:16" x14ac:dyDescent="0.3">
      <c r="B25" s="27"/>
      <c r="C25" s="3" t="str">
        <f>+IF(B25="","",INDEX(U_MAQUINARIA,MATCH(B25,LISTA_MAQUINARIA,0)))</f>
        <v/>
      </c>
      <c r="D25" s="30"/>
      <c r="E25" s="23" t="str">
        <f>+IF(B25="","",INDEX(V_MAQUINARIA,MATCH(B25,LISTA_MAQUINARIA,0)))</f>
        <v/>
      </c>
      <c r="F25" s="3">
        <f>$G$20</f>
        <v>100</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100</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100</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897.81818181818176</v>
      </c>
      <c r="K28" s="9"/>
      <c r="M28" s="24">
        <f>SUM(M23:M27)</f>
        <v>216</v>
      </c>
      <c r="N28" s="24">
        <f>SUM(N23:N27)</f>
        <v>681.81818181818176</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t="s">
        <v>361</v>
      </c>
      <c r="C31" s="3" t="str">
        <f t="shared" ref="C31:C38" si="0">+IF(B31="","",INDEX(U_MATERIAL,MATCH(B31,L_MATERIALES,0)))</f>
        <v>UND</v>
      </c>
      <c r="D31" s="30">
        <v>1</v>
      </c>
      <c r="E31" s="23">
        <f t="shared" ref="E31:E38" si="1">+IF(B31="","",INDEX(V_UNITARIOMATERIAL,MATCH(B31,L_MATERIALES,0)))</f>
        <v>340000</v>
      </c>
      <c r="F31" s="30">
        <v>1000</v>
      </c>
      <c r="G31" s="26">
        <f>IF(D31="","",(E31*D31)/F31)</f>
        <v>340</v>
      </c>
      <c r="K31" s="9"/>
      <c r="L31" t="str">
        <f>+IF(B31="","",B31)</f>
        <v>HERRAMIENTA MENOR---</v>
      </c>
      <c r="M31">
        <f t="shared" ref="M31:M38" si="2">IF(D31="","",(D31/F31)*INDEX(CANT_PROYECTO,MATCH($B$13,ITEM,0)))</f>
        <v>0.224</v>
      </c>
      <c r="N31" s="1"/>
      <c r="P31" s="11"/>
    </row>
    <row r="32" spans="2:16" x14ac:dyDescent="0.3">
      <c r="B32" s="27" t="s">
        <v>569</v>
      </c>
      <c r="C32" s="3" t="str">
        <f t="shared" si="0"/>
        <v>ML</v>
      </c>
      <c r="D32" s="30">
        <v>1</v>
      </c>
      <c r="E32" s="23">
        <f t="shared" si="1"/>
        <v>32500</v>
      </c>
      <c r="F32" s="30">
        <v>1</v>
      </c>
      <c r="G32" s="26">
        <f t="shared" ref="G32:G38" si="3">IF(D32="","",(E32*D32)/F32)</f>
        <v>32500</v>
      </c>
      <c r="K32" s="9"/>
      <c r="L32" t="str">
        <f t="shared" ref="L32:L38" si="4">+IF(B32="","",B32)</f>
        <v>Tubo PVC 4" DB---</v>
      </c>
      <c r="M32">
        <f t="shared" si="2"/>
        <v>224</v>
      </c>
      <c r="N32" s="1"/>
      <c r="P32" s="11"/>
    </row>
    <row r="33" spans="2:16" x14ac:dyDescent="0.3">
      <c r="B33" s="27"/>
      <c r="C33" s="3" t="str">
        <f t="shared" si="0"/>
        <v/>
      </c>
      <c r="D33" s="30"/>
      <c r="E33" s="23" t="str">
        <f t="shared" si="1"/>
        <v/>
      </c>
      <c r="F33" s="30"/>
      <c r="G33" s="26" t="str">
        <f t="shared" si="3"/>
        <v/>
      </c>
      <c r="K33" s="9"/>
      <c r="L33" t="str">
        <f t="shared" si="4"/>
        <v/>
      </c>
      <c r="M33" t="str">
        <f t="shared" si="2"/>
        <v/>
      </c>
      <c r="N33" s="1"/>
      <c r="P33" s="11"/>
    </row>
    <row r="34" spans="2:16" x14ac:dyDescent="0.3">
      <c r="B34" s="27"/>
      <c r="C34" s="3" t="str">
        <f t="shared" si="0"/>
        <v/>
      </c>
      <c r="D34" s="30"/>
      <c r="E34" s="23" t="str">
        <f t="shared" si="1"/>
        <v/>
      </c>
      <c r="F34" s="30"/>
      <c r="G34" s="26" t="str">
        <f t="shared" si="3"/>
        <v/>
      </c>
      <c r="K34" s="9"/>
      <c r="L34" t="str">
        <f t="shared" si="4"/>
        <v/>
      </c>
      <c r="M34" t="str">
        <f t="shared" si="2"/>
        <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32840</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t="s">
        <v>368</v>
      </c>
      <c r="C42" s="3" t="str">
        <f>+IF(B42="","",INDEX(U_MAQUINARIA,MATCH(B42,LISTA_MAQUINARIA,0)))</f>
        <v>VALOR / HORA</v>
      </c>
      <c r="D42" s="30">
        <v>1</v>
      </c>
      <c r="E42" s="23">
        <f>+IF(B42="","",INDEX(V_MAQUINARIA,MATCH(B42,LISTA_MAQUINARIA,0)))</f>
        <v>58531.818181818184</v>
      </c>
      <c r="F42" s="3">
        <f>$G$20</f>
        <v>100</v>
      </c>
      <c r="G42" s="26">
        <f>IF(D42="","",(E42*D42)/F42)</f>
        <v>585.31818181818187</v>
      </c>
      <c r="K42" s="9"/>
      <c r="L42" s="23">
        <f>IF(B42="","",INDEX(V_COMBUSTIBLE_H,MATCH(B42,LISTA_MAQUINARIA,0)))</f>
        <v>21600</v>
      </c>
      <c r="M42" s="23">
        <f>+IF(L42="","",(L42*D42)/F42)</f>
        <v>216</v>
      </c>
      <c r="N42" s="23">
        <f>IF(G42="","",G42-M42)</f>
        <v>369.31818181818187</v>
      </c>
      <c r="P42" s="11"/>
    </row>
    <row r="43" spans="2:16" x14ac:dyDescent="0.3">
      <c r="B43" s="27"/>
      <c r="C43" s="3" t="str">
        <f>+IF(B43="","",INDEX(U_MAQUINARIA,MATCH(B43,LISTA_MAQUINARIA,0)))</f>
        <v/>
      </c>
      <c r="D43" s="30"/>
      <c r="E43" s="23" t="str">
        <f>+IF(B43="","",INDEX(V_MAQUINARIA,MATCH(B43,LISTA_MAQUINARIA,0)))</f>
        <v/>
      </c>
      <c r="F43" s="3">
        <f>+$G$20</f>
        <v>100</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100</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100</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100</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585.31818181818187</v>
      </c>
      <c r="K47" s="9"/>
      <c r="M47" s="24">
        <f>SUM(M42:M46)</f>
        <v>216</v>
      </c>
      <c r="N47" s="24">
        <f>SUM(N42:N46)</f>
        <v>369.31818181818187</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t="s">
        <v>298</v>
      </c>
      <c r="C50" s="30">
        <v>1</v>
      </c>
      <c r="D50" s="22">
        <f>+IF(B50="","",INDEX(F_PRESTACIONAL,MATCH(B50,L_PERSONAL,)))</f>
        <v>1.6352</v>
      </c>
      <c r="E50" s="23">
        <f>+IF(B50="","",INDEX(V_H_MANODEOBRA,MATCH(B50,L_PERSONAL,0)))</f>
        <v>40136.727272727272</v>
      </c>
      <c r="F50" s="3">
        <f>+$G$20</f>
        <v>100</v>
      </c>
      <c r="G50" s="26">
        <f>+IF(C50="","",(E50*C50)/F50)</f>
        <v>401.36727272727273</v>
      </c>
    </row>
    <row r="51" spans="2:7" x14ac:dyDescent="0.3">
      <c r="B51" s="27" t="s">
        <v>304</v>
      </c>
      <c r="C51" s="30">
        <v>4</v>
      </c>
      <c r="D51" s="22">
        <f>+IF(B51="","",INDEX(F_PRESTACIONAL,MATCH(B51,L_PERSONAL,)))</f>
        <v>1.6352</v>
      </c>
      <c r="E51" s="23">
        <f>+IF(B51="","",INDEX(V_H_MANODEOBRA,MATCH(B51,L_PERSONAL,0)))</f>
        <v>24658.815999999999</v>
      </c>
      <c r="F51" s="3">
        <f>+$G$20</f>
        <v>100</v>
      </c>
      <c r="G51" s="26">
        <f>+IF(C51="","",(E51*C51)/F51)</f>
        <v>986.35263999999995</v>
      </c>
    </row>
    <row r="52" spans="2:7" x14ac:dyDescent="0.3">
      <c r="B52" s="27" t="s">
        <v>299</v>
      </c>
      <c r="C52" s="30">
        <v>1</v>
      </c>
      <c r="D52" s="22">
        <f>+IF(B52="","",INDEX(F_PRESTACIONAL,MATCH(B52,L_PERSONAL,)))</f>
        <v>1.6352</v>
      </c>
      <c r="E52" s="23">
        <f>+IF(B52="","",INDEX(V_H_MANODEOBRA,MATCH(B52,L_PERSONAL,0)))</f>
        <v>22298.18181818182</v>
      </c>
      <c r="F52" s="3">
        <f>+$G$20</f>
        <v>100</v>
      </c>
      <c r="G52" s="26">
        <f>+IF(C52="","",(E52*C52)/F52)</f>
        <v>222.9818181818182</v>
      </c>
    </row>
    <row r="53" spans="2:7" x14ac:dyDescent="0.3">
      <c r="B53" s="27"/>
      <c r="C53" s="30"/>
      <c r="D53" s="22" t="str">
        <f>+IF(B53="","",INDEX(F_PRESTACIONAL,MATCH(B53,L_PERSONAL,)))</f>
        <v/>
      </c>
      <c r="E53" s="23" t="str">
        <f>+IF(B53="","",INDEX(V_H_MANODEOBRA,MATCH(B53,L_PERSONAL,0)))</f>
        <v/>
      </c>
      <c r="F53" s="3">
        <f>+$G$20</f>
        <v>100</v>
      </c>
      <c r="G53" s="26" t="str">
        <f>+IF(C53="","",(E53*C53)/F53)</f>
        <v/>
      </c>
    </row>
    <row r="54" spans="2:7" x14ac:dyDescent="0.3">
      <c r="B54" s="27"/>
      <c r="C54" s="30"/>
      <c r="D54" s="22" t="str">
        <f>+IF(B54="","",INDEX(F_PRESTACIONAL,MATCH(B54,L_PERSONAL,)))</f>
        <v/>
      </c>
      <c r="E54" s="23" t="str">
        <f>+IF(B54="","",INDEX(V_H_MANODEOBRA,MATCH(B54,L_PERSONAL,0)))</f>
        <v/>
      </c>
      <c r="F54" s="3">
        <f>+$G$20</f>
        <v>100</v>
      </c>
      <c r="G54" s="26" t="str">
        <f>+IF(C54="","",(E54*C54)/F54)</f>
        <v/>
      </c>
    </row>
    <row r="55" spans="2:7" x14ac:dyDescent="0.3">
      <c r="B55" s="9"/>
      <c r="G55" s="26">
        <f>SUM(G50:G54)</f>
        <v>1610.7017309090909</v>
      </c>
    </row>
    <row r="56" spans="2:7" ht="17.25" thickBot="1" x14ac:dyDescent="0.35">
      <c r="B56" s="9"/>
      <c r="G56" s="11"/>
    </row>
    <row r="57" spans="2:7" ht="17.25" thickBot="1" x14ac:dyDescent="0.35">
      <c r="B57" s="610" t="s">
        <v>98</v>
      </c>
      <c r="C57" s="611"/>
      <c r="D57" s="611"/>
      <c r="E57" s="611"/>
      <c r="F57" s="612"/>
      <c r="G57" s="66">
        <f>+G55+G47+G39+G28</f>
        <v>35933.838094545456</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4312.0605713454543</v>
      </c>
    </row>
    <row r="61" spans="2:7" x14ac:dyDescent="0.3">
      <c r="B61" s="613" t="s">
        <v>86</v>
      </c>
      <c r="C61" s="614"/>
      <c r="D61" s="614"/>
      <c r="E61" s="614"/>
      <c r="F61" s="22">
        <f>+IMPREVISTOS</f>
        <v>0.03</v>
      </c>
      <c r="G61" s="26">
        <f>+$G$57*F61</f>
        <v>1078.0151428363636</v>
      </c>
    </row>
    <row r="62" spans="2:7" x14ac:dyDescent="0.3">
      <c r="B62" s="613" t="s">
        <v>87</v>
      </c>
      <c r="C62" s="614"/>
      <c r="D62" s="614"/>
      <c r="E62" s="614"/>
      <c r="F62" s="22">
        <f>+UTILIDAD</f>
        <v>0.05</v>
      </c>
      <c r="G62" s="26">
        <f>+$G$57*F62</f>
        <v>1796.6919047272729</v>
      </c>
    </row>
    <row r="63" spans="2:7" x14ac:dyDescent="0.3">
      <c r="B63" s="596" t="s">
        <v>100</v>
      </c>
      <c r="C63" s="597"/>
      <c r="D63" s="597"/>
      <c r="E63" s="597"/>
      <c r="F63" s="597"/>
      <c r="G63" s="53">
        <f>SUM(G60:G62)</f>
        <v>7186.7676189090907</v>
      </c>
    </row>
    <row r="64" spans="2:7" ht="17.25" thickBot="1" x14ac:dyDescent="0.35">
      <c r="B64" s="9"/>
      <c r="G64" s="44"/>
    </row>
    <row r="65" spans="2:7" ht="17.25" thickBot="1" x14ac:dyDescent="0.35">
      <c r="B65" s="598" t="s">
        <v>101</v>
      </c>
      <c r="C65" s="599"/>
      <c r="D65" s="599"/>
      <c r="E65" s="599"/>
      <c r="F65" s="600"/>
      <c r="G65" s="65">
        <f>+G63+G57</f>
        <v>43120.605713454548</v>
      </c>
    </row>
    <row r="66" spans="2:7" x14ac:dyDescent="0.3">
      <c r="B66" s="6"/>
      <c r="C66" s="7"/>
      <c r="D66" s="7"/>
      <c r="E66" s="7"/>
      <c r="F66" s="7"/>
      <c r="G66" s="8"/>
    </row>
    <row r="67" spans="2:7" x14ac:dyDescent="0.3">
      <c r="B67" s="9"/>
      <c r="G67" s="11"/>
    </row>
    <row r="68" spans="2:7" x14ac:dyDescent="0.3">
      <c r="B68" s="69" t="s">
        <v>123</v>
      </c>
      <c r="C68" s="67"/>
      <c r="D68" s="67"/>
      <c r="E68" s="67"/>
      <c r="F68" s="67"/>
      <c r="G68" s="70"/>
    </row>
    <row r="69" spans="2:7" x14ac:dyDescent="0.3">
      <c r="B69" s="71"/>
      <c r="C69" s="67"/>
      <c r="D69" s="67"/>
      <c r="E69" s="67"/>
      <c r="F69" s="67"/>
      <c r="G69" s="70"/>
    </row>
    <row r="70" spans="2:7" x14ac:dyDescent="0.3">
      <c r="B70" s="72"/>
      <c r="C70" s="68"/>
      <c r="D70" s="68"/>
      <c r="E70" s="68"/>
      <c r="F70" s="68"/>
      <c r="G70" s="73"/>
    </row>
    <row r="71" spans="2:7" x14ac:dyDescent="0.3">
      <c r="B71" s="71"/>
      <c r="C71" s="67"/>
      <c r="D71" s="67"/>
      <c r="E71" s="67"/>
      <c r="F71" s="67"/>
      <c r="G71" s="70"/>
    </row>
    <row r="72" spans="2:7" ht="17.25" thickBot="1" x14ac:dyDescent="0.35">
      <c r="B72" s="15"/>
      <c r="C72" s="13"/>
      <c r="D72" s="13"/>
      <c r="E72" s="13"/>
      <c r="F72" s="13"/>
      <c r="G72" s="14"/>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count="5">
    <dataValidation type="list" allowBlank="1" showInputMessage="1" showErrorMessage="1" sqref="E102" xr:uid="{2623C961-CE0C-4521-88D4-37A14ED8A3B2}">
      <formula1>$A$103:$A$105</formula1>
    </dataValidation>
    <dataValidation type="list" allowBlank="1" showInputMessage="1" showErrorMessage="1" sqref="B13" xr:uid="{EDD744F4-7A6B-40F7-915D-A5C293B96FBF}">
      <formula1>ITEM</formula1>
    </dataValidation>
    <dataValidation type="list" allowBlank="1" showInputMessage="1" showErrorMessage="1" sqref="B50:B54" xr:uid="{DAB73579-334D-46A5-AD7A-9447282D4E50}">
      <formula1>L_PERSONAL</formula1>
    </dataValidation>
    <dataValidation type="list" allowBlank="1" showInputMessage="1" showErrorMessage="1" sqref="B31:B38" xr:uid="{80178117-522E-46EA-A423-95036DAC650B}">
      <formula1>L_MATERIALES</formula1>
    </dataValidation>
    <dataValidation type="list" allowBlank="1" showInputMessage="1" showErrorMessage="1" sqref="B23:B27 B42:B46" xr:uid="{A68539B4-3988-413D-9A06-9F6CC2F8E2F3}">
      <formula1>LISTA_MAQUINARIA</formula1>
    </dataValidation>
  </dataValidations>
  <pageMargins left="0.7" right="0.7" top="0.75" bottom="0.75" header="0.3" footer="0.3"/>
  <pageSetup scale="54" orientation="portrait" r:id="rId1"/>
  <rowBreaks count="1" manualBreakCount="1">
    <brk id="78" max="16383" man="1"/>
  </rowBreaks>
  <colBreaks count="1" manualBreakCount="1">
    <brk id="7" max="1048575" man="1"/>
  </colBreaks>
  <drawing r:id="rId2"/>
  <tableParts count="1">
    <tablePart r:id="rId3"/>
  </tableParts>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F30AFC-5403-4E05-9715-4C7004C31B95}">
  <sheetPr codeName="Hoja65"/>
  <dimension ref="A1:P105"/>
  <sheetViews>
    <sheetView showGridLines="0" topLeftCell="A8" zoomScale="67" zoomScaleNormal="60" workbookViewId="0">
      <selection activeCell="G21" sqref="G21"/>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54</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18">
        <f>+IF($B$13="","",INDEX(DESCRIP_ITEM,MATCH($B$13,ITEM,0)))</f>
        <v>0</v>
      </c>
      <c r="C16" s="619"/>
      <c r="D16" s="619"/>
      <c r="E16" s="619"/>
      <c r="F16" s="619"/>
      <c r="G16" s="620"/>
    </row>
    <row r="17" spans="2:16" ht="44.25" customHeight="1" thickBot="1" x14ac:dyDescent="0.35">
      <c r="B17" s="621"/>
      <c r="C17" s="622"/>
      <c r="D17" s="622"/>
      <c r="E17" s="622"/>
      <c r="F17" s="622"/>
      <c r="G17" s="623"/>
    </row>
    <row r="18" spans="2:16" ht="17.25" thickBot="1" x14ac:dyDescent="0.35">
      <c r="B18" s="591"/>
      <c r="C18" s="579"/>
      <c r="D18" s="579"/>
      <c r="E18" s="579"/>
      <c r="G18" s="11"/>
    </row>
    <row r="19" spans="2:16" ht="17.25" thickBot="1" x14ac:dyDescent="0.35">
      <c r="B19" s="592"/>
      <c r="C19" s="593"/>
      <c r="D19" s="593"/>
      <c r="E19" s="593"/>
      <c r="F19" s="54" t="s">
        <v>89</v>
      </c>
      <c r="G19" s="25">
        <f>+IF(B13="","",INDEX(U_ITEM,MATCH(B13,ITEM,0)))</f>
        <v>0</v>
      </c>
    </row>
    <row r="20" spans="2:16" ht="17.25" thickBot="1" x14ac:dyDescent="0.35">
      <c r="B20" s="592"/>
      <c r="C20" s="593"/>
      <c r="D20" s="593"/>
      <c r="E20" s="593"/>
      <c r="F20" s="55" t="s">
        <v>90</v>
      </c>
      <c r="G20" s="56">
        <v>200</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c r="C23" s="3" t="str">
        <f>+IF(B23="","",INDEX(U_MAQUINARIA,MATCH(B23,LISTA_MAQUINARIA,0)))</f>
        <v/>
      </c>
      <c r="D23" s="30"/>
      <c r="E23" s="23" t="str">
        <f>+IF(B23="","",INDEX(V_MAQUINARIA,MATCH(B23,LISTA_MAQUINARIA,0)))</f>
        <v/>
      </c>
      <c r="F23" s="3">
        <f>$G$20</f>
        <v>200</v>
      </c>
      <c r="G23" s="26" t="str">
        <f>+IF(B23="","",(D23*E23)/F23)</f>
        <v/>
      </c>
      <c r="K23" s="9"/>
      <c r="L23" s="23" t="str">
        <f>IF(B23="","",INDEX(V_COMBUSTIBLE_H,MATCH(B23,LISTA_MAQUINARIA,0)))</f>
        <v/>
      </c>
      <c r="M23" s="23" t="str">
        <f>+IF(L23="","",(L23*D23)/F23)</f>
        <v/>
      </c>
      <c r="N23" s="23" t="str">
        <f>IF(G23="","",G23-M23)</f>
        <v/>
      </c>
      <c r="P23" s="11"/>
    </row>
    <row r="24" spans="2:16" x14ac:dyDescent="0.3">
      <c r="B24" s="27"/>
      <c r="C24" s="3" t="str">
        <f>+IF(B24="","",INDEX(U_MAQUINARIA,MATCH(B24,LISTA_MAQUINARIA,0)))</f>
        <v/>
      </c>
      <c r="D24" s="30"/>
      <c r="E24" s="23" t="str">
        <f>+IF(B24="","",INDEX(V_MAQUINARIA,MATCH(B24,LISTA_MAQUINARIA,0)))</f>
        <v/>
      </c>
      <c r="F24" s="3">
        <f>$G$20</f>
        <v>200</v>
      </c>
      <c r="G24" s="26" t="str">
        <f>+IF(B24="","",(D24*E24)/F24)</f>
        <v/>
      </c>
      <c r="K24" s="9"/>
      <c r="L24" s="3" t="str">
        <f>IF(B24="","",INDEX(V_COMBUSTIBLE_H,MATCH(B24,LISTA_MAQUINARIA,0)))</f>
        <v/>
      </c>
      <c r="M24" s="3" t="str">
        <f>+IF(L24="","",(L24*D24)/F24)</f>
        <v/>
      </c>
      <c r="N24" s="3" t="str">
        <f>IF(G24="","",G24-M24)</f>
        <v/>
      </c>
      <c r="P24" s="11"/>
    </row>
    <row r="25" spans="2:16" x14ac:dyDescent="0.3">
      <c r="B25" s="27"/>
      <c r="C25" s="3" t="str">
        <f>+IF(B25="","",INDEX(U_MAQUINARIA,MATCH(B25,LISTA_MAQUINARIA,0)))</f>
        <v/>
      </c>
      <c r="D25" s="30"/>
      <c r="E25" s="23" t="str">
        <f>+IF(B25="","",INDEX(V_MAQUINARIA,MATCH(B25,LISTA_MAQUINARIA,0)))</f>
        <v/>
      </c>
      <c r="F25" s="3">
        <f>$G$20</f>
        <v>200</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200</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200</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0</v>
      </c>
      <c r="K28" s="9"/>
      <c r="M28" s="24">
        <f>SUM(M23:M27)</f>
        <v>0</v>
      </c>
      <c r="N28" s="24">
        <f>SUM(N23:N27)</f>
        <v>0</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t="s">
        <v>407</v>
      </c>
      <c r="C31" s="3" t="str">
        <f t="shared" ref="C31:C38" si="0">+IF(B31="","",INDEX(U_MATERIAL,MATCH(B31,L_MATERIALES,0)))</f>
        <v>ML</v>
      </c>
      <c r="D31" s="30">
        <v>1</v>
      </c>
      <c r="E31" s="23">
        <f t="shared" ref="E31:E38" si="1">+IF(B31="","",INDEX(V_UNITARIOMATERIAL,MATCH(B31,L_MATERIALES,0)))</f>
        <v>400</v>
      </c>
      <c r="F31" s="30">
        <v>1</v>
      </c>
      <c r="G31" s="26">
        <f>IF(D31="","",(E31*D31)/F31)</f>
        <v>400</v>
      </c>
      <c r="K31" s="9"/>
      <c r="L31" t="str">
        <f>+IF(B31="","",B31)</f>
        <v>CINTA PRECAUCION ---</v>
      </c>
      <c r="M31">
        <f t="shared" ref="M31:M38" si="2">IF(D31="","",(D31/F31)*INDEX(CANT_PROYECTO,MATCH($B$13,ITEM,0)))</f>
        <v>0</v>
      </c>
      <c r="N31" s="1"/>
      <c r="P31" s="11"/>
    </row>
    <row r="32" spans="2:16" x14ac:dyDescent="0.3">
      <c r="B32" s="27"/>
      <c r="C32" s="3" t="str">
        <f t="shared" si="0"/>
        <v/>
      </c>
      <c r="D32" s="30"/>
      <c r="E32" s="23" t="str">
        <f t="shared" si="1"/>
        <v/>
      </c>
      <c r="F32" s="30"/>
      <c r="G32" s="26" t="str">
        <f t="shared" ref="G32:G38" si="3">IF(D32="","",(E32*D32)/F32)</f>
        <v/>
      </c>
      <c r="K32" s="9"/>
      <c r="L32" t="str">
        <f t="shared" ref="L32:L38" si="4">+IF(B32="","",B32)</f>
        <v/>
      </c>
      <c r="M32" t="str">
        <f t="shared" si="2"/>
        <v/>
      </c>
      <c r="N32" s="1"/>
      <c r="P32" s="11"/>
    </row>
    <row r="33" spans="2:16" x14ac:dyDescent="0.3">
      <c r="B33" s="27"/>
      <c r="C33" s="3" t="str">
        <f t="shared" si="0"/>
        <v/>
      </c>
      <c r="D33" s="30"/>
      <c r="E33" s="23" t="str">
        <f t="shared" si="1"/>
        <v/>
      </c>
      <c r="F33" s="30"/>
      <c r="G33" s="26" t="str">
        <f t="shared" si="3"/>
        <v/>
      </c>
      <c r="K33" s="9"/>
      <c r="L33" t="str">
        <f t="shared" si="4"/>
        <v/>
      </c>
      <c r="M33" t="str">
        <f t="shared" si="2"/>
        <v/>
      </c>
      <c r="N33" s="1"/>
      <c r="P33" s="11"/>
    </row>
    <row r="34" spans="2:16" x14ac:dyDescent="0.3">
      <c r="B34" s="27"/>
      <c r="C34" s="3" t="str">
        <f t="shared" si="0"/>
        <v/>
      </c>
      <c r="D34" s="30"/>
      <c r="E34" s="23" t="str">
        <f t="shared" si="1"/>
        <v/>
      </c>
      <c r="F34" s="30"/>
      <c r="G34" s="26" t="str">
        <f t="shared" si="3"/>
        <v/>
      </c>
      <c r="K34" s="9"/>
      <c r="L34" t="str">
        <f t="shared" si="4"/>
        <v/>
      </c>
      <c r="M34" t="str">
        <f t="shared" si="2"/>
        <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400</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c r="C42" s="3" t="str">
        <f>+IF(B42="","",INDEX(U_MAQUINARIA,MATCH(B42,LISTA_MAQUINARIA,0)))</f>
        <v/>
      </c>
      <c r="D42" s="30"/>
      <c r="E42" s="23" t="str">
        <f>+IF(B42="","",INDEX(V_MAQUINARIA,MATCH(B42,LISTA_MAQUINARIA,0)))</f>
        <v/>
      </c>
      <c r="F42" s="3">
        <f>$G$20</f>
        <v>200</v>
      </c>
      <c r="G42" s="26" t="str">
        <f>IF(D42="","",(E42*D42)/F42)</f>
        <v/>
      </c>
      <c r="K42" s="9"/>
      <c r="L42" s="23" t="str">
        <f>IF(B42="","",INDEX(V_COMBUSTIBLE_H,MATCH(B42,LISTA_MAQUINARIA,0)))</f>
        <v/>
      </c>
      <c r="M42" s="23" t="str">
        <f>+IF(L42="","",(L42*D42)/F42)</f>
        <v/>
      </c>
      <c r="N42" s="23" t="str">
        <f>IF(G42="","",G42-M42)</f>
        <v/>
      </c>
      <c r="P42" s="11"/>
    </row>
    <row r="43" spans="2:16" x14ac:dyDescent="0.3">
      <c r="B43" s="27"/>
      <c r="C43" s="3" t="str">
        <f>+IF(B43="","",INDEX(U_MAQUINARIA,MATCH(B43,LISTA_MAQUINARIA,0)))</f>
        <v/>
      </c>
      <c r="D43" s="30"/>
      <c r="E43" s="23" t="str">
        <f>+IF(B43="","",INDEX(V_MAQUINARIA,MATCH(B43,LISTA_MAQUINARIA,0)))</f>
        <v/>
      </c>
      <c r="F43" s="3">
        <f>+$G$20</f>
        <v>200</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200</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200</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200</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0</v>
      </c>
      <c r="K47" s="9"/>
      <c r="M47" s="24">
        <f>SUM(M42:M46)</f>
        <v>0</v>
      </c>
      <c r="N47" s="24">
        <f>SUM(N42:N46)</f>
        <v>0</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t="s">
        <v>357</v>
      </c>
      <c r="C50" s="30">
        <v>1</v>
      </c>
      <c r="D50" s="22">
        <f>+IF(B50="","",INDEX(F_PRESTACIONAL,MATCH(B50,L_PERSONAL,)))</f>
        <v>1.6352</v>
      </c>
      <c r="E50" s="23">
        <f>+IF(B50="","",INDEX(V_H_MANODEOBRA,MATCH(B50,L_PERSONAL,0)))</f>
        <v>24658.815999999999</v>
      </c>
      <c r="F50" s="3">
        <f>+$G$20</f>
        <v>200</v>
      </c>
      <c r="G50" s="26">
        <f>+IF(C50="","",(E50*C50)/F50)</f>
        <v>123.29407999999999</v>
      </c>
    </row>
    <row r="51" spans="2:7" x14ac:dyDescent="0.3">
      <c r="B51" s="27" t="s">
        <v>304</v>
      </c>
      <c r="C51" s="30">
        <v>6</v>
      </c>
      <c r="D51" s="22">
        <f>+IF(B51="","",INDEX(F_PRESTACIONAL,MATCH(B51,L_PERSONAL,)))</f>
        <v>1.6352</v>
      </c>
      <c r="E51" s="23">
        <f>+IF(B51="","",INDEX(V_H_MANODEOBRA,MATCH(B51,L_PERSONAL,0)))</f>
        <v>24658.815999999999</v>
      </c>
      <c r="F51" s="3">
        <f>+$G$20</f>
        <v>200</v>
      </c>
      <c r="G51" s="26">
        <f>+IF(C51="","",(E51*C51)/F51)</f>
        <v>739.76448000000005</v>
      </c>
    </row>
    <row r="52" spans="2:7" x14ac:dyDescent="0.3">
      <c r="B52" s="27" t="s">
        <v>298</v>
      </c>
      <c r="C52" s="30">
        <v>1</v>
      </c>
      <c r="D52" s="22">
        <f>+IF(B52="","",INDEX(F_PRESTACIONAL,MATCH(B52,L_PERSONAL,)))</f>
        <v>1.6352</v>
      </c>
      <c r="E52" s="23">
        <f>+IF(B52="","",INDEX(V_H_MANODEOBRA,MATCH(B52,L_PERSONAL,0)))</f>
        <v>40136.727272727272</v>
      </c>
      <c r="F52" s="3">
        <f>+$G$20</f>
        <v>200</v>
      </c>
      <c r="G52" s="26">
        <f>+IF(C52="","",(E52*C52)/F52)</f>
        <v>200.68363636363637</v>
      </c>
    </row>
    <row r="53" spans="2:7" x14ac:dyDescent="0.3">
      <c r="B53" s="27"/>
      <c r="C53" s="30"/>
      <c r="D53" s="22" t="str">
        <f>+IF(B53="","",INDEX(F_PRESTACIONAL,MATCH(B53,L_PERSONAL,)))</f>
        <v/>
      </c>
      <c r="E53" s="23" t="str">
        <f>+IF(B53="","",INDEX(V_H_MANODEOBRA,MATCH(B53,L_PERSONAL,0)))</f>
        <v/>
      </c>
      <c r="F53" s="3">
        <f>+$G$20</f>
        <v>200</v>
      </c>
      <c r="G53" s="26" t="str">
        <f>+IF(C53="","",(E53*C53)/F53)</f>
        <v/>
      </c>
    </row>
    <row r="54" spans="2:7" x14ac:dyDescent="0.3">
      <c r="B54" s="27"/>
      <c r="C54" s="30"/>
      <c r="D54" s="22" t="str">
        <f>+IF(B54="","",INDEX(F_PRESTACIONAL,MATCH(B54,L_PERSONAL,)))</f>
        <v/>
      </c>
      <c r="E54" s="23" t="str">
        <f>+IF(B54="","",INDEX(V_H_MANODEOBRA,MATCH(B54,L_PERSONAL,0)))</f>
        <v/>
      </c>
      <c r="F54" s="3">
        <f>+$G$20</f>
        <v>200</v>
      </c>
      <c r="G54" s="26" t="str">
        <f>+IF(C54="","",(E54*C54)/F54)</f>
        <v/>
      </c>
    </row>
    <row r="55" spans="2:7" x14ac:dyDescent="0.3">
      <c r="B55" s="9"/>
      <c r="G55" s="26">
        <f>SUM(G50:G54)</f>
        <v>1063.7421963636364</v>
      </c>
    </row>
    <row r="56" spans="2:7" ht="17.25" thickBot="1" x14ac:dyDescent="0.35">
      <c r="B56" s="9"/>
      <c r="G56" s="11"/>
    </row>
    <row r="57" spans="2:7" ht="17.25" thickBot="1" x14ac:dyDescent="0.35">
      <c r="B57" s="610" t="s">
        <v>98</v>
      </c>
      <c r="C57" s="611"/>
      <c r="D57" s="611"/>
      <c r="E57" s="611"/>
      <c r="F57" s="612"/>
      <c r="G57" s="66">
        <f>+G55+G47+G39+G28</f>
        <v>1463.7421963636364</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175.64906356363636</v>
      </c>
    </row>
    <row r="61" spans="2:7" x14ac:dyDescent="0.3">
      <c r="B61" s="613" t="s">
        <v>86</v>
      </c>
      <c r="C61" s="614"/>
      <c r="D61" s="614"/>
      <c r="E61" s="614"/>
      <c r="F61" s="22">
        <f>+IMPREVISTOS</f>
        <v>0.03</v>
      </c>
      <c r="G61" s="26">
        <f>+$G$57*F61</f>
        <v>43.91226589090909</v>
      </c>
    </row>
    <row r="62" spans="2:7" x14ac:dyDescent="0.3">
      <c r="B62" s="613" t="s">
        <v>87</v>
      </c>
      <c r="C62" s="614"/>
      <c r="D62" s="614"/>
      <c r="E62" s="614"/>
      <c r="F62" s="22">
        <f>+UTILIDAD</f>
        <v>0.05</v>
      </c>
      <c r="G62" s="26">
        <f>+$G$57*F62</f>
        <v>73.187109818181824</v>
      </c>
    </row>
    <row r="63" spans="2:7" x14ac:dyDescent="0.3">
      <c r="B63" s="596" t="s">
        <v>100</v>
      </c>
      <c r="C63" s="597"/>
      <c r="D63" s="597"/>
      <c r="E63" s="597"/>
      <c r="F63" s="597"/>
      <c r="G63" s="53">
        <f>SUM(G60:G62)</f>
        <v>292.7484392727273</v>
      </c>
    </row>
    <row r="64" spans="2:7" ht="17.25" thickBot="1" x14ac:dyDescent="0.35">
      <c r="B64" s="9"/>
      <c r="G64" s="44"/>
    </row>
    <row r="65" spans="2:7" ht="17.25" thickBot="1" x14ac:dyDescent="0.35">
      <c r="B65" s="598" t="s">
        <v>101</v>
      </c>
      <c r="C65" s="599"/>
      <c r="D65" s="599"/>
      <c r="E65" s="599"/>
      <c r="F65" s="600"/>
      <c r="G65" s="65">
        <f>+G63+G57</f>
        <v>1756.4906356363635</v>
      </c>
    </row>
    <row r="66" spans="2:7" x14ac:dyDescent="0.3">
      <c r="B66" s="6"/>
      <c r="C66" s="7"/>
      <c r="D66" s="7"/>
      <c r="E66" s="7"/>
      <c r="F66" s="7"/>
      <c r="G66" s="8"/>
    </row>
    <row r="67" spans="2:7" x14ac:dyDescent="0.3">
      <c r="B67" s="9"/>
      <c r="G67" s="11"/>
    </row>
    <row r="68" spans="2:7" x14ac:dyDescent="0.3">
      <c r="B68" s="69" t="s">
        <v>123</v>
      </c>
      <c r="C68" s="67"/>
      <c r="D68" s="67"/>
      <c r="E68" s="67"/>
      <c r="F68" s="67"/>
      <c r="G68" s="70"/>
    </row>
    <row r="69" spans="2:7" x14ac:dyDescent="0.3">
      <c r="B69" s="71"/>
      <c r="C69" s="67"/>
      <c r="D69" s="67"/>
      <c r="E69" s="67"/>
      <c r="F69" s="67"/>
      <c r="G69" s="70"/>
    </row>
    <row r="70" spans="2:7" x14ac:dyDescent="0.3">
      <c r="B70" s="72"/>
      <c r="C70" s="68"/>
      <c r="D70" s="68"/>
      <c r="E70" s="68"/>
      <c r="F70" s="68"/>
      <c r="G70" s="73"/>
    </row>
    <row r="71" spans="2:7" x14ac:dyDescent="0.3">
      <c r="B71" s="71"/>
      <c r="C71" s="67"/>
      <c r="D71" s="67"/>
      <c r="E71" s="67"/>
      <c r="F71" s="67"/>
      <c r="G71" s="70"/>
    </row>
    <row r="72" spans="2:7" ht="17.25" thickBot="1" x14ac:dyDescent="0.35">
      <c r="B72" s="15"/>
      <c r="C72" s="13"/>
      <c r="D72" s="13"/>
      <c r="E72" s="13"/>
      <c r="F72" s="13"/>
      <c r="G72" s="14"/>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count="5">
    <dataValidation type="list" allowBlank="1" showInputMessage="1" showErrorMessage="1" sqref="E102" xr:uid="{A99B75EF-CE16-4C32-A163-EEB7E549AC07}">
      <formula1>$A$103:$A$105</formula1>
    </dataValidation>
    <dataValidation type="list" allowBlank="1" showInputMessage="1" showErrorMessage="1" sqref="B13" xr:uid="{C711D4F4-48CA-4D51-A8FD-CAF7EA676F04}">
      <formula1>ITEM</formula1>
    </dataValidation>
    <dataValidation type="list" allowBlank="1" showInputMessage="1" showErrorMessage="1" sqref="B50:B54" xr:uid="{59A423E4-AF56-4139-854E-469CC7D59E76}">
      <formula1>L_PERSONAL</formula1>
    </dataValidation>
    <dataValidation type="list" allowBlank="1" showInputMessage="1" showErrorMessage="1" sqref="B31:B38" xr:uid="{13D4A564-DC21-4F4A-B2FA-9A733C20A3DB}">
      <formula1>L_MATERIALES</formula1>
    </dataValidation>
    <dataValidation type="list" allowBlank="1" showInputMessage="1" showErrorMessage="1" sqref="B23:B27 B42:B46" xr:uid="{C5261C2B-1E83-4D5C-AD36-1AE0CD051E60}">
      <formula1>LISTA_MAQUINARIA</formula1>
    </dataValidation>
  </dataValidations>
  <pageMargins left="0.7" right="0.7" top="0.75" bottom="0.75" header="0.3" footer="0.3"/>
  <drawing r:id="rId1"/>
  <tableParts count="1">
    <tablePart r:id="rId2"/>
  </tableParts>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63273-0FB0-451F-B116-7021E1DB336D}">
  <sheetPr codeName="Hoja66"/>
  <dimension ref="A1:P105"/>
  <sheetViews>
    <sheetView showGridLines="0" zoomScale="67" zoomScaleNormal="60" workbookViewId="0">
      <selection activeCell="D28" sqref="D28"/>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55</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04">
        <f>+IF($B$13="","",INDEX(DESCRIP_ITEM,MATCH($B$13,ITEM,0)))</f>
        <v>0</v>
      </c>
      <c r="C16" s="605"/>
      <c r="D16" s="605"/>
      <c r="E16" s="605"/>
      <c r="F16" s="605"/>
      <c r="G16" s="606"/>
    </row>
    <row r="17" spans="2:16" ht="44.25" customHeight="1" thickBot="1" x14ac:dyDescent="0.35">
      <c r="B17" s="607"/>
      <c r="C17" s="608"/>
      <c r="D17" s="608"/>
      <c r="E17" s="608"/>
      <c r="F17" s="608"/>
      <c r="G17" s="609"/>
    </row>
    <row r="18" spans="2:16" ht="17.25" thickBot="1" x14ac:dyDescent="0.35">
      <c r="B18" s="591"/>
      <c r="C18" s="579"/>
      <c r="D18" s="579"/>
      <c r="E18" s="579"/>
      <c r="G18" s="11"/>
    </row>
    <row r="19" spans="2:16" ht="17.25" thickBot="1" x14ac:dyDescent="0.35">
      <c r="B19" s="592"/>
      <c r="C19" s="593"/>
      <c r="D19" s="593"/>
      <c r="E19" s="593"/>
      <c r="F19" s="54" t="s">
        <v>89</v>
      </c>
      <c r="G19" s="25">
        <f>+IF(B13="","",INDEX(U_ITEM,MATCH(B13,ITEM,0)))</f>
        <v>0</v>
      </c>
    </row>
    <row r="20" spans="2:16" ht="17.25" thickBot="1" x14ac:dyDescent="0.35">
      <c r="B20" s="592"/>
      <c r="C20" s="593"/>
      <c r="D20" s="593"/>
      <c r="E20" s="593"/>
      <c r="F20" s="55" t="s">
        <v>90</v>
      </c>
      <c r="G20" s="56">
        <v>150</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c r="C23" s="3" t="str">
        <f>+IF(B23="","",INDEX(U_MAQUINARIA,MATCH(B23,LISTA_MAQUINARIA,0)))</f>
        <v/>
      </c>
      <c r="D23" s="30"/>
      <c r="E23" s="23" t="str">
        <f>+IF(B23="","",INDEX(V_MAQUINARIA,MATCH(B23,LISTA_MAQUINARIA,0)))</f>
        <v/>
      </c>
      <c r="F23" s="3">
        <f>$G$20</f>
        <v>150</v>
      </c>
      <c r="G23" s="26" t="str">
        <f>+IF(B23="","",(D23*E23)/F23)</f>
        <v/>
      </c>
      <c r="K23" s="9"/>
      <c r="L23" s="23" t="str">
        <f>IF(B23="","",INDEX(V_COMBUSTIBLE_H,MATCH(B23,LISTA_MAQUINARIA,0)))</f>
        <v/>
      </c>
      <c r="M23" s="23" t="str">
        <f>+IF(L23="","",(L23*D23)/F23)</f>
        <v/>
      </c>
      <c r="N23" s="23" t="str">
        <f>IF(G23="","",G23-M23)</f>
        <v/>
      </c>
      <c r="P23" s="11"/>
    </row>
    <row r="24" spans="2:16" x14ac:dyDescent="0.3">
      <c r="B24" s="27"/>
      <c r="C24" s="3" t="str">
        <f>+IF(B24="","",INDEX(U_MAQUINARIA,MATCH(B24,LISTA_MAQUINARIA,0)))</f>
        <v/>
      </c>
      <c r="D24" s="30"/>
      <c r="E24" s="23" t="str">
        <f>+IF(B24="","",INDEX(V_MAQUINARIA,MATCH(B24,LISTA_MAQUINARIA,0)))</f>
        <v/>
      </c>
      <c r="F24" s="3">
        <f>$G$20</f>
        <v>150</v>
      </c>
      <c r="G24" s="26" t="str">
        <f>+IF(B24="","",(D24*E24)/F24)</f>
        <v/>
      </c>
      <c r="K24" s="9"/>
      <c r="L24" s="3" t="str">
        <f>IF(B24="","",INDEX(V_COMBUSTIBLE_H,MATCH(B24,LISTA_MAQUINARIA,0)))</f>
        <v/>
      </c>
      <c r="M24" s="3" t="str">
        <f>+IF(L24="","",(L24*D24)/F24)</f>
        <v/>
      </c>
      <c r="N24" s="3" t="str">
        <f>IF(G24="","",G24-M24)</f>
        <v/>
      </c>
      <c r="P24" s="11"/>
    </row>
    <row r="25" spans="2:16" x14ac:dyDescent="0.3">
      <c r="B25" s="27"/>
      <c r="C25" s="3" t="str">
        <f>+IF(B25="","",INDEX(U_MAQUINARIA,MATCH(B25,LISTA_MAQUINARIA,0)))</f>
        <v/>
      </c>
      <c r="D25" s="30"/>
      <c r="E25" s="23" t="str">
        <f>+IF(B25="","",INDEX(V_MAQUINARIA,MATCH(B25,LISTA_MAQUINARIA,0)))</f>
        <v/>
      </c>
      <c r="F25" s="3">
        <f>$G$20</f>
        <v>150</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150</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150</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0</v>
      </c>
      <c r="K28" s="9"/>
      <c r="M28" s="24">
        <f>SUM(M23:M27)</f>
        <v>0</v>
      </c>
      <c r="N28" s="24">
        <f>SUM(N23:N27)</f>
        <v>0</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t="s">
        <v>393</v>
      </c>
      <c r="C31" s="3" t="str">
        <f t="shared" ref="C31:C38" si="0">+IF(B31="","",INDEX(U_MATERIAL,MATCH(B31,L_MATERIALES,0)))</f>
        <v>ML</v>
      </c>
      <c r="D31" s="30">
        <v>1</v>
      </c>
      <c r="E31" s="23">
        <f t="shared" ref="E31:E38" si="1">+IF(B31="","",INDEX(V_UNITARIOMATERIAL,MATCH(B31,L_MATERIALES,0)))</f>
        <v>16500</v>
      </c>
      <c r="F31" s="30">
        <v>1</v>
      </c>
      <c r="G31" s="26">
        <f>IF(D31="","",(E31*D31)/F31)</f>
        <v>16500</v>
      </c>
      <c r="K31" s="9"/>
      <c r="L31" t="str">
        <f>+IF(B31="","",B31)</f>
        <v>PROTECCION PLASTICA ML---</v>
      </c>
      <c r="M31">
        <f t="shared" ref="M31:M38" si="2">IF(D31="","",(D31/F31)*INDEX(CANT_PROYECTO,MATCH($B$13,ITEM,0)))</f>
        <v>0</v>
      </c>
      <c r="N31" s="1"/>
      <c r="P31" s="11"/>
    </row>
    <row r="32" spans="2:16" x14ac:dyDescent="0.3">
      <c r="B32" s="27"/>
      <c r="C32" s="3" t="str">
        <f t="shared" si="0"/>
        <v/>
      </c>
      <c r="D32" s="30"/>
      <c r="E32" s="23" t="str">
        <f t="shared" si="1"/>
        <v/>
      </c>
      <c r="F32" s="30"/>
      <c r="G32" s="26" t="str">
        <f t="shared" ref="G32:G38" si="3">IF(D32="","",(E32*D32)/F32)</f>
        <v/>
      </c>
      <c r="K32" s="9"/>
      <c r="L32" t="str">
        <f t="shared" ref="L32:L38" si="4">+IF(B32="","",B32)</f>
        <v/>
      </c>
      <c r="M32" t="str">
        <f t="shared" si="2"/>
        <v/>
      </c>
      <c r="N32" s="1"/>
      <c r="P32" s="11"/>
    </row>
    <row r="33" spans="2:16" x14ac:dyDescent="0.3">
      <c r="B33" s="27"/>
      <c r="C33" s="3" t="str">
        <f t="shared" si="0"/>
        <v/>
      </c>
      <c r="D33" s="30"/>
      <c r="E33" s="23" t="str">
        <f t="shared" si="1"/>
        <v/>
      </c>
      <c r="F33" s="30"/>
      <c r="G33" s="26" t="str">
        <f t="shared" si="3"/>
        <v/>
      </c>
      <c r="K33" s="9"/>
      <c r="L33" t="str">
        <f t="shared" si="4"/>
        <v/>
      </c>
      <c r="M33" t="str">
        <f t="shared" si="2"/>
        <v/>
      </c>
      <c r="N33" s="1"/>
      <c r="P33" s="11"/>
    </row>
    <row r="34" spans="2:16" x14ac:dyDescent="0.3">
      <c r="B34" s="27"/>
      <c r="C34" s="3" t="str">
        <f t="shared" si="0"/>
        <v/>
      </c>
      <c r="D34" s="30"/>
      <c r="E34" s="23" t="str">
        <f t="shared" si="1"/>
        <v/>
      </c>
      <c r="F34" s="30"/>
      <c r="G34" s="26" t="str">
        <f t="shared" si="3"/>
        <v/>
      </c>
      <c r="K34" s="9"/>
      <c r="L34" t="str">
        <f t="shared" si="4"/>
        <v/>
      </c>
      <c r="M34" t="str">
        <f t="shared" si="2"/>
        <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16500</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c r="C42" s="3" t="str">
        <f>+IF(B42="","",INDEX(U_MAQUINARIA,MATCH(B42,LISTA_MAQUINARIA,0)))</f>
        <v/>
      </c>
      <c r="D42" s="30"/>
      <c r="E42" s="23" t="str">
        <f>+IF(B42="","",INDEX(V_MAQUINARIA,MATCH(B42,LISTA_MAQUINARIA,0)))</f>
        <v/>
      </c>
      <c r="F42" s="3">
        <f>$G$20</f>
        <v>150</v>
      </c>
      <c r="G42" s="26" t="str">
        <f>IF(D42="","",(E42*D42)/F42)</f>
        <v/>
      </c>
      <c r="K42" s="9"/>
      <c r="L42" s="23" t="str">
        <f>IF(B42="","",INDEX(V_COMBUSTIBLE_H,MATCH(B42,LISTA_MAQUINARIA,0)))</f>
        <v/>
      </c>
      <c r="M42" s="23" t="str">
        <f>+IF(L42="","",(L42*D42)/F42)</f>
        <v/>
      </c>
      <c r="N42" s="23" t="str">
        <f>IF(G42="","",G42-M42)</f>
        <v/>
      </c>
      <c r="P42" s="11"/>
    </row>
    <row r="43" spans="2:16" x14ac:dyDescent="0.3">
      <c r="B43" s="27"/>
      <c r="C43" s="3" t="str">
        <f>+IF(B43="","",INDEX(U_MAQUINARIA,MATCH(B43,LISTA_MAQUINARIA,0)))</f>
        <v/>
      </c>
      <c r="D43" s="30"/>
      <c r="E43" s="23" t="str">
        <f>+IF(B43="","",INDEX(V_MAQUINARIA,MATCH(B43,LISTA_MAQUINARIA,0)))</f>
        <v/>
      </c>
      <c r="F43" s="3">
        <f>+$G$20</f>
        <v>150</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150</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150</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150</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0</v>
      </c>
      <c r="K47" s="9"/>
      <c r="M47" s="24">
        <f>SUM(M42:M46)</f>
        <v>0</v>
      </c>
      <c r="N47" s="24">
        <f>SUM(N42:N46)</f>
        <v>0</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t="s">
        <v>357</v>
      </c>
      <c r="C50" s="30">
        <v>1</v>
      </c>
      <c r="D50" s="22">
        <f>+IF(B50="","",INDEX(F_PRESTACIONAL,MATCH(B50,L_PERSONAL,)))</f>
        <v>1.6352</v>
      </c>
      <c r="E50" s="23">
        <f>+IF(B50="","",INDEX(V_H_MANODEOBRA,MATCH(B50,L_PERSONAL,0)))</f>
        <v>24658.815999999999</v>
      </c>
      <c r="F50" s="3">
        <f>+$G$20</f>
        <v>150</v>
      </c>
      <c r="G50" s="26">
        <f>+IF(C50="","",(E50*C50)/F50)</f>
        <v>164.39210666666665</v>
      </c>
    </row>
    <row r="51" spans="2:7" x14ac:dyDescent="0.3">
      <c r="B51" s="27" t="s">
        <v>304</v>
      </c>
      <c r="C51" s="30">
        <v>6</v>
      </c>
      <c r="D51" s="22">
        <f>+IF(B51="","",INDEX(F_PRESTACIONAL,MATCH(B51,L_PERSONAL,)))</f>
        <v>1.6352</v>
      </c>
      <c r="E51" s="23">
        <f>+IF(B51="","",INDEX(V_H_MANODEOBRA,MATCH(B51,L_PERSONAL,0)))</f>
        <v>24658.815999999999</v>
      </c>
      <c r="F51" s="3">
        <f>+$G$20</f>
        <v>150</v>
      </c>
      <c r="G51" s="26">
        <f>+IF(C51="","",(E51*C51)/F51)</f>
        <v>986.35264000000006</v>
      </c>
    </row>
    <row r="52" spans="2:7" x14ac:dyDescent="0.3">
      <c r="B52" s="27" t="s">
        <v>298</v>
      </c>
      <c r="C52" s="30">
        <v>1</v>
      </c>
      <c r="D52" s="22">
        <f>+IF(B52="","",INDEX(F_PRESTACIONAL,MATCH(B52,L_PERSONAL,)))</f>
        <v>1.6352</v>
      </c>
      <c r="E52" s="23">
        <f>+IF(B52="","",INDEX(V_H_MANODEOBRA,MATCH(B52,L_PERSONAL,0)))</f>
        <v>40136.727272727272</v>
      </c>
      <c r="F52" s="3">
        <f>+$G$20</f>
        <v>150</v>
      </c>
      <c r="G52" s="26">
        <f>+IF(C52="","",(E52*C52)/F52)</f>
        <v>267.5781818181818</v>
      </c>
    </row>
    <row r="53" spans="2:7" x14ac:dyDescent="0.3">
      <c r="B53" s="27"/>
      <c r="C53" s="30"/>
      <c r="D53" s="22" t="str">
        <f>+IF(B53="","",INDEX(F_PRESTACIONAL,MATCH(B53,L_PERSONAL,)))</f>
        <v/>
      </c>
      <c r="E53" s="23" t="str">
        <f>+IF(B53="","",INDEX(V_H_MANODEOBRA,MATCH(B53,L_PERSONAL,0)))</f>
        <v/>
      </c>
      <c r="F53" s="3">
        <f>+$G$20</f>
        <v>150</v>
      </c>
      <c r="G53" s="26" t="str">
        <f>+IF(C53="","",(E53*C53)/F53)</f>
        <v/>
      </c>
    </row>
    <row r="54" spans="2:7" x14ac:dyDescent="0.3">
      <c r="B54" s="27"/>
      <c r="C54" s="30"/>
      <c r="D54" s="22" t="str">
        <f>+IF(B54="","",INDEX(F_PRESTACIONAL,MATCH(B54,L_PERSONAL,)))</f>
        <v/>
      </c>
      <c r="E54" s="23" t="str">
        <f>+IF(B54="","",INDEX(V_H_MANODEOBRA,MATCH(B54,L_PERSONAL,0)))</f>
        <v/>
      </c>
      <c r="F54" s="3">
        <f>+$G$20</f>
        <v>150</v>
      </c>
      <c r="G54" s="26" t="str">
        <f>+IF(C54="","",(E54*C54)/F54)</f>
        <v/>
      </c>
    </row>
    <row r="55" spans="2:7" x14ac:dyDescent="0.3">
      <c r="B55" s="9"/>
      <c r="G55" s="26">
        <f>SUM(G50:G54)</f>
        <v>1418.3229284848485</v>
      </c>
    </row>
    <row r="56" spans="2:7" ht="17.25" thickBot="1" x14ac:dyDescent="0.35">
      <c r="B56" s="9"/>
      <c r="G56" s="11"/>
    </row>
    <row r="57" spans="2:7" ht="17.25" thickBot="1" x14ac:dyDescent="0.35">
      <c r="B57" s="610" t="s">
        <v>98</v>
      </c>
      <c r="C57" s="611"/>
      <c r="D57" s="611"/>
      <c r="E57" s="611"/>
      <c r="F57" s="612"/>
      <c r="G57" s="66">
        <f>+G55+G47+G39+G28</f>
        <v>17918.322928484849</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2150.1987514181819</v>
      </c>
    </row>
    <row r="61" spans="2:7" x14ac:dyDescent="0.3">
      <c r="B61" s="613" t="s">
        <v>86</v>
      </c>
      <c r="C61" s="614"/>
      <c r="D61" s="614"/>
      <c r="E61" s="614"/>
      <c r="F61" s="22">
        <f>+IMPREVISTOS</f>
        <v>0.03</v>
      </c>
      <c r="G61" s="26">
        <f>+$G$57*F61</f>
        <v>537.54968785454548</v>
      </c>
    </row>
    <row r="62" spans="2:7" x14ac:dyDescent="0.3">
      <c r="B62" s="613" t="s">
        <v>87</v>
      </c>
      <c r="C62" s="614"/>
      <c r="D62" s="614"/>
      <c r="E62" s="614"/>
      <c r="F62" s="22">
        <f>+UTILIDAD</f>
        <v>0.05</v>
      </c>
      <c r="G62" s="26">
        <f>+$G$57*F62</f>
        <v>895.91614642424247</v>
      </c>
    </row>
    <row r="63" spans="2:7" x14ac:dyDescent="0.3">
      <c r="B63" s="596" t="s">
        <v>100</v>
      </c>
      <c r="C63" s="597"/>
      <c r="D63" s="597"/>
      <c r="E63" s="597"/>
      <c r="F63" s="597"/>
      <c r="G63" s="53">
        <f>SUM(G60:G62)</f>
        <v>3583.6645856969699</v>
      </c>
    </row>
    <row r="64" spans="2:7" ht="17.25" thickBot="1" x14ac:dyDescent="0.35">
      <c r="B64" s="9"/>
      <c r="G64" s="44"/>
    </row>
    <row r="65" spans="2:7" ht="17.25" thickBot="1" x14ac:dyDescent="0.35">
      <c r="B65" s="598" t="s">
        <v>101</v>
      </c>
      <c r="C65" s="599"/>
      <c r="D65" s="599"/>
      <c r="E65" s="599"/>
      <c r="F65" s="600"/>
      <c r="G65" s="65">
        <f>+G63+G57</f>
        <v>21501.987514181819</v>
      </c>
    </row>
    <row r="66" spans="2:7" x14ac:dyDescent="0.3">
      <c r="B66" s="6"/>
      <c r="C66" s="7"/>
      <c r="D66" s="7"/>
      <c r="E66" s="7"/>
      <c r="F66" s="7"/>
      <c r="G66" s="8"/>
    </row>
    <row r="67" spans="2:7" x14ac:dyDescent="0.3">
      <c r="B67" s="9"/>
      <c r="G67" s="11"/>
    </row>
    <row r="68" spans="2:7" x14ac:dyDescent="0.3">
      <c r="B68" s="69" t="s">
        <v>123</v>
      </c>
      <c r="C68" s="67"/>
      <c r="D68" s="67"/>
      <c r="E68" s="67"/>
      <c r="F68" s="67"/>
      <c r="G68" s="70"/>
    </row>
    <row r="69" spans="2:7" x14ac:dyDescent="0.3">
      <c r="B69" s="71"/>
      <c r="C69" s="67"/>
      <c r="D69" s="67"/>
      <c r="E69" s="67"/>
      <c r="F69" s="67"/>
      <c r="G69" s="70"/>
    </row>
    <row r="70" spans="2:7" x14ac:dyDescent="0.3">
      <c r="B70" s="72"/>
      <c r="C70" s="68"/>
      <c r="D70" s="68"/>
      <c r="E70" s="68"/>
      <c r="F70" s="68"/>
      <c r="G70" s="73"/>
    </row>
    <row r="71" spans="2:7" x14ac:dyDescent="0.3">
      <c r="B71" s="71"/>
      <c r="C71" s="67"/>
      <c r="D71" s="67"/>
      <c r="E71" s="67"/>
      <c r="F71" s="67"/>
      <c r="G71" s="70"/>
    </row>
    <row r="72" spans="2:7" ht="17.25" thickBot="1" x14ac:dyDescent="0.35">
      <c r="B72" s="15"/>
      <c r="C72" s="13"/>
      <c r="D72" s="13"/>
      <c r="E72" s="13"/>
      <c r="F72" s="13"/>
      <c r="G72" s="14"/>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count="5">
    <dataValidation type="list" allowBlank="1" showInputMessage="1" showErrorMessage="1" sqref="E102" xr:uid="{826CADEC-874C-4CF7-A6D3-C339B0DF07BF}">
      <formula1>$A$103:$A$105</formula1>
    </dataValidation>
    <dataValidation type="list" allowBlank="1" showInputMessage="1" showErrorMessage="1" sqref="B13" xr:uid="{2C6421CF-AB09-4B4F-865F-94E8E9F8FBEF}">
      <formula1>ITEM</formula1>
    </dataValidation>
    <dataValidation type="list" allowBlank="1" showInputMessage="1" showErrorMessage="1" sqref="B50:B54" xr:uid="{1E932B68-3C59-4234-BCB3-C04B965F7A7D}">
      <formula1>L_PERSONAL</formula1>
    </dataValidation>
    <dataValidation type="list" allowBlank="1" showInputMessage="1" showErrorMessage="1" sqref="B31:B38" xr:uid="{270A390C-2E49-4265-B605-DCF52298544B}">
      <formula1>L_MATERIALES</formula1>
    </dataValidation>
    <dataValidation type="list" allowBlank="1" showInputMessage="1" showErrorMessage="1" sqref="B23:B27 B42:B46" xr:uid="{11A4A41B-3982-4FAF-AD74-585577492ACB}">
      <formula1>LISTA_MAQUINARIA</formula1>
    </dataValidation>
  </dataValidations>
  <pageMargins left="0.7" right="0.7" top="0.75" bottom="0.75" header="0.3" footer="0.3"/>
  <drawing r:id="rId1"/>
  <tableParts count="1">
    <tablePart r:id="rId2"/>
  </tableParts>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469D-6989-463C-A1D5-5724D0701C52}">
  <sheetPr codeName="Hoja67"/>
  <dimension ref="A1:P105"/>
  <sheetViews>
    <sheetView showGridLines="0" view="pageBreakPreview" zoomScale="60" zoomScaleNormal="66" workbookViewId="0">
      <selection activeCell="B50" sqref="B50"/>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56</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18">
        <f>+IF($B$13="","",INDEX(DESCRIP_ITEM,MATCH($B$13,ITEM,0)))</f>
        <v>0</v>
      </c>
      <c r="C16" s="619"/>
      <c r="D16" s="619"/>
      <c r="E16" s="619"/>
      <c r="F16" s="619"/>
      <c r="G16" s="620"/>
    </row>
    <row r="17" spans="2:16" ht="44.25" customHeight="1" thickBot="1" x14ac:dyDescent="0.35">
      <c r="B17" s="621"/>
      <c r="C17" s="622"/>
      <c r="D17" s="622"/>
      <c r="E17" s="622"/>
      <c r="F17" s="622"/>
      <c r="G17" s="623"/>
    </row>
    <row r="18" spans="2:16" ht="17.25" thickBot="1" x14ac:dyDescent="0.35">
      <c r="B18" s="591"/>
      <c r="C18" s="579"/>
      <c r="D18" s="579"/>
      <c r="E18" s="579"/>
      <c r="G18" s="11"/>
    </row>
    <row r="19" spans="2:16" ht="17.25" thickBot="1" x14ac:dyDescent="0.35">
      <c r="B19" s="592"/>
      <c r="C19" s="593"/>
      <c r="D19" s="593"/>
      <c r="E19" s="593"/>
      <c r="F19" s="54" t="s">
        <v>89</v>
      </c>
      <c r="G19" s="25">
        <f>+IF(B13="","",INDEX(U_ITEM,MATCH(B13,ITEM,0)))</f>
        <v>0</v>
      </c>
    </row>
    <row r="20" spans="2:16" ht="17.25" thickBot="1" x14ac:dyDescent="0.35">
      <c r="B20" s="592"/>
      <c r="C20" s="593"/>
      <c r="D20" s="593"/>
      <c r="E20" s="593"/>
      <c r="F20" s="55" t="s">
        <v>90</v>
      </c>
      <c r="G20" s="56"/>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c r="C23" s="3" t="str">
        <f>+IF(B23="","",INDEX(U_MAQUINARIA,MATCH(B23,LISTA_MAQUINARIA,0)))</f>
        <v/>
      </c>
      <c r="D23" s="30"/>
      <c r="E23" s="23" t="str">
        <f>+IF(B23="","",INDEX(V_MAQUINARIA,MATCH(B23,LISTA_MAQUINARIA,0)))</f>
        <v/>
      </c>
      <c r="F23" s="3">
        <f>$G$20</f>
        <v>0</v>
      </c>
      <c r="G23" s="26" t="str">
        <f>+IF(B23="","",(D23*E23)/F23)</f>
        <v/>
      </c>
      <c r="K23" s="9"/>
      <c r="L23" s="23" t="str">
        <f>IF(B23="","",INDEX(V_COMBUSTIBLE_H,MATCH(B23,LISTA_MAQUINARIA,0)))</f>
        <v/>
      </c>
      <c r="M23" s="23" t="str">
        <f>+IF(L23="","",(L23*D23)/F23)</f>
        <v/>
      </c>
      <c r="N23" s="23" t="str">
        <f>IF(G23="","",G23-M23)</f>
        <v/>
      </c>
      <c r="P23" s="11"/>
    </row>
    <row r="24" spans="2:16" x14ac:dyDescent="0.3">
      <c r="B24" s="27"/>
      <c r="C24" s="3" t="str">
        <f>+IF(B24="","",INDEX(U_MAQUINARIA,MATCH(B24,LISTA_MAQUINARIA,0)))</f>
        <v/>
      </c>
      <c r="D24" s="30"/>
      <c r="E24" s="23" t="str">
        <f>+IF(B24="","",INDEX(V_MAQUINARIA,MATCH(B24,LISTA_MAQUINARIA,0)))</f>
        <v/>
      </c>
      <c r="F24" s="3">
        <f>$G$20</f>
        <v>0</v>
      </c>
      <c r="G24" s="26" t="str">
        <f>+IF(B24="","",(D24*E24)/F24)</f>
        <v/>
      </c>
      <c r="K24" s="9"/>
      <c r="L24" s="3" t="str">
        <f>IF(B24="","",INDEX(V_COMBUSTIBLE_H,MATCH(B24,LISTA_MAQUINARIA,0)))</f>
        <v/>
      </c>
      <c r="M24" s="3" t="str">
        <f>+IF(L24="","",(L24*D24)/F24)</f>
        <v/>
      </c>
      <c r="N24" s="3" t="str">
        <f>IF(G24="","",G24-M24)</f>
        <v/>
      </c>
      <c r="P24" s="11"/>
    </row>
    <row r="25" spans="2:16" x14ac:dyDescent="0.3">
      <c r="B25" s="27"/>
      <c r="C25" s="3" t="str">
        <f>+IF(B25="","",INDEX(U_MAQUINARIA,MATCH(B25,LISTA_MAQUINARIA,0)))</f>
        <v/>
      </c>
      <c r="D25" s="30"/>
      <c r="E25" s="23" t="str">
        <f>+IF(B25="","",INDEX(V_MAQUINARIA,MATCH(B25,LISTA_MAQUINARIA,0)))</f>
        <v/>
      </c>
      <c r="F25" s="3">
        <f>$G$20</f>
        <v>0</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0</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0</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0</v>
      </c>
      <c r="K28" s="9"/>
      <c r="M28" s="24">
        <f>SUM(M23:M27)</f>
        <v>0</v>
      </c>
      <c r="N28" s="24">
        <f>SUM(N23:N27)</f>
        <v>0</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c r="C31" s="3" t="str">
        <f t="shared" ref="C31:C38" si="0">+IF(B31="","",INDEX(U_MATERIAL,MATCH(B31,L_MATERIALES,0)))</f>
        <v/>
      </c>
      <c r="D31" s="30"/>
      <c r="E31" s="23" t="str">
        <f t="shared" ref="E31:E38" si="1">+IF(B31="","",INDEX(V_UNITARIOMATERIAL,MATCH(B31,L_MATERIALES,0)))</f>
        <v/>
      </c>
      <c r="F31" s="30"/>
      <c r="G31" s="26" t="str">
        <f>IF(D31="","",(E31*D31)/F31)</f>
        <v/>
      </c>
      <c r="K31" s="9"/>
      <c r="L31" t="str">
        <f>+IF(B31="","",B31)</f>
        <v/>
      </c>
      <c r="M31" t="str">
        <f t="shared" ref="M31:M38" si="2">IF(D31="","",(D31/F31)*INDEX(CANT_PROYECTO,MATCH($B$13,ITEM,0)))</f>
        <v/>
      </c>
      <c r="N31" s="1"/>
      <c r="P31" s="11"/>
    </row>
    <row r="32" spans="2:16" x14ac:dyDescent="0.3">
      <c r="B32" s="27"/>
      <c r="C32" s="3" t="str">
        <f t="shared" si="0"/>
        <v/>
      </c>
      <c r="D32" s="30"/>
      <c r="E32" s="23" t="str">
        <f t="shared" si="1"/>
        <v/>
      </c>
      <c r="F32" s="30"/>
      <c r="G32" s="26" t="str">
        <f t="shared" ref="G32:G38" si="3">IF(D32="","",(E32*D32)/F32)</f>
        <v/>
      </c>
      <c r="K32" s="9"/>
      <c r="L32" t="str">
        <f t="shared" ref="L32:L38" si="4">+IF(B32="","",B32)</f>
        <v/>
      </c>
      <c r="M32" t="str">
        <f t="shared" si="2"/>
        <v/>
      </c>
      <c r="N32" s="1"/>
      <c r="P32" s="11"/>
    </row>
    <row r="33" spans="2:16" x14ac:dyDescent="0.3">
      <c r="B33" s="27"/>
      <c r="C33" s="3" t="str">
        <f t="shared" si="0"/>
        <v/>
      </c>
      <c r="D33" s="30"/>
      <c r="E33" s="23" t="str">
        <f t="shared" si="1"/>
        <v/>
      </c>
      <c r="F33" s="30"/>
      <c r="G33" s="26" t="str">
        <f t="shared" si="3"/>
        <v/>
      </c>
      <c r="K33" s="9"/>
      <c r="L33" t="str">
        <f t="shared" si="4"/>
        <v/>
      </c>
      <c r="M33" t="str">
        <f t="shared" si="2"/>
        <v/>
      </c>
      <c r="N33" s="1"/>
      <c r="P33" s="11"/>
    </row>
    <row r="34" spans="2:16" x14ac:dyDescent="0.3">
      <c r="B34" s="27"/>
      <c r="C34" s="3" t="str">
        <f t="shared" si="0"/>
        <v/>
      </c>
      <c r="D34" s="30"/>
      <c r="E34" s="23" t="str">
        <f t="shared" si="1"/>
        <v/>
      </c>
      <c r="F34" s="30"/>
      <c r="G34" s="26" t="str">
        <f t="shared" si="3"/>
        <v/>
      </c>
      <c r="K34" s="9"/>
      <c r="L34" t="str">
        <f t="shared" si="4"/>
        <v/>
      </c>
      <c r="M34" t="str">
        <f t="shared" si="2"/>
        <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0</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c r="C42" s="3" t="str">
        <f>+IF(B42="","",INDEX(U_MAQUINARIA,MATCH(B42,LISTA_MAQUINARIA,0)))</f>
        <v/>
      </c>
      <c r="D42" s="30"/>
      <c r="E42" s="23" t="str">
        <f>+IF(B42="","",INDEX(V_MAQUINARIA,MATCH(B42,LISTA_MAQUINARIA,0)))</f>
        <v/>
      </c>
      <c r="F42" s="3">
        <f>$G$20</f>
        <v>0</v>
      </c>
      <c r="G42" s="26" t="str">
        <f>IF(D42="","",(E42*D42)/F42)</f>
        <v/>
      </c>
      <c r="K42" s="9"/>
      <c r="L42" s="23" t="str">
        <f>IF(B42="","",INDEX(V_COMBUSTIBLE_H,MATCH(B42,LISTA_MAQUINARIA,0)))</f>
        <v/>
      </c>
      <c r="M42" s="23" t="str">
        <f>+IF(L42="","",(L42*D42)/F42)</f>
        <v/>
      </c>
      <c r="N42" s="23" t="str">
        <f>IF(G42="","",G42-M42)</f>
        <v/>
      </c>
      <c r="P42" s="11"/>
    </row>
    <row r="43" spans="2:16" x14ac:dyDescent="0.3">
      <c r="B43" s="27"/>
      <c r="C43" s="3" t="str">
        <f>+IF(B43="","",INDEX(U_MAQUINARIA,MATCH(B43,LISTA_MAQUINARIA,0)))</f>
        <v/>
      </c>
      <c r="D43" s="30"/>
      <c r="E43" s="23" t="str">
        <f>+IF(B43="","",INDEX(V_MAQUINARIA,MATCH(B43,LISTA_MAQUINARIA,0)))</f>
        <v/>
      </c>
      <c r="F43" s="3">
        <f>+$G$20</f>
        <v>0</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0</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0</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0</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0</v>
      </c>
      <c r="K47" s="9"/>
      <c r="M47" s="24">
        <f>SUM(M42:M46)</f>
        <v>0</v>
      </c>
      <c r="N47" s="24">
        <f>SUM(N42:N46)</f>
        <v>0</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c r="C50" s="30"/>
      <c r="D50" s="22" t="str">
        <f>+IF(B50="","",INDEX(F_PRESTACIONAL,MATCH(B50,L_PERSONAL,)))</f>
        <v/>
      </c>
      <c r="E50" s="23" t="str">
        <f>+IF(B50="","",INDEX(V_H_MANODEOBRA,MATCH(B50,L_PERSONAL,0)))</f>
        <v/>
      </c>
      <c r="F50" s="3">
        <f>+$G$20</f>
        <v>0</v>
      </c>
      <c r="G50" s="26" t="str">
        <f>+IF(C50="","",(E50*C50)/F50)</f>
        <v/>
      </c>
    </row>
    <row r="51" spans="2:7" x14ac:dyDescent="0.3">
      <c r="B51" s="27"/>
      <c r="C51" s="30"/>
      <c r="D51" s="22" t="str">
        <f>+IF(B51="","",INDEX(F_PRESTACIONAL,MATCH(B51,L_PERSONAL,)))</f>
        <v/>
      </c>
      <c r="E51" s="23" t="str">
        <f>+IF(B51="","",INDEX(V_H_MANODEOBRA,MATCH(B51,L_PERSONAL,0)))</f>
        <v/>
      </c>
      <c r="F51" s="3">
        <f>+$G$20</f>
        <v>0</v>
      </c>
      <c r="G51" s="26" t="str">
        <f>+IF(C51="","",(E51*C51)/F51)</f>
        <v/>
      </c>
    </row>
    <row r="52" spans="2:7" x14ac:dyDescent="0.3">
      <c r="B52" s="27"/>
      <c r="C52" s="30"/>
      <c r="D52" s="22" t="str">
        <f>+IF(B52="","",INDEX(F_PRESTACIONAL,MATCH(B52,L_PERSONAL,)))</f>
        <v/>
      </c>
      <c r="E52" s="23" t="str">
        <f>+IF(B52="","",INDEX(V_H_MANODEOBRA,MATCH(B52,L_PERSONAL,0)))</f>
        <v/>
      </c>
      <c r="F52" s="3">
        <f>+$G$20</f>
        <v>0</v>
      </c>
      <c r="G52" s="26" t="str">
        <f>+IF(C52="","",(E52*C52)/F52)</f>
        <v/>
      </c>
    </row>
    <row r="53" spans="2:7" x14ac:dyDescent="0.3">
      <c r="B53" s="27"/>
      <c r="C53" s="30"/>
      <c r="D53" s="22" t="str">
        <f>+IF(B53="","",INDEX(F_PRESTACIONAL,MATCH(B53,L_PERSONAL,)))</f>
        <v/>
      </c>
      <c r="E53" s="23" t="str">
        <f>+IF(B53="","",INDEX(V_H_MANODEOBRA,MATCH(B53,L_PERSONAL,0)))</f>
        <v/>
      </c>
      <c r="F53" s="3">
        <f>+$G$20</f>
        <v>0</v>
      </c>
      <c r="G53" s="26" t="str">
        <f>+IF(C53="","",(E53*C53)/F53)</f>
        <v/>
      </c>
    </row>
    <row r="54" spans="2:7" x14ac:dyDescent="0.3">
      <c r="B54" s="27"/>
      <c r="C54" s="30"/>
      <c r="D54" s="22" t="str">
        <f>+IF(B54="","",INDEX(F_PRESTACIONAL,MATCH(B54,L_PERSONAL,)))</f>
        <v/>
      </c>
      <c r="E54" s="23" t="str">
        <f>+IF(B54="","",INDEX(V_H_MANODEOBRA,MATCH(B54,L_PERSONAL,0)))</f>
        <v/>
      </c>
      <c r="F54" s="3">
        <f>+$G$20</f>
        <v>0</v>
      </c>
      <c r="G54" s="26" t="str">
        <f>+IF(C54="","",(E54*C54)/F54)</f>
        <v/>
      </c>
    </row>
    <row r="55" spans="2:7" x14ac:dyDescent="0.3">
      <c r="B55" s="9"/>
      <c r="G55" s="26">
        <f>SUM(G50:G54)</f>
        <v>0</v>
      </c>
    </row>
    <row r="56" spans="2:7" ht="17.25" thickBot="1" x14ac:dyDescent="0.35">
      <c r="B56" s="9"/>
      <c r="G56" s="11"/>
    </row>
    <row r="57" spans="2:7" ht="17.25" thickBot="1" x14ac:dyDescent="0.35">
      <c r="B57" s="610" t="s">
        <v>98</v>
      </c>
      <c r="C57" s="611"/>
      <c r="D57" s="611"/>
      <c r="E57" s="611"/>
      <c r="F57" s="612"/>
      <c r="G57" s="66">
        <f>+G55+G47+G39+G28</f>
        <v>0</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0</v>
      </c>
    </row>
    <row r="61" spans="2:7" x14ac:dyDescent="0.3">
      <c r="B61" s="613" t="s">
        <v>86</v>
      </c>
      <c r="C61" s="614"/>
      <c r="D61" s="614"/>
      <c r="E61" s="614"/>
      <c r="F61" s="22">
        <f>+IMPREVISTOS</f>
        <v>0.03</v>
      </c>
      <c r="G61" s="26">
        <f>+$G$57*F61</f>
        <v>0</v>
      </c>
    </row>
    <row r="62" spans="2:7" x14ac:dyDescent="0.3">
      <c r="B62" s="613" t="s">
        <v>87</v>
      </c>
      <c r="C62" s="614"/>
      <c r="D62" s="614"/>
      <c r="E62" s="614"/>
      <c r="F62" s="22">
        <f>+UTILIDAD</f>
        <v>0.05</v>
      </c>
      <c r="G62" s="26">
        <f>+$G$57*F62</f>
        <v>0</v>
      </c>
    </row>
    <row r="63" spans="2:7" x14ac:dyDescent="0.3">
      <c r="B63" s="596" t="s">
        <v>100</v>
      </c>
      <c r="C63" s="597"/>
      <c r="D63" s="597"/>
      <c r="E63" s="597"/>
      <c r="F63" s="597"/>
      <c r="G63" s="53">
        <f>SUM(G60:G62)</f>
        <v>0</v>
      </c>
    </row>
    <row r="64" spans="2:7" ht="17.25" thickBot="1" x14ac:dyDescent="0.35">
      <c r="B64" s="9"/>
      <c r="G64" s="44"/>
    </row>
    <row r="65" spans="2:7" ht="17.25" thickBot="1" x14ac:dyDescent="0.35">
      <c r="B65" s="598" t="s">
        <v>101</v>
      </c>
      <c r="C65" s="599"/>
      <c r="D65" s="599"/>
      <c r="E65" s="599"/>
      <c r="F65" s="600"/>
      <c r="G65" s="65">
        <f>+G63+G57</f>
        <v>0</v>
      </c>
    </row>
    <row r="66" spans="2:7" x14ac:dyDescent="0.3">
      <c r="B66" s="6"/>
      <c r="C66" s="7"/>
      <c r="D66" s="7"/>
      <c r="E66" s="7"/>
      <c r="F66" s="7"/>
      <c r="G66" s="8"/>
    </row>
    <row r="67" spans="2:7" x14ac:dyDescent="0.3">
      <c r="B67" s="9"/>
      <c r="G67" s="11"/>
    </row>
    <row r="68" spans="2:7" x14ac:dyDescent="0.3">
      <c r="B68" s="69" t="s">
        <v>123</v>
      </c>
      <c r="C68" s="67"/>
      <c r="D68" s="67"/>
      <c r="E68" s="67"/>
      <c r="F68" s="67"/>
      <c r="G68" s="70"/>
    </row>
    <row r="69" spans="2:7" x14ac:dyDescent="0.3">
      <c r="B69" s="71"/>
      <c r="C69" s="67"/>
      <c r="D69" s="67"/>
      <c r="E69" s="67"/>
      <c r="F69" s="67"/>
      <c r="G69" s="70"/>
    </row>
    <row r="70" spans="2:7" x14ac:dyDescent="0.3">
      <c r="B70" s="72"/>
      <c r="C70" s="68"/>
      <c r="D70" s="68"/>
      <c r="E70" s="68"/>
      <c r="F70" s="68"/>
      <c r="G70" s="73"/>
    </row>
    <row r="71" spans="2:7" x14ac:dyDescent="0.3">
      <c r="B71" s="71"/>
      <c r="C71" s="67"/>
      <c r="D71" s="67"/>
      <c r="E71" s="67"/>
      <c r="F71" s="67"/>
      <c r="G71" s="70"/>
    </row>
    <row r="72" spans="2:7" ht="17.25" thickBot="1" x14ac:dyDescent="0.35">
      <c r="B72" s="15"/>
      <c r="C72" s="13"/>
      <c r="D72" s="13"/>
      <c r="E72" s="13"/>
      <c r="F72" s="13"/>
      <c r="G72" s="14"/>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count="5">
    <dataValidation type="list" allowBlank="1" showInputMessage="1" showErrorMessage="1" sqref="E102" xr:uid="{1C62D0A3-355D-4C7C-A6E1-AADC4D08508D}">
      <formula1>$A$103:$A$105</formula1>
    </dataValidation>
    <dataValidation type="list" allowBlank="1" showInputMessage="1" showErrorMessage="1" sqref="B13" xr:uid="{378F5DE9-618B-4C56-B9C2-EB67141A7204}">
      <formula1>ITEM</formula1>
    </dataValidation>
    <dataValidation type="list" allowBlank="1" showInputMessage="1" showErrorMessage="1" sqref="B50:B54" xr:uid="{E353B12B-7E0E-42E1-92EE-B9ED7D5A12D3}">
      <formula1>L_PERSONAL</formula1>
    </dataValidation>
    <dataValidation type="list" allowBlank="1" showInputMessage="1" showErrorMessage="1" sqref="B31:B38" xr:uid="{3F346C93-8CC0-4535-A3EF-1C330343D263}">
      <formula1>L_MATERIALES</formula1>
    </dataValidation>
    <dataValidation type="list" allowBlank="1" showInputMessage="1" showErrorMessage="1" sqref="B23:B27 B42:B46" xr:uid="{947112D2-CF1D-46B1-B5EC-9956FB95EE61}">
      <formula1>LISTA_MAQUINARIA</formula1>
    </dataValidation>
  </dataValidations>
  <pageMargins left="0.7" right="0.7" top="0.75" bottom="0.75" header="0.3" footer="0.3"/>
  <pageSetup scale="54" orientation="portrait" r:id="rId1"/>
  <rowBreaks count="1" manualBreakCount="1">
    <brk id="78" max="16383" man="1"/>
  </rowBreaks>
  <colBreaks count="1" manualBreakCount="1">
    <brk id="7" max="1048575" man="1"/>
  </colBreaks>
  <drawing r:id="rId2"/>
  <tableParts count="1">
    <tablePart r:id="rId3"/>
  </tableParts>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74B94-16E6-4BFF-BDD6-9AF85F756571}">
  <sheetPr codeName="Hoja68"/>
  <dimension ref="A1:P105"/>
  <sheetViews>
    <sheetView showGridLines="0" view="pageBreakPreview" zoomScale="60" zoomScaleNormal="60" workbookViewId="0">
      <selection activeCell="J35" sqref="J35"/>
    </sheetView>
  </sheetViews>
  <sheetFormatPr defaultColWidth="11" defaultRowHeight="16.5" x14ac:dyDescent="0.3"/>
  <cols>
    <col min="2" max="2" width="48.75" bestFit="1" customWidth="1"/>
    <col min="3" max="3" width="19.375" customWidth="1"/>
    <col min="4" max="4" width="14" customWidth="1"/>
    <col min="5" max="5" width="17.375" bestFit="1" customWidth="1"/>
    <col min="6" max="6" width="22.625" bestFit="1" customWidth="1"/>
    <col min="7" max="7" width="23.625"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57</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18" t="str">
        <f>+IF($B$13="","",INDEX(DESCRIP_ITEM,MATCH($B$13,ITEM,0)))</f>
        <v>Suministro e instalacion de tuberia PVC Conduit tipo DB (2") dentro de las zanjas . Incluye entrega de la certificación de conformidad RETIE, certificación del producto del fabricante. Nota: tubería debe ser de fa bricantes reconocidos como PAVCO, GERFOR, DURMAN.</v>
      </c>
      <c r="C16" s="619"/>
      <c r="D16" s="619"/>
      <c r="E16" s="619"/>
      <c r="F16" s="619"/>
      <c r="G16" s="620"/>
    </row>
    <row r="17" spans="2:16" ht="44.25" customHeight="1" thickBot="1" x14ac:dyDescent="0.35">
      <c r="B17" s="621"/>
      <c r="C17" s="622"/>
      <c r="D17" s="622"/>
      <c r="E17" s="622"/>
      <c r="F17" s="622"/>
      <c r="G17" s="623"/>
    </row>
    <row r="18" spans="2:16" ht="17.25" thickBot="1" x14ac:dyDescent="0.35">
      <c r="B18" s="591"/>
      <c r="C18" s="579"/>
      <c r="D18" s="579"/>
      <c r="E18" s="579"/>
      <c r="G18" s="11"/>
    </row>
    <row r="19" spans="2:16" ht="17.25" thickBot="1" x14ac:dyDescent="0.35">
      <c r="B19" s="592"/>
      <c r="C19" s="593"/>
      <c r="D19" s="593"/>
      <c r="E19" s="593"/>
      <c r="F19" s="54" t="s">
        <v>89</v>
      </c>
      <c r="G19" s="25" t="str">
        <f>+IF(B13="","",INDEX(U_ITEM,MATCH(B13,ITEM,0)))</f>
        <v>ML</v>
      </c>
    </row>
    <row r="20" spans="2:16" ht="17.25" thickBot="1" x14ac:dyDescent="0.35">
      <c r="B20" s="592"/>
      <c r="C20" s="593"/>
      <c r="D20" s="593"/>
      <c r="E20" s="593"/>
      <c r="F20" s="55" t="s">
        <v>90</v>
      </c>
      <c r="G20" s="56">
        <v>155</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t="s">
        <v>354</v>
      </c>
      <c r="C23" s="3" t="str">
        <f>+IF(B23="","",INDEX(U_MAQUINARIA,MATCH(B23,LISTA_MAQUINARIA,0)))</f>
        <v>VALOR / HORA</v>
      </c>
      <c r="D23" s="30">
        <v>0.125</v>
      </c>
      <c r="E23" s="23">
        <f>+IF(B23="","",INDEX(V_MAQUINARIA,MATCH(B23,LISTA_MAQUINARIA,0)))</f>
        <v>89781.818181818177</v>
      </c>
      <c r="F23" s="3">
        <f>$G$20</f>
        <v>155</v>
      </c>
      <c r="G23" s="26">
        <f>+IF(B23="","",(D23*E23)/F23)</f>
        <v>72.404692082111438</v>
      </c>
      <c r="K23" s="9"/>
      <c r="L23" s="23">
        <f>IF(B23="","",INDEX(V_COMBUSTIBLE_H,MATCH(B23,LISTA_MAQUINARIA,0)))</f>
        <v>21600</v>
      </c>
      <c r="M23" s="23">
        <f>+IF(L23="","",(L23*D23)/F23)</f>
        <v>17.419354838709676</v>
      </c>
      <c r="N23" s="23">
        <f>IF(G23="","",G23-M23)</f>
        <v>54.985337243401759</v>
      </c>
      <c r="P23" s="11"/>
    </row>
    <row r="24" spans="2:16" x14ac:dyDescent="0.3">
      <c r="B24" s="27"/>
      <c r="C24" s="3" t="str">
        <f>+IF(B24="","",INDEX(U_MAQUINARIA,MATCH(B24,LISTA_MAQUINARIA,0)))</f>
        <v/>
      </c>
      <c r="D24" s="30"/>
      <c r="E24" s="23" t="str">
        <f>+IF(B24="","",INDEX(V_MAQUINARIA,MATCH(B24,LISTA_MAQUINARIA,0)))</f>
        <v/>
      </c>
      <c r="F24" s="3">
        <f>$G$20</f>
        <v>155</v>
      </c>
      <c r="G24" s="26" t="str">
        <f>+IF(B24="","",(D24*E24)/F24)</f>
        <v/>
      </c>
      <c r="K24" s="9"/>
      <c r="L24" s="3" t="str">
        <f>IF(B24="","",INDEX(V_COMBUSTIBLE_H,MATCH(B24,LISTA_MAQUINARIA,0)))</f>
        <v/>
      </c>
      <c r="M24" s="3" t="str">
        <f>+IF(L24="","",(L24*D24)/F24)</f>
        <v/>
      </c>
      <c r="N24" s="3" t="str">
        <f>IF(G24="","",G24-M24)</f>
        <v/>
      </c>
      <c r="P24" s="11"/>
    </row>
    <row r="25" spans="2:16" x14ac:dyDescent="0.3">
      <c r="B25" s="27"/>
      <c r="C25" s="3" t="str">
        <f>+IF(B25="","",INDEX(U_MAQUINARIA,MATCH(B25,LISTA_MAQUINARIA,0)))</f>
        <v/>
      </c>
      <c r="D25" s="30"/>
      <c r="E25" s="23" t="str">
        <f>+IF(B25="","",INDEX(V_MAQUINARIA,MATCH(B25,LISTA_MAQUINARIA,0)))</f>
        <v/>
      </c>
      <c r="F25" s="3">
        <f>$G$20</f>
        <v>155</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155</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155</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72.404692082111438</v>
      </c>
      <c r="K28" s="9"/>
      <c r="M28" s="24">
        <f>SUM(M23:M27)</f>
        <v>17.419354838709676</v>
      </c>
      <c r="N28" s="24">
        <f>SUM(N23:N27)</f>
        <v>54.985337243401759</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t="s">
        <v>413</v>
      </c>
      <c r="C31" s="3" t="str">
        <f t="shared" ref="C31:C38" si="0">+IF(B31="","",INDEX(U_MATERIAL,MATCH(B31,L_MATERIALES,0)))</f>
        <v>ML</v>
      </c>
      <c r="D31" s="30">
        <v>1.05</v>
      </c>
      <c r="E31" s="23">
        <f t="shared" ref="E31:E38" si="1">+IF(B31="","",INDEX(V_UNITARIOMATERIAL,MATCH(B31,L_MATERIALES,0)))</f>
        <v>7560</v>
      </c>
      <c r="F31" s="30">
        <v>1</v>
      </c>
      <c r="G31" s="26">
        <f>IF(D31="","",(E31*D31)/F31)</f>
        <v>7938</v>
      </c>
      <c r="K31" s="9"/>
      <c r="L31" t="str">
        <f>+IF(B31="","",B31)</f>
        <v>TUBERIA CORRUGADA PEAD 2 PULGADAS---</v>
      </c>
      <c r="M31">
        <f t="shared" ref="M31:M38" si="2">IF(D31="","",(D31/F31)*INDEX(CANT_PROYECTO,MATCH($B$13,ITEM,0)))</f>
        <v>34125</v>
      </c>
      <c r="N31" s="1"/>
      <c r="P31" s="11"/>
    </row>
    <row r="32" spans="2:16" x14ac:dyDescent="0.3">
      <c r="B32" s="27" t="s">
        <v>361</v>
      </c>
      <c r="C32" s="3" t="str">
        <f t="shared" si="0"/>
        <v>UND</v>
      </c>
      <c r="D32" s="30">
        <v>1</v>
      </c>
      <c r="E32" s="23">
        <f t="shared" si="1"/>
        <v>340000</v>
      </c>
      <c r="F32" s="30">
        <v>500</v>
      </c>
      <c r="G32" s="26">
        <f t="shared" ref="G32:G38" si="3">IF(D32="","",(E32*D32)/F32)</f>
        <v>680</v>
      </c>
      <c r="K32" s="9"/>
      <c r="L32" t="str">
        <f t="shared" ref="L32:L38" si="4">+IF(B32="","",B32)</f>
        <v>HERRAMIENTA MENOR---</v>
      </c>
      <c r="M32">
        <f t="shared" si="2"/>
        <v>65</v>
      </c>
      <c r="N32" s="1"/>
      <c r="P32" s="11"/>
    </row>
    <row r="33" spans="2:16" x14ac:dyDescent="0.3">
      <c r="B33" s="27"/>
      <c r="C33" s="3" t="str">
        <f t="shared" si="0"/>
        <v/>
      </c>
      <c r="D33" s="30"/>
      <c r="E33" s="23" t="str">
        <f t="shared" si="1"/>
        <v/>
      </c>
      <c r="F33" s="30"/>
      <c r="G33" s="26" t="str">
        <f t="shared" si="3"/>
        <v/>
      </c>
      <c r="K33" s="9"/>
      <c r="L33" t="str">
        <f t="shared" si="4"/>
        <v/>
      </c>
      <c r="M33" t="str">
        <f t="shared" si="2"/>
        <v/>
      </c>
      <c r="N33" s="1"/>
      <c r="P33" s="11"/>
    </row>
    <row r="34" spans="2:16" x14ac:dyDescent="0.3">
      <c r="B34" s="27"/>
      <c r="C34" s="3" t="str">
        <f t="shared" si="0"/>
        <v/>
      </c>
      <c r="D34" s="30"/>
      <c r="E34" s="23" t="str">
        <f t="shared" si="1"/>
        <v/>
      </c>
      <c r="F34" s="30"/>
      <c r="G34" s="26" t="str">
        <f t="shared" si="3"/>
        <v/>
      </c>
      <c r="K34" s="9"/>
      <c r="L34" t="str">
        <f t="shared" si="4"/>
        <v/>
      </c>
      <c r="M34" t="str">
        <f t="shared" si="2"/>
        <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8618</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t="s">
        <v>368</v>
      </c>
      <c r="C42" s="3" t="str">
        <f>+IF(B42="","",INDEX(U_MAQUINARIA,MATCH(B42,LISTA_MAQUINARIA,0)))</f>
        <v>VALOR / HORA</v>
      </c>
      <c r="D42" s="30">
        <v>1</v>
      </c>
      <c r="E42" s="23">
        <f>+IF(B42="","",INDEX(V_MAQUINARIA,MATCH(B42,LISTA_MAQUINARIA,0)))</f>
        <v>58531.818181818184</v>
      </c>
      <c r="F42" s="3">
        <f>$G$20</f>
        <v>155</v>
      </c>
      <c r="G42" s="26">
        <f>IF(D42="","",(E42*D42)/F42)</f>
        <v>377.62463343108504</v>
      </c>
      <c r="K42" s="9"/>
      <c r="L42" s="23">
        <f>IF(B42="","",INDEX(V_COMBUSTIBLE_H,MATCH(B42,LISTA_MAQUINARIA,0)))</f>
        <v>21600</v>
      </c>
      <c r="M42" s="23">
        <f>+IF(L42="","",(L42*D42)/F42)</f>
        <v>139.35483870967741</v>
      </c>
      <c r="N42" s="23">
        <f>IF(G42="","",G42-M42)</f>
        <v>238.26979472140764</v>
      </c>
      <c r="P42" s="11"/>
    </row>
    <row r="43" spans="2:16" x14ac:dyDescent="0.3">
      <c r="B43" s="27"/>
      <c r="C43" s="3" t="str">
        <f>+IF(B43="","",INDEX(U_MAQUINARIA,MATCH(B43,LISTA_MAQUINARIA,0)))</f>
        <v/>
      </c>
      <c r="D43" s="30"/>
      <c r="E43" s="23" t="str">
        <f>+IF(B43="","",INDEX(V_MAQUINARIA,MATCH(B43,LISTA_MAQUINARIA,0)))</f>
        <v/>
      </c>
      <c r="F43" s="3">
        <f>+$G$20</f>
        <v>155</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155</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155</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155</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377.62463343108504</v>
      </c>
      <c r="K47" s="9"/>
      <c r="M47" s="24">
        <f>SUM(M42:M46)</f>
        <v>139.35483870967741</v>
      </c>
      <c r="N47" s="24">
        <f>SUM(N42:N46)</f>
        <v>238.26979472140764</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t="s">
        <v>304</v>
      </c>
      <c r="C50" s="30">
        <v>4</v>
      </c>
      <c r="D50" s="22">
        <f>+IF(B50="","",INDEX(F_PRESTACIONAL,MATCH(B50,L_PERSONAL,)))</f>
        <v>1.6352</v>
      </c>
      <c r="E50" s="23">
        <f>+IF(B50="","",INDEX(V_H_MANODEOBRA,MATCH(B50,L_PERSONAL,0)))</f>
        <v>24658.815999999999</v>
      </c>
      <c r="F50" s="3">
        <f>+$G$20</f>
        <v>155</v>
      </c>
      <c r="G50" s="26">
        <f>+IF(C50="","",(E50*C50)/F50)</f>
        <v>636.35654193548385</v>
      </c>
    </row>
    <row r="51" spans="2:7" x14ac:dyDescent="0.3">
      <c r="B51" s="27" t="s">
        <v>298</v>
      </c>
      <c r="C51" s="30">
        <v>1</v>
      </c>
      <c r="D51" s="22">
        <f>+IF(B51="","",INDEX(F_PRESTACIONAL,MATCH(B51,L_PERSONAL,)))</f>
        <v>1.6352</v>
      </c>
      <c r="E51" s="23">
        <f>+IF(B51="","",INDEX(V_H_MANODEOBRA,MATCH(B51,L_PERSONAL,0)))</f>
        <v>40136.727272727272</v>
      </c>
      <c r="F51" s="3">
        <f>+$G$20</f>
        <v>155</v>
      </c>
      <c r="G51" s="26">
        <f>+IF(C51="","",(E51*C51)/F51)</f>
        <v>258.9466275659824</v>
      </c>
    </row>
    <row r="52" spans="2:7" x14ac:dyDescent="0.3">
      <c r="B52" s="27" t="s">
        <v>299</v>
      </c>
      <c r="C52" s="30">
        <v>0.125</v>
      </c>
      <c r="D52" s="22">
        <f>+IF(B52="","",INDEX(F_PRESTACIONAL,MATCH(B52,L_PERSONAL,)))</f>
        <v>1.6352</v>
      </c>
      <c r="E52" s="23">
        <f>+IF(B52="","",INDEX(V_H_MANODEOBRA,MATCH(B52,L_PERSONAL,0)))</f>
        <v>22298.18181818182</v>
      </c>
      <c r="F52" s="3">
        <f>+$G$20</f>
        <v>155</v>
      </c>
      <c r="G52" s="26">
        <f>+IF(C52="","",(E52*C52)/F52)</f>
        <v>17.982404692082113</v>
      </c>
    </row>
    <row r="53" spans="2:7" x14ac:dyDescent="0.3">
      <c r="B53" s="27"/>
      <c r="C53" s="30"/>
      <c r="D53" s="22" t="str">
        <f>+IF(B53="","",INDEX(F_PRESTACIONAL,MATCH(B53,L_PERSONAL,)))</f>
        <v/>
      </c>
      <c r="E53" s="23" t="str">
        <f>+IF(B53="","",INDEX(V_H_MANODEOBRA,MATCH(B53,L_PERSONAL,0)))</f>
        <v/>
      </c>
      <c r="F53" s="3">
        <f>+$G$20</f>
        <v>155</v>
      </c>
      <c r="G53" s="26" t="str">
        <f>+IF(C53="","",(E53*C53)/F53)</f>
        <v/>
      </c>
    </row>
    <row r="54" spans="2:7" x14ac:dyDescent="0.3">
      <c r="B54" s="27"/>
      <c r="C54" s="30"/>
      <c r="D54" s="22" t="str">
        <f>+IF(B54="","",INDEX(F_PRESTACIONAL,MATCH(B54,L_PERSONAL,)))</f>
        <v/>
      </c>
      <c r="E54" s="23" t="str">
        <f>+IF(B54="","",INDEX(V_H_MANODEOBRA,MATCH(B54,L_PERSONAL,0)))</f>
        <v/>
      </c>
      <c r="F54" s="3">
        <f>+$G$20</f>
        <v>155</v>
      </c>
      <c r="G54" s="26" t="str">
        <f>+IF(C54="","",(E54*C54)/F54)</f>
        <v/>
      </c>
    </row>
    <row r="55" spans="2:7" x14ac:dyDescent="0.3">
      <c r="B55" s="9"/>
      <c r="G55" s="26">
        <f>SUM(G50:G54)</f>
        <v>913.28557419354843</v>
      </c>
    </row>
    <row r="56" spans="2:7" ht="17.25" thickBot="1" x14ac:dyDescent="0.35">
      <c r="B56" s="9"/>
      <c r="G56" s="11"/>
    </row>
    <row r="57" spans="2:7" ht="17.25" thickBot="1" x14ac:dyDescent="0.35">
      <c r="B57" s="610" t="s">
        <v>98</v>
      </c>
      <c r="C57" s="611"/>
      <c r="D57" s="611"/>
      <c r="E57" s="611"/>
      <c r="F57" s="612"/>
      <c r="G57" s="66">
        <f>+G55+G47+G39+G28</f>
        <v>9981.3148997067456</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1197.7577879648095</v>
      </c>
    </row>
    <row r="61" spans="2:7" x14ac:dyDescent="0.3">
      <c r="B61" s="613" t="s">
        <v>86</v>
      </c>
      <c r="C61" s="614"/>
      <c r="D61" s="614"/>
      <c r="E61" s="614"/>
      <c r="F61" s="22">
        <f>+IMPREVISTOS</f>
        <v>0.03</v>
      </c>
      <c r="G61" s="26">
        <f>+$G$57*F61</f>
        <v>299.43944699120237</v>
      </c>
    </row>
    <row r="62" spans="2:7" x14ac:dyDescent="0.3">
      <c r="B62" s="613" t="s">
        <v>87</v>
      </c>
      <c r="C62" s="614"/>
      <c r="D62" s="614"/>
      <c r="E62" s="614"/>
      <c r="F62" s="22">
        <f>+UTILIDAD</f>
        <v>0.05</v>
      </c>
      <c r="G62" s="26">
        <f>+$G$57*F62</f>
        <v>499.06574498533729</v>
      </c>
    </row>
    <row r="63" spans="2:7" x14ac:dyDescent="0.3">
      <c r="B63" s="596" t="s">
        <v>100</v>
      </c>
      <c r="C63" s="597"/>
      <c r="D63" s="597"/>
      <c r="E63" s="597"/>
      <c r="F63" s="597"/>
      <c r="G63" s="53">
        <f>SUM(G60:G62)</f>
        <v>1996.2629799413492</v>
      </c>
    </row>
    <row r="64" spans="2:7" ht="17.25" thickBot="1" x14ac:dyDescent="0.35">
      <c r="B64" s="9"/>
      <c r="G64" s="44"/>
    </row>
    <row r="65" spans="2:7" ht="17.25" thickBot="1" x14ac:dyDescent="0.35">
      <c r="B65" s="598" t="s">
        <v>101</v>
      </c>
      <c r="C65" s="599"/>
      <c r="D65" s="599"/>
      <c r="E65" s="599"/>
      <c r="F65" s="600"/>
      <c r="G65" s="65">
        <f>+G63+G57</f>
        <v>11977.577879648095</v>
      </c>
    </row>
    <row r="66" spans="2:7" x14ac:dyDescent="0.3">
      <c r="B66" s="6"/>
      <c r="C66" s="7"/>
      <c r="D66" s="7"/>
      <c r="E66" s="7"/>
      <c r="F66" s="7"/>
      <c r="G66" s="8"/>
    </row>
    <row r="67" spans="2:7" x14ac:dyDescent="0.3">
      <c r="B67" s="9"/>
      <c r="G67" s="11"/>
    </row>
    <row r="68" spans="2:7" x14ac:dyDescent="0.3">
      <c r="B68" s="69" t="s">
        <v>123</v>
      </c>
      <c r="C68" s="67"/>
      <c r="D68" s="67"/>
      <c r="E68" s="67"/>
      <c r="F68" s="67"/>
      <c r="G68" s="70"/>
    </row>
    <row r="69" spans="2:7" x14ac:dyDescent="0.3">
      <c r="B69" s="71"/>
      <c r="C69" s="67"/>
      <c r="D69" s="67"/>
      <c r="E69" s="67"/>
      <c r="F69" s="67"/>
      <c r="G69" s="70"/>
    </row>
    <row r="70" spans="2:7" x14ac:dyDescent="0.3">
      <c r="B70" s="72"/>
      <c r="C70" s="68"/>
      <c r="D70" s="68"/>
      <c r="E70" s="68"/>
      <c r="F70" s="68"/>
      <c r="G70" s="73"/>
    </row>
    <row r="71" spans="2:7" x14ac:dyDescent="0.3">
      <c r="B71" s="71"/>
      <c r="C71" s="67"/>
      <c r="D71" s="67"/>
      <c r="E71" s="67"/>
      <c r="F71" s="67"/>
      <c r="G71" s="70"/>
    </row>
    <row r="72" spans="2:7" ht="17.25" thickBot="1" x14ac:dyDescent="0.35">
      <c r="B72" s="15"/>
      <c r="C72" s="13"/>
      <c r="D72" s="13"/>
      <c r="E72" s="13"/>
      <c r="F72" s="13"/>
      <c r="G72" s="14"/>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count="5">
    <dataValidation type="list" allowBlank="1" showInputMessage="1" showErrorMessage="1" sqref="E102" xr:uid="{176A1C03-4E8D-4DF6-926C-F13101043A06}">
      <formula1>$A$103:$A$105</formula1>
    </dataValidation>
    <dataValidation type="list" allowBlank="1" showInputMessage="1" showErrorMessage="1" sqref="B13" xr:uid="{C8ADC384-ED18-4139-814A-75FED32EAC96}">
      <formula1>ITEM</formula1>
    </dataValidation>
    <dataValidation type="list" allowBlank="1" showInputMessage="1" showErrorMessage="1" sqref="B50:B54" xr:uid="{19E8094E-BA28-4164-81D8-17574FCF205D}">
      <formula1>L_PERSONAL</formula1>
    </dataValidation>
    <dataValidation type="list" allowBlank="1" showInputMessage="1" showErrorMessage="1" sqref="B31:B38" xr:uid="{E9F930D8-2E58-4146-9C77-8967E2021CF0}">
      <formula1>L_MATERIALES</formula1>
    </dataValidation>
    <dataValidation type="list" allowBlank="1" showInputMessage="1" showErrorMessage="1" sqref="B23:B27 B42:B46" xr:uid="{85A0809A-41F4-45EA-B105-01F0EA54264E}">
      <formula1>LISTA_MAQUINARIA</formula1>
    </dataValidation>
  </dataValidations>
  <pageMargins left="1.3779527559055118" right="0.70866141732283472" top="0.74803149606299213" bottom="0.74803149606299213" header="0.31496062992125984" footer="0.31496062992125984"/>
  <pageSetup scale="51" orientation="portrait" r:id="rId1"/>
  <rowBreaks count="1" manualBreakCount="1">
    <brk id="78" max="16383" man="1"/>
  </rowBreaks>
  <colBreaks count="1" manualBreakCount="1">
    <brk id="7" max="1048575" man="1"/>
  </colBreaks>
  <drawing r:id="rId2"/>
  <tableParts count="1">
    <tablePart r:id="rId3"/>
  </tableParts>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0B016B-7DF9-4E29-8E86-38A2788AF373}">
  <sheetPr codeName="Hoja69"/>
  <dimension ref="A1:P105"/>
  <sheetViews>
    <sheetView showGridLines="0" view="pageBreakPreview" topLeftCell="A41" zoomScale="60" zoomScaleNormal="63" workbookViewId="0">
      <selection activeCell="J35" sqref="J35"/>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58</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18" t="str">
        <f>+IF($B$13="","",INDEX(DESCRIP_ITEM,MATCH($B$13,ITEM,0)))</f>
        <v>Suministro e instalación de la tuberia tipo PEAD Conduit corrugada de 2" dentro de las zanjas y en las zonas que quedan expuestas. Incluye los elementos de sujeción al piso de la excavación y a la estructura metálica del tracker con cinta bandit. Incluye entrega de la certificación de conformidad RETIE, certificación del producto del fabricante.</v>
      </c>
      <c r="C16" s="619"/>
      <c r="D16" s="619"/>
      <c r="E16" s="619"/>
      <c r="F16" s="619"/>
      <c r="G16" s="620"/>
    </row>
    <row r="17" spans="2:16" ht="44.25" customHeight="1" thickBot="1" x14ac:dyDescent="0.35">
      <c r="B17" s="621"/>
      <c r="C17" s="622"/>
      <c r="D17" s="622"/>
      <c r="E17" s="622"/>
      <c r="F17" s="622"/>
      <c r="G17" s="623"/>
    </row>
    <row r="18" spans="2:16" ht="17.25" thickBot="1" x14ac:dyDescent="0.35">
      <c r="B18" s="591"/>
      <c r="C18" s="579"/>
      <c r="D18" s="579"/>
      <c r="E18" s="579"/>
      <c r="G18" s="11"/>
    </row>
    <row r="19" spans="2:16" ht="17.25" thickBot="1" x14ac:dyDescent="0.35">
      <c r="B19" s="592"/>
      <c r="C19" s="593"/>
      <c r="D19" s="593"/>
      <c r="E19" s="593"/>
      <c r="F19" s="54" t="s">
        <v>89</v>
      </c>
      <c r="G19" s="25" t="str">
        <f>+IF(B13="","",INDEX(U_ITEM,MATCH(B13,ITEM,0)))</f>
        <v>ML</v>
      </c>
    </row>
    <row r="20" spans="2:16" ht="17.25" thickBot="1" x14ac:dyDescent="0.35">
      <c r="B20" s="592"/>
      <c r="C20" s="593"/>
      <c r="D20" s="593"/>
      <c r="E20" s="593"/>
      <c r="F20" s="55" t="s">
        <v>90</v>
      </c>
      <c r="G20" s="56">
        <v>160</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t="s">
        <v>354</v>
      </c>
      <c r="C23" s="3" t="str">
        <f>+IF(B23="","",INDEX(U_MAQUINARIA,MATCH(B23,LISTA_MAQUINARIA,0)))</f>
        <v>VALOR / HORA</v>
      </c>
      <c r="D23" s="30">
        <v>0.125</v>
      </c>
      <c r="E23" s="23">
        <f>+IF(B23="","",INDEX(V_MAQUINARIA,MATCH(B23,LISTA_MAQUINARIA,0)))</f>
        <v>89781.818181818177</v>
      </c>
      <c r="F23" s="3">
        <f>$G$20</f>
        <v>160</v>
      </c>
      <c r="G23" s="26">
        <f>+IF(B23="","",(D23*E23)/F23)</f>
        <v>70.142045454545453</v>
      </c>
      <c r="K23" s="9"/>
      <c r="L23" s="23">
        <f>IF(B23="","",INDEX(V_COMBUSTIBLE_H,MATCH(B23,LISTA_MAQUINARIA,0)))</f>
        <v>21600</v>
      </c>
      <c r="M23" s="23">
        <f>+IF(L23="","",(L23*D23)/F23)</f>
        <v>16.875</v>
      </c>
      <c r="N23" s="23">
        <f>IF(G23="","",G23-M23)</f>
        <v>53.267045454545453</v>
      </c>
      <c r="P23" s="11"/>
    </row>
    <row r="24" spans="2:16" x14ac:dyDescent="0.3">
      <c r="B24" s="27"/>
      <c r="C24" s="3" t="str">
        <f>+IF(B24="","",INDEX(U_MAQUINARIA,MATCH(B24,LISTA_MAQUINARIA,0)))</f>
        <v/>
      </c>
      <c r="D24" s="30"/>
      <c r="E24" s="23" t="str">
        <f>+IF(B24="","",INDEX(V_MAQUINARIA,MATCH(B24,LISTA_MAQUINARIA,0)))</f>
        <v/>
      </c>
      <c r="F24" s="3">
        <f>$G$20</f>
        <v>160</v>
      </c>
      <c r="G24" s="26" t="str">
        <f>+IF(B24="","",(D24*E24)/F24)</f>
        <v/>
      </c>
      <c r="K24" s="9"/>
      <c r="L24" s="3" t="str">
        <f>IF(B24="","",INDEX(V_COMBUSTIBLE_H,MATCH(B24,LISTA_MAQUINARIA,0)))</f>
        <v/>
      </c>
      <c r="M24" s="3" t="str">
        <f>+IF(L24="","",(L24*D24)/F24)</f>
        <v/>
      </c>
      <c r="N24" s="3" t="str">
        <f>IF(G24="","",G24-M24)</f>
        <v/>
      </c>
      <c r="P24" s="11"/>
    </row>
    <row r="25" spans="2:16" x14ac:dyDescent="0.3">
      <c r="B25" s="27"/>
      <c r="C25" s="3" t="str">
        <f>+IF(B25="","",INDEX(U_MAQUINARIA,MATCH(B25,LISTA_MAQUINARIA,0)))</f>
        <v/>
      </c>
      <c r="D25" s="30"/>
      <c r="E25" s="23" t="str">
        <f>+IF(B25="","",INDEX(V_MAQUINARIA,MATCH(B25,LISTA_MAQUINARIA,0)))</f>
        <v/>
      </c>
      <c r="F25" s="3">
        <f>$G$20</f>
        <v>160</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160</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160</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70.142045454545453</v>
      </c>
      <c r="K28" s="9"/>
      <c r="M28" s="24">
        <f>SUM(M23:M27)</f>
        <v>16.875</v>
      </c>
      <c r="N28" s="24">
        <f>SUM(N23:N27)</f>
        <v>53.267045454545453</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t="s">
        <v>413</v>
      </c>
      <c r="C31" s="3" t="str">
        <f t="shared" ref="C31:C38" si="0">+IF(B31="","",INDEX(U_MATERIAL,MATCH(B31,L_MATERIALES,0)))</f>
        <v>ML</v>
      </c>
      <c r="D31" s="30">
        <v>1.05</v>
      </c>
      <c r="E31" s="23">
        <f t="shared" ref="E31:E38" si="1">+IF(B31="","",INDEX(V_UNITARIOMATERIAL,MATCH(B31,L_MATERIALES,0)))</f>
        <v>7560</v>
      </c>
      <c r="F31" s="30">
        <v>1</v>
      </c>
      <c r="G31" s="26">
        <f>IF(D31="","",(E31*D31)/F31)</f>
        <v>7938</v>
      </c>
      <c r="K31" s="9"/>
      <c r="L31" t="str">
        <f>+IF(B31="","",B31)</f>
        <v>TUBERIA CORRUGADA PEAD 2 PULGADAS---</v>
      </c>
      <c r="M31">
        <f t="shared" ref="M31:M38" si="2">IF(D31="","",(D31/F31)*INDEX(CANT_PROYECTO,MATCH($B$13,ITEM,0)))</f>
        <v>34125</v>
      </c>
      <c r="N31" s="1"/>
      <c r="P31" s="11"/>
    </row>
    <row r="32" spans="2:16" x14ac:dyDescent="0.3">
      <c r="B32" s="27" t="s">
        <v>361</v>
      </c>
      <c r="C32" s="3" t="str">
        <f t="shared" si="0"/>
        <v>UND</v>
      </c>
      <c r="D32" s="30">
        <v>1</v>
      </c>
      <c r="E32" s="23">
        <f t="shared" si="1"/>
        <v>340000</v>
      </c>
      <c r="F32" s="30">
        <v>500</v>
      </c>
      <c r="G32" s="26">
        <f t="shared" ref="G32:G38" si="3">IF(D32="","",(E32*D32)/F32)</f>
        <v>680</v>
      </c>
      <c r="K32" s="9"/>
      <c r="L32" t="str">
        <f t="shared" ref="L32:L38" si="4">+IF(B32="","",B32)</f>
        <v>HERRAMIENTA MENOR---</v>
      </c>
      <c r="M32">
        <f t="shared" si="2"/>
        <v>65</v>
      </c>
      <c r="N32" s="1"/>
      <c r="P32" s="11"/>
    </row>
    <row r="33" spans="2:16" x14ac:dyDescent="0.3">
      <c r="B33" s="27" t="s">
        <v>564</v>
      </c>
      <c r="C33" s="3" t="str">
        <f t="shared" si="0"/>
        <v>ML</v>
      </c>
      <c r="D33" s="30">
        <v>1</v>
      </c>
      <c r="E33" s="23">
        <f t="shared" si="1"/>
        <v>7670</v>
      </c>
      <c r="F33" s="30">
        <v>15</v>
      </c>
      <c r="G33" s="26">
        <f t="shared" si="3"/>
        <v>511.33333333333331</v>
      </c>
      <c r="K33" s="9"/>
      <c r="L33" t="str">
        <f t="shared" si="4"/>
        <v>CINTA BANDIT 1/2---</v>
      </c>
      <c r="M33">
        <f t="shared" si="2"/>
        <v>2166.6666666666665</v>
      </c>
      <c r="N33" s="1"/>
      <c r="P33" s="11"/>
    </row>
    <row r="34" spans="2:16" x14ac:dyDescent="0.3">
      <c r="B34" s="27"/>
      <c r="C34" s="3" t="str">
        <f t="shared" si="0"/>
        <v/>
      </c>
      <c r="D34" s="30"/>
      <c r="E34" s="23" t="str">
        <f t="shared" si="1"/>
        <v/>
      </c>
      <c r="F34" s="30"/>
      <c r="G34" s="26" t="str">
        <f t="shared" si="3"/>
        <v/>
      </c>
      <c r="K34" s="9"/>
      <c r="L34" t="str">
        <f t="shared" si="4"/>
        <v/>
      </c>
      <c r="M34" t="str">
        <f t="shared" si="2"/>
        <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9129.3333333333339</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t="s">
        <v>368</v>
      </c>
      <c r="C42" s="3" t="str">
        <f>+IF(B42="","",INDEX(U_MAQUINARIA,MATCH(B42,LISTA_MAQUINARIA,0)))</f>
        <v>VALOR / HORA</v>
      </c>
      <c r="D42" s="30">
        <v>1</v>
      </c>
      <c r="E42" s="23">
        <f>+IF(B42="","",INDEX(V_MAQUINARIA,MATCH(B42,LISTA_MAQUINARIA,0)))</f>
        <v>58531.818181818184</v>
      </c>
      <c r="F42" s="3">
        <f>$G$20</f>
        <v>160</v>
      </c>
      <c r="G42" s="26">
        <f>IF(D42="","",(E42*D42)/F42)</f>
        <v>365.82386363636363</v>
      </c>
      <c r="K42" s="9"/>
      <c r="L42" s="23">
        <f>IF(B42="","",INDEX(V_COMBUSTIBLE_H,MATCH(B42,LISTA_MAQUINARIA,0)))</f>
        <v>21600</v>
      </c>
      <c r="M42" s="23">
        <f>+IF(L42="","",(L42*D42)/F42)</f>
        <v>135</v>
      </c>
      <c r="N42" s="23">
        <f>IF(G42="","",G42-M42)</f>
        <v>230.82386363636363</v>
      </c>
      <c r="P42" s="11"/>
    </row>
    <row r="43" spans="2:16" x14ac:dyDescent="0.3">
      <c r="B43" s="27"/>
      <c r="C43" s="3" t="str">
        <f>+IF(B43="","",INDEX(U_MAQUINARIA,MATCH(B43,LISTA_MAQUINARIA,0)))</f>
        <v/>
      </c>
      <c r="D43" s="30"/>
      <c r="E43" s="23" t="str">
        <f>+IF(B43="","",INDEX(V_MAQUINARIA,MATCH(B43,LISTA_MAQUINARIA,0)))</f>
        <v/>
      </c>
      <c r="F43" s="3">
        <f>+$G$20</f>
        <v>160</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160</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160</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160</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365.82386363636363</v>
      </c>
      <c r="K47" s="9"/>
      <c r="M47" s="24">
        <f>SUM(M42:M46)</f>
        <v>135</v>
      </c>
      <c r="N47" s="24">
        <f>SUM(N42:N46)</f>
        <v>230.82386363636363</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t="s">
        <v>304</v>
      </c>
      <c r="C50" s="30">
        <v>4</v>
      </c>
      <c r="D50" s="22">
        <f>+IF(B50="","",INDEX(F_PRESTACIONAL,MATCH(B50,L_PERSONAL,)))</f>
        <v>1.6352</v>
      </c>
      <c r="E50" s="23">
        <f>+IF(B50="","",INDEX(V_H_MANODEOBRA,MATCH(B50,L_PERSONAL,0)))</f>
        <v>24658.815999999999</v>
      </c>
      <c r="F50" s="3">
        <f>+$G$20</f>
        <v>160</v>
      </c>
      <c r="G50" s="26">
        <f>+IF(C50="","",(E50*C50)/F50)</f>
        <v>616.47039999999993</v>
      </c>
    </row>
    <row r="51" spans="2:7" x14ac:dyDescent="0.3">
      <c r="B51" s="27" t="s">
        <v>298</v>
      </c>
      <c r="C51" s="30">
        <v>1</v>
      </c>
      <c r="D51" s="22">
        <f>+IF(B51="","",INDEX(F_PRESTACIONAL,MATCH(B51,L_PERSONAL,)))</f>
        <v>1.6352</v>
      </c>
      <c r="E51" s="23">
        <f>+IF(B51="","",INDEX(V_H_MANODEOBRA,MATCH(B51,L_PERSONAL,0)))</f>
        <v>40136.727272727272</v>
      </c>
      <c r="F51" s="3">
        <f>+$G$20</f>
        <v>160</v>
      </c>
      <c r="G51" s="26">
        <f>+IF(C51="","",(E51*C51)/F51)</f>
        <v>250.85454545454544</v>
      </c>
    </row>
    <row r="52" spans="2:7" x14ac:dyDescent="0.3">
      <c r="B52" s="27" t="s">
        <v>299</v>
      </c>
      <c r="C52" s="30">
        <v>0.125</v>
      </c>
      <c r="D52" s="22">
        <f>+IF(B52="","",INDEX(F_PRESTACIONAL,MATCH(B52,L_PERSONAL,)))</f>
        <v>1.6352</v>
      </c>
      <c r="E52" s="23">
        <f>+IF(B52="","",INDEX(V_H_MANODEOBRA,MATCH(B52,L_PERSONAL,0)))</f>
        <v>22298.18181818182</v>
      </c>
      <c r="F52" s="3">
        <f>+$G$20</f>
        <v>160</v>
      </c>
      <c r="G52" s="26">
        <f>+IF(C52="","",(E52*C52)/F52)</f>
        <v>17.420454545454547</v>
      </c>
    </row>
    <row r="53" spans="2:7" x14ac:dyDescent="0.3">
      <c r="B53" s="27"/>
      <c r="C53" s="30"/>
      <c r="D53" s="22" t="str">
        <f>+IF(B53="","",INDEX(F_PRESTACIONAL,MATCH(B53,L_PERSONAL,)))</f>
        <v/>
      </c>
      <c r="E53" s="23" t="str">
        <f>+IF(B53="","",INDEX(V_H_MANODEOBRA,MATCH(B53,L_PERSONAL,0)))</f>
        <v/>
      </c>
      <c r="F53" s="3">
        <f>+$G$20</f>
        <v>160</v>
      </c>
      <c r="G53" s="26" t="str">
        <f>+IF(C53="","",(E53*C53)/F53)</f>
        <v/>
      </c>
    </row>
    <row r="54" spans="2:7" x14ac:dyDescent="0.3">
      <c r="B54" s="27"/>
      <c r="C54" s="30"/>
      <c r="D54" s="22" t="str">
        <f>+IF(B54="","",INDEX(F_PRESTACIONAL,MATCH(B54,L_PERSONAL,)))</f>
        <v/>
      </c>
      <c r="E54" s="23" t="str">
        <f>+IF(B54="","",INDEX(V_H_MANODEOBRA,MATCH(B54,L_PERSONAL,0)))</f>
        <v/>
      </c>
      <c r="F54" s="3">
        <f>+$G$20</f>
        <v>160</v>
      </c>
      <c r="G54" s="26" t="str">
        <f>+IF(C54="","",(E54*C54)/F54)</f>
        <v/>
      </c>
    </row>
    <row r="55" spans="2:7" x14ac:dyDescent="0.3">
      <c r="B55" s="9"/>
      <c r="G55" s="26">
        <f>SUM(G50:G54)</f>
        <v>884.7453999999999</v>
      </c>
    </row>
    <row r="56" spans="2:7" ht="17.25" thickBot="1" x14ac:dyDescent="0.35">
      <c r="B56" s="9"/>
      <c r="G56" s="11"/>
    </row>
    <row r="57" spans="2:7" ht="17.25" thickBot="1" x14ac:dyDescent="0.35">
      <c r="B57" s="610" t="s">
        <v>98</v>
      </c>
      <c r="C57" s="611"/>
      <c r="D57" s="611"/>
      <c r="E57" s="611"/>
      <c r="F57" s="612"/>
      <c r="G57" s="66">
        <f>+G55+G47+G39+G28</f>
        <v>10450.044642424244</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1254.0053570909092</v>
      </c>
    </row>
    <row r="61" spans="2:7" x14ac:dyDescent="0.3">
      <c r="B61" s="613" t="s">
        <v>86</v>
      </c>
      <c r="C61" s="614"/>
      <c r="D61" s="614"/>
      <c r="E61" s="614"/>
      <c r="F61" s="22">
        <f>+IMPREVISTOS</f>
        <v>0.03</v>
      </c>
      <c r="G61" s="26">
        <f>+$G$57*F61</f>
        <v>313.50133927272731</v>
      </c>
    </row>
    <row r="62" spans="2:7" x14ac:dyDescent="0.3">
      <c r="B62" s="613" t="s">
        <v>87</v>
      </c>
      <c r="C62" s="614"/>
      <c r="D62" s="614"/>
      <c r="E62" s="614"/>
      <c r="F62" s="22">
        <f>+UTILIDAD</f>
        <v>0.05</v>
      </c>
      <c r="G62" s="26">
        <f>+$G$57*F62</f>
        <v>522.50223212121216</v>
      </c>
    </row>
    <row r="63" spans="2:7" x14ac:dyDescent="0.3">
      <c r="B63" s="596" t="s">
        <v>100</v>
      </c>
      <c r="C63" s="597"/>
      <c r="D63" s="597"/>
      <c r="E63" s="597"/>
      <c r="F63" s="597"/>
      <c r="G63" s="53">
        <f>SUM(G60:G62)</f>
        <v>2090.0089284848486</v>
      </c>
    </row>
    <row r="64" spans="2:7" ht="17.25" thickBot="1" x14ac:dyDescent="0.35">
      <c r="B64" s="9"/>
      <c r="G64" s="44"/>
    </row>
    <row r="65" spans="2:7" ht="17.25" thickBot="1" x14ac:dyDescent="0.35">
      <c r="B65" s="598" t="s">
        <v>101</v>
      </c>
      <c r="C65" s="599"/>
      <c r="D65" s="599"/>
      <c r="E65" s="599"/>
      <c r="F65" s="600"/>
      <c r="G65" s="65">
        <f>+G63+G57</f>
        <v>12540.053570909093</v>
      </c>
    </row>
    <row r="66" spans="2:7" x14ac:dyDescent="0.3">
      <c r="B66" s="6"/>
      <c r="C66" s="7"/>
      <c r="D66" s="7"/>
      <c r="E66" s="7"/>
      <c r="F66" s="7"/>
      <c r="G66" s="8"/>
    </row>
    <row r="67" spans="2:7" x14ac:dyDescent="0.3">
      <c r="B67" s="9"/>
      <c r="G67" s="11"/>
    </row>
    <row r="68" spans="2:7" x14ac:dyDescent="0.3">
      <c r="B68" s="69" t="s">
        <v>123</v>
      </c>
      <c r="C68" s="67"/>
      <c r="D68" s="67"/>
      <c r="E68" s="67"/>
      <c r="F68" s="67"/>
      <c r="G68" s="70"/>
    </row>
    <row r="69" spans="2:7" x14ac:dyDescent="0.3">
      <c r="B69" s="71"/>
      <c r="C69" s="67"/>
      <c r="D69" s="67"/>
      <c r="E69" s="67"/>
      <c r="F69" s="67"/>
      <c r="G69" s="70"/>
    </row>
    <row r="70" spans="2:7" x14ac:dyDescent="0.3">
      <c r="B70" s="72"/>
      <c r="C70" s="68"/>
      <c r="D70" s="68"/>
      <c r="E70" s="68"/>
      <c r="F70" s="68"/>
      <c r="G70" s="73"/>
    </row>
    <row r="71" spans="2:7" x14ac:dyDescent="0.3">
      <c r="B71" s="71"/>
      <c r="C71" s="67"/>
      <c r="D71" s="67"/>
      <c r="E71" s="67"/>
      <c r="F71" s="67"/>
      <c r="G71" s="70"/>
    </row>
    <row r="72" spans="2:7" ht="17.25" thickBot="1" x14ac:dyDescent="0.35">
      <c r="B72" s="15"/>
      <c r="C72" s="13"/>
      <c r="D72" s="13"/>
      <c r="E72" s="13"/>
      <c r="F72" s="13"/>
      <c r="G72" s="14"/>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count="5">
    <dataValidation type="list" allowBlank="1" showInputMessage="1" showErrorMessage="1" sqref="E102" xr:uid="{CF575B03-4DF2-4A76-9350-49C85E7B971E}">
      <formula1>$A$103:$A$105</formula1>
    </dataValidation>
    <dataValidation type="list" allowBlank="1" showInputMessage="1" showErrorMessage="1" sqref="B13" xr:uid="{AE79D011-F8D2-42FB-83F9-328D3CBEA98B}">
      <formula1>ITEM</formula1>
    </dataValidation>
    <dataValidation type="list" allowBlank="1" showInputMessage="1" showErrorMessage="1" sqref="B50:B54" xr:uid="{25221C3B-1A00-4AC5-87BA-6606FFC5037B}">
      <formula1>L_PERSONAL</formula1>
    </dataValidation>
    <dataValidation type="list" allowBlank="1" showInputMessage="1" showErrorMessage="1" sqref="B31:B38" xr:uid="{CAF1A389-8C0D-4127-99A5-3A85B3BD7F13}">
      <formula1>L_MATERIALES</formula1>
    </dataValidation>
    <dataValidation type="list" allowBlank="1" showInputMessage="1" showErrorMessage="1" sqref="B23:B27 B42:B46" xr:uid="{A4375E1E-E636-49B6-A128-3A9F9695E89E}">
      <formula1>LISTA_MAQUINARIA</formula1>
    </dataValidation>
  </dataValidations>
  <pageMargins left="1.3779527559055118" right="0.70866141732283472" top="0.74803149606299213" bottom="0.74803149606299213" header="0.31496062992125984" footer="0.31496062992125984"/>
  <pageSetup scale="54" orientation="portrait" r:id="rId1"/>
  <rowBreaks count="1" manualBreakCount="1">
    <brk id="78" max="16383" man="1"/>
  </rowBreaks>
  <colBreaks count="1" manualBreakCount="1">
    <brk id="7" max="1048575" man="1"/>
  </colBreaks>
  <drawing r:id="rId2"/>
  <tableParts count="1">
    <tablePart r:id="rId3"/>
  </tableParts>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9C2F11-863D-40F8-BE07-AD168ACA4CE4}">
  <sheetPr codeName="Hoja70"/>
  <dimension ref="A1:P105"/>
  <sheetViews>
    <sheetView showGridLines="0" view="pageBreakPreview" topLeftCell="A57" zoomScale="60" zoomScaleNormal="48" workbookViewId="0">
      <selection activeCell="J35" sqref="J35"/>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59</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18" t="str">
        <f>+IF($B$13="","",INDEX(DESCRIP_ITEM,MATCH($B$13,ITEM,0)))</f>
        <v xml:space="preserve">Suministro e instalacion de tuberia conduit PVC - DB para ductos de cruces viales de  (6") para zanjas MT. Incluye el empate y aplicación de soldadura para PVC. Sujeción de los tubos en la zanja para conservar simetrias, campanas a lado y lado del cruce vial. </v>
      </c>
      <c r="C16" s="619"/>
      <c r="D16" s="619"/>
      <c r="E16" s="619"/>
      <c r="F16" s="619"/>
      <c r="G16" s="620"/>
    </row>
    <row r="17" spans="2:16" ht="44.25" customHeight="1" thickBot="1" x14ac:dyDescent="0.35">
      <c r="B17" s="621"/>
      <c r="C17" s="622"/>
      <c r="D17" s="622"/>
      <c r="E17" s="622"/>
      <c r="F17" s="622"/>
      <c r="G17" s="623"/>
    </row>
    <row r="18" spans="2:16" ht="17.25" thickBot="1" x14ac:dyDescent="0.35">
      <c r="B18" s="591"/>
      <c r="C18" s="579"/>
      <c r="D18" s="579"/>
      <c r="E18" s="579"/>
      <c r="G18" s="11"/>
    </row>
    <row r="19" spans="2:16" ht="17.25" thickBot="1" x14ac:dyDescent="0.35">
      <c r="B19" s="592"/>
      <c r="C19" s="593"/>
      <c r="D19" s="593"/>
      <c r="E19" s="593"/>
      <c r="F19" s="54" t="s">
        <v>89</v>
      </c>
      <c r="G19" s="25" t="str">
        <f>+IF(B13="","",INDEX(U_ITEM,MATCH(B13,ITEM,0)))</f>
        <v>ML</v>
      </c>
    </row>
    <row r="20" spans="2:16" ht="17.25" thickBot="1" x14ac:dyDescent="0.35">
      <c r="B20" s="592"/>
      <c r="C20" s="593"/>
      <c r="D20" s="593"/>
      <c r="E20" s="593"/>
      <c r="F20" s="55" t="s">
        <v>90</v>
      </c>
      <c r="G20" s="56">
        <f>1.9*6</f>
        <v>11.399999999999999</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t="s">
        <v>354</v>
      </c>
      <c r="C23" s="3" t="str">
        <f>+IF(B23="","",INDEX(U_MAQUINARIA,MATCH(B23,LISTA_MAQUINARIA,0)))</f>
        <v>VALOR / HORA</v>
      </c>
      <c r="D23" s="30">
        <v>0.125</v>
      </c>
      <c r="E23" s="23">
        <f>+IF(B23="","",INDEX(V_MAQUINARIA,MATCH(B23,LISTA_MAQUINARIA,0)))</f>
        <v>89781.818181818177</v>
      </c>
      <c r="F23" s="3">
        <f>$G$20</f>
        <v>11.399999999999999</v>
      </c>
      <c r="G23" s="26">
        <f>+IF(B23="","",(D23*E23)/F23)</f>
        <v>984.44976076555031</v>
      </c>
      <c r="K23" s="9"/>
      <c r="L23" s="23">
        <f>IF(B23="","",INDEX(V_COMBUSTIBLE_H,MATCH(B23,LISTA_MAQUINARIA,0)))</f>
        <v>21600</v>
      </c>
      <c r="M23" s="23">
        <f>+IF(L23="","",(L23*D23)/F23)</f>
        <v>236.84210526315792</v>
      </c>
      <c r="N23" s="23">
        <f>IF(G23="","",G23-M23)</f>
        <v>747.60765550239239</v>
      </c>
      <c r="P23" s="11"/>
    </row>
    <row r="24" spans="2:16" x14ac:dyDescent="0.3">
      <c r="B24" s="27"/>
      <c r="C24" s="3" t="str">
        <f>+IF(B24="","",INDEX(U_MAQUINARIA,MATCH(B24,LISTA_MAQUINARIA,0)))</f>
        <v/>
      </c>
      <c r="D24" s="30"/>
      <c r="E24" s="23" t="str">
        <f>+IF(B24="","",INDEX(V_MAQUINARIA,MATCH(B24,LISTA_MAQUINARIA,0)))</f>
        <v/>
      </c>
      <c r="F24" s="3">
        <f>$G$20</f>
        <v>11.399999999999999</v>
      </c>
      <c r="G24" s="26" t="str">
        <f>+IF(B24="","",(D24*E24)/F24)</f>
        <v/>
      </c>
      <c r="K24" s="9"/>
      <c r="L24" s="3" t="str">
        <f>IF(B24="","",INDEX(V_COMBUSTIBLE_H,MATCH(B24,LISTA_MAQUINARIA,0)))</f>
        <v/>
      </c>
      <c r="M24" s="3" t="str">
        <f>+IF(L24="","",(L24*D24)/F24)</f>
        <v/>
      </c>
      <c r="N24" s="3" t="str">
        <f>IF(G24="","",G24-M24)</f>
        <v/>
      </c>
      <c r="P24" s="11"/>
    </row>
    <row r="25" spans="2:16" x14ac:dyDescent="0.3">
      <c r="B25" s="27"/>
      <c r="C25" s="3" t="str">
        <f>+IF(B25="","",INDEX(U_MAQUINARIA,MATCH(B25,LISTA_MAQUINARIA,0)))</f>
        <v/>
      </c>
      <c r="D25" s="30"/>
      <c r="E25" s="23" t="str">
        <f>+IF(B25="","",INDEX(V_MAQUINARIA,MATCH(B25,LISTA_MAQUINARIA,0)))</f>
        <v/>
      </c>
      <c r="F25" s="3">
        <f>$G$20</f>
        <v>11.399999999999999</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11.399999999999999</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11.399999999999999</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984.44976076555031</v>
      </c>
      <c r="K28" s="9"/>
      <c r="M28" s="24">
        <f>SUM(M23:M27)</f>
        <v>236.84210526315792</v>
      </c>
      <c r="N28" s="24">
        <f>SUM(N23:N27)</f>
        <v>747.60765550239239</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t="s">
        <v>416</v>
      </c>
      <c r="C31" s="3" t="str">
        <f t="shared" ref="C31:C38" si="0">+IF(B31="","",INDEX(U_MATERIAL,MATCH(B31,L_MATERIALES,0)))</f>
        <v>ML</v>
      </c>
      <c r="D31" s="30">
        <v>1.05</v>
      </c>
      <c r="E31" s="23">
        <f t="shared" ref="E31:E38" si="1">+IF(B31="","",INDEX(V_UNITARIOMATERIAL,MATCH(B31,L_MATERIALES,0)))</f>
        <v>56833.333333333336</v>
      </c>
      <c r="F31" s="30">
        <v>1</v>
      </c>
      <c r="G31" s="26">
        <f>IF(D31="","",(E31*D31)/F31)</f>
        <v>59675.000000000007</v>
      </c>
      <c r="K31" s="9"/>
      <c r="L31" t="str">
        <f>+IF(B31="","",B31)</f>
        <v>TUBERIA 6"---</v>
      </c>
      <c r="M31">
        <f t="shared" ref="M31:M38" si="2">IF(D31="","",(D31/F31)*INDEX(CANT_PROYECTO,MATCH($B$13,ITEM,0)))</f>
        <v>126</v>
      </c>
      <c r="N31" s="1"/>
      <c r="P31" s="11"/>
    </row>
    <row r="32" spans="2:16" x14ac:dyDescent="0.3">
      <c r="B32" s="27" t="s">
        <v>361</v>
      </c>
      <c r="C32" s="3" t="str">
        <f t="shared" si="0"/>
        <v>UND</v>
      </c>
      <c r="D32" s="30">
        <v>1</v>
      </c>
      <c r="E32" s="23">
        <f t="shared" si="1"/>
        <v>340000</v>
      </c>
      <c r="F32" s="30">
        <v>100</v>
      </c>
      <c r="G32" s="26">
        <f t="shared" ref="G32:G38" si="3">IF(D32="","",(E32*D32)/F32)</f>
        <v>3400</v>
      </c>
      <c r="K32" s="9"/>
      <c r="L32" t="str">
        <f t="shared" ref="L32:L38" si="4">+IF(B32="","",B32)</f>
        <v>HERRAMIENTA MENOR---</v>
      </c>
      <c r="M32">
        <f t="shared" si="2"/>
        <v>1.2</v>
      </c>
      <c r="N32" s="1"/>
      <c r="P32" s="11"/>
    </row>
    <row r="33" spans="2:16" x14ac:dyDescent="0.3">
      <c r="B33" s="27"/>
      <c r="C33" s="3" t="str">
        <f t="shared" si="0"/>
        <v/>
      </c>
      <c r="D33" s="30"/>
      <c r="E33" s="23" t="str">
        <f t="shared" si="1"/>
        <v/>
      </c>
      <c r="F33" s="30"/>
      <c r="G33" s="26" t="str">
        <f t="shared" si="3"/>
        <v/>
      </c>
      <c r="K33" s="9"/>
      <c r="L33" t="str">
        <f t="shared" si="4"/>
        <v/>
      </c>
      <c r="M33" t="str">
        <f t="shared" si="2"/>
        <v/>
      </c>
      <c r="N33" s="1"/>
      <c r="P33" s="11"/>
    </row>
    <row r="34" spans="2:16" x14ac:dyDescent="0.3">
      <c r="B34" s="27"/>
      <c r="C34" s="3" t="str">
        <f t="shared" si="0"/>
        <v/>
      </c>
      <c r="D34" s="30"/>
      <c r="E34" s="23" t="str">
        <f t="shared" si="1"/>
        <v/>
      </c>
      <c r="F34" s="30"/>
      <c r="G34" s="26" t="str">
        <f t="shared" si="3"/>
        <v/>
      </c>
      <c r="K34" s="9"/>
      <c r="L34" t="str">
        <f t="shared" si="4"/>
        <v/>
      </c>
      <c r="M34" t="str">
        <f t="shared" si="2"/>
        <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63075.000000000007</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t="s">
        <v>368</v>
      </c>
      <c r="C42" s="3" t="str">
        <f>+IF(B42="","",INDEX(U_MAQUINARIA,MATCH(B42,LISTA_MAQUINARIA,0)))</f>
        <v>VALOR / HORA</v>
      </c>
      <c r="D42" s="30">
        <v>1</v>
      </c>
      <c r="E42" s="23">
        <f>+IF(B42="","",INDEX(V_MAQUINARIA,MATCH(B42,LISTA_MAQUINARIA,0)))</f>
        <v>58531.818181818184</v>
      </c>
      <c r="F42" s="3">
        <f>$G$20</f>
        <v>11.399999999999999</v>
      </c>
      <c r="G42" s="26">
        <f>IF(D42="","",(E42*D42)/F42)</f>
        <v>5134.3700159489645</v>
      </c>
      <c r="K42" s="9"/>
      <c r="L42" s="23">
        <f>IF(B42="","",INDEX(V_COMBUSTIBLE_H,MATCH(B42,LISTA_MAQUINARIA,0)))</f>
        <v>21600</v>
      </c>
      <c r="M42" s="23">
        <f>+IF(L42="","",(L42*D42)/F42)</f>
        <v>1894.7368421052633</v>
      </c>
      <c r="N42" s="23">
        <f>IF(G42="","",G42-M42)</f>
        <v>3239.6331738437011</v>
      </c>
      <c r="P42" s="11"/>
    </row>
    <row r="43" spans="2:16" x14ac:dyDescent="0.3">
      <c r="B43" s="27"/>
      <c r="C43" s="3" t="str">
        <f>+IF(B43="","",INDEX(U_MAQUINARIA,MATCH(B43,LISTA_MAQUINARIA,0)))</f>
        <v/>
      </c>
      <c r="D43" s="30"/>
      <c r="E43" s="23" t="str">
        <f>+IF(B43="","",INDEX(V_MAQUINARIA,MATCH(B43,LISTA_MAQUINARIA,0)))</f>
        <v/>
      </c>
      <c r="F43" s="3">
        <f>+$G$20</f>
        <v>11.399999999999999</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11.399999999999999</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11.399999999999999</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11.399999999999999</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5134.3700159489645</v>
      </c>
      <c r="K47" s="9"/>
      <c r="M47" s="24">
        <f>SUM(M42:M46)</f>
        <v>1894.7368421052633</v>
      </c>
      <c r="N47" s="24">
        <f>SUM(N42:N46)</f>
        <v>3239.6331738437011</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t="s">
        <v>298</v>
      </c>
      <c r="C50" s="30">
        <v>1</v>
      </c>
      <c r="D50" s="22">
        <f>+IF(B50="","",INDEX(F_PRESTACIONAL,MATCH(B50,L_PERSONAL,)))</f>
        <v>1.6352</v>
      </c>
      <c r="E50" s="23">
        <f>+IF(B50="","",INDEX(V_H_MANODEOBRA,MATCH(B50,L_PERSONAL,0)))</f>
        <v>40136.727272727272</v>
      </c>
      <c r="F50" s="3">
        <f>+$G$20</f>
        <v>11.399999999999999</v>
      </c>
      <c r="G50" s="26">
        <f>+IF(C50="","",(E50*C50)/F50)</f>
        <v>3520.7655502392349</v>
      </c>
    </row>
    <row r="51" spans="2:7" x14ac:dyDescent="0.3">
      <c r="B51" s="27" t="s">
        <v>304</v>
      </c>
      <c r="C51" s="30">
        <v>3</v>
      </c>
      <c r="D51" s="22">
        <f>+IF(B51="","",INDEX(F_PRESTACIONAL,MATCH(B51,L_PERSONAL,)))</f>
        <v>1.6352</v>
      </c>
      <c r="E51" s="23">
        <f>+IF(B51="","",INDEX(V_H_MANODEOBRA,MATCH(B51,L_PERSONAL,0)))</f>
        <v>24658.815999999999</v>
      </c>
      <c r="F51" s="3">
        <f>+$G$20</f>
        <v>11.399999999999999</v>
      </c>
      <c r="G51" s="26">
        <f>+IF(C51="","",(E51*C51)/F51)</f>
        <v>6489.162105263159</v>
      </c>
    </row>
    <row r="52" spans="2:7" x14ac:dyDescent="0.3">
      <c r="B52" s="27" t="s">
        <v>299</v>
      </c>
      <c r="C52" s="30">
        <v>0.125</v>
      </c>
      <c r="D52" s="22">
        <f>+IF(B52="","",INDEX(F_PRESTACIONAL,MATCH(B52,L_PERSONAL,)))</f>
        <v>1.6352</v>
      </c>
      <c r="E52" s="23">
        <f>+IF(B52="","",INDEX(V_H_MANODEOBRA,MATCH(B52,L_PERSONAL,0)))</f>
        <v>22298.18181818182</v>
      </c>
      <c r="F52" s="3">
        <f>+$G$20</f>
        <v>11.399999999999999</v>
      </c>
      <c r="G52" s="26">
        <f>+IF(C52="","",(E52*C52)/F52)</f>
        <v>244.49760765550243</v>
      </c>
    </row>
    <row r="53" spans="2:7" x14ac:dyDescent="0.3">
      <c r="B53" s="27"/>
      <c r="C53" s="30"/>
      <c r="D53" s="22" t="str">
        <f>+IF(B53="","",INDEX(F_PRESTACIONAL,MATCH(B53,L_PERSONAL,)))</f>
        <v/>
      </c>
      <c r="E53" s="23" t="str">
        <f>+IF(B53="","",INDEX(V_H_MANODEOBRA,MATCH(B53,L_PERSONAL,0)))</f>
        <v/>
      </c>
      <c r="F53" s="3">
        <f>+$G$20</f>
        <v>11.399999999999999</v>
      </c>
      <c r="G53" s="26" t="str">
        <f>+IF(C53="","",(E53*C53)/F53)</f>
        <v/>
      </c>
    </row>
    <row r="54" spans="2:7" x14ac:dyDescent="0.3">
      <c r="B54" s="27"/>
      <c r="C54" s="30"/>
      <c r="D54" s="22" t="str">
        <f>+IF(B54="","",INDEX(F_PRESTACIONAL,MATCH(B54,L_PERSONAL,)))</f>
        <v/>
      </c>
      <c r="E54" s="23" t="str">
        <f>+IF(B54="","",INDEX(V_H_MANODEOBRA,MATCH(B54,L_PERSONAL,0)))</f>
        <v/>
      </c>
      <c r="F54" s="3">
        <f>+$G$20</f>
        <v>11.399999999999999</v>
      </c>
      <c r="G54" s="26" t="str">
        <f>+IF(C54="","",(E54*C54)/F54)</f>
        <v/>
      </c>
    </row>
    <row r="55" spans="2:7" x14ac:dyDescent="0.3">
      <c r="B55" s="9"/>
      <c r="G55" s="26">
        <f>SUM(G50:G54)</f>
        <v>10254.425263157897</v>
      </c>
    </row>
    <row r="56" spans="2:7" ht="17.25" thickBot="1" x14ac:dyDescent="0.35">
      <c r="B56" s="9"/>
      <c r="G56" s="11"/>
    </row>
    <row r="57" spans="2:7" ht="17.25" thickBot="1" x14ac:dyDescent="0.35">
      <c r="B57" s="610" t="s">
        <v>98</v>
      </c>
      <c r="C57" s="611"/>
      <c r="D57" s="611"/>
      <c r="E57" s="611"/>
      <c r="F57" s="612"/>
      <c r="G57" s="66">
        <f>+G55+G47+G39+G28</f>
        <v>79448.245039872418</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9533.7894047846894</v>
      </c>
    </row>
    <row r="61" spans="2:7" x14ac:dyDescent="0.3">
      <c r="B61" s="613" t="s">
        <v>86</v>
      </c>
      <c r="C61" s="614"/>
      <c r="D61" s="614"/>
      <c r="E61" s="614"/>
      <c r="F61" s="22">
        <f>+IMPREVISTOS</f>
        <v>0.03</v>
      </c>
      <c r="G61" s="26">
        <f>+$G$57*F61</f>
        <v>2383.4473511961723</v>
      </c>
    </row>
    <row r="62" spans="2:7" x14ac:dyDescent="0.3">
      <c r="B62" s="613" t="s">
        <v>87</v>
      </c>
      <c r="C62" s="614"/>
      <c r="D62" s="614"/>
      <c r="E62" s="614"/>
      <c r="F62" s="22">
        <f>+UTILIDAD</f>
        <v>0.05</v>
      </c>
      <c r="G62" s="26">
        <f>+$G$57*F62</f>
        <v>3972.4122519936209</v>
      </c>
    </row>
    <row r="63" spans="2:7" x14ac:dyDescent="0.3">
      <c r="B63" s="596" t="s">
        <v>100</v>
      </c>
      <c r="C63" s="597"/>
      <c r="D63" s="597"/>
      <c r="E63" s="597"/>
      <c r="F63" s="597"/>
      <c r="G63" s="53">
        <f>SUM(G60:G62)</f>
        <v>15889.649007974484</v>
      </c>
    </row>
    <row r="64" spans="2:7" ht="17.25" thickBot="1" x14ac:dyDescent="0.35">
      <c r="B64" s="9"/>
      <c r="G64" s="44"/>
    </row>
    <row r="65" spans="2:7" ht="17.25" thickBot="1" x14ac:dyDescent="0.35">
      <c r="B65" s="598" t="s">
        <v>101</v>
      </c>
      <c r="C65" s="599"/>
      <c r="D65" s="599"/>
      <c r="E65" s="599"/>
      <c r="F65" s="600"/>
      <c r="G65" s="65">
        <f>+G63+G57</f>
        <v>95337.894047846901</v>
      </c>
    </row>
    <row r="66" spans="2:7" x14ac:dyDescent="0.3">
      <c r="B66" s="6"/>
      <c r="C66" s="7"/>
      <c r="D66" s="7"/>
      <c r="E66" s="7"/>
      <c r="F66" s="7"/>
      <c r="G66" s="8"/>
    </row>
    <row r="67" spans="2:7" x14ac:dyDescent="0.3">
      <c r="B67" s="9"/>
      <c r="G67" s="11"/>
    </row>
    <row r="68" spans="2:7" x14ac:dyDescent="0.3">
      <c r="B68" s="69" t="s">
        <v>123</v>
      </c>
      <c r="C68" s="67"/>
      <c r="D68" s="67"/>
      <c r="E68" s="67"/>
      <c r="F68" s="67"/>
      <c r="G68" s="70"/>
    </row>
    <row r="69" spans="2:7" x14ac:dyDescent="0.3">
      <c r="B69" s="71"/>
      <c r="C69" s="67"/>
      <c r="D69" s="67"/>
      <c r="E69" s="67"/>
      <c r="F69" s="67"/>
      <c r="G69" s="70"/>
    </row>
    <row r="70" spans="2:7" x14ac:dyDescent="0.3">
      <c r="B70" s="72"/>
      <c r="C70" s="68"/>
      <c r="D70" s="68"/>
      <c r="E70" s="68"/>
      <c r="F70" s="68"/>
      <c r="G70" s="73"/>
    </row>
    <row r="71" spans="2:7" x14ac:dyDescent="0.3">
      <c r="B71" s="71"/>
      <c r="C71" s="67"/>
      <c r="D71" s="67"/>
      <c r="E71" s="67"/>
      <c r="F71" s="67"/>
      <c r="G71" s="70"/>
    </row>
    <row r="72" spans="2:7" ht="17.25" thickBot="1" x14ac:dyDescent="0.35">
      <c r="B72" s="15"/>
      <c r="C72" s="13"/>
      <c r="D72" s="13"/>
      <c r="E72" s="13"/>
      <c r="F72" s="13"/>
      <c r="G72" s="14"/>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count="5">
    <dataValidation type="list" allowBlank="1" showInputMessage="1" showErrorMessage="1" sqref="E102" xr:uid="{CC7CFBF8-178C-400E-9A58-DE929428A40B}">
      <formula1>$A$103:$A$105</formula1>
    </dataValidation>
    <dataValidation type="list" allowBlank="1" showInputMessage="1" showErrorMessage="1" sqref="B13" xr:uid="{412E4F1F-3622-4C45-8944-FD51AE160130}">
      <formula1>ITEM</formula1>
    </dataValidation>
    <dataValidation type="list" allowBlank="1" showInputMessage="1" showErrorMessage="1" sqref="B50:B54" xr:uid="{C0CAB61A-DB58-4C4C-B7D6-AAF4E2B23681}">
      <formula1>L_PERSONAL</formula1>
    </dataValidation>
    <dataValidation type="list" allowBlank="1" showInputMessage="1" showErrorMessage="1" sqref="B31:B38" xr:uid="{0B7021D5-DC99-4814-8D4C-4A9DB78308A1}">
      <formula1>L_MATERIALES</formula1>
    </dataValidation>
    <dataValidation type="list" allowBlank="1" showInputMessage="1" showErrorMessage="1" sqref="B23:B27 B42:B46" xr:uid="{A9882998-913E-4600-A93B-93C1AE8FEC98}">
      <formula1>LISTA_MAQUINARIA</formula1>
    </dataValidation>
  </dataValidations>
  <pageMargins left="1.3779527559055118" right="0.70866141732283472" top="0.74803149606299213" bottom="0.74803149606299213" header="0.31496062992125984" footer="0.31496062992125984"/>
  <pageSetup scale="54" orientation="portrait" r:id="rId1"/>
  <rowBreaks count="1" manualBreakCount="1">
    <brk id="78" max="16383" man="1"/>
  </rowBreaks>
  <colBreaks count="1" manualBreakCount="1">
    <brk id="7" max="1048575" man="1"/>
  </colBreaks>
  <drawing r:id="rId2"/>
  <tableParts count="1">
    <tablePart r:id="rId3"/>
  </tableParts>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C5A6BA-8E9F-4672-B1DE-C4BEEE146978}">
  <sheetPr codeName="Hoja71"/>
  <dimension ref="A1:P105"/>
  <sheetViews>
    <sheetView showGridLines="0" view="pageBreakPreview" zoomScale="83" zoomScaleNormal="60" workbookViewId="0">
      <selection activeCell="B50" sqref="B50"/>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60</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18" t="str">
        <f>+IF($B$13="","",INDEX(DESCRIP_ITEM,MATCH($B$13,ITEM,0)))</f>
        <v>Suministro y vertimiento Concreto para revestido de zanjas en cruces viales para zanjas BT tipo H</v>
      </c>
      <c r="C16" s="619"/>
      <c r="D16" s="619"/>
      <c r="E16" s="619"/>
      <c r="F16" s="619"/>
      <c r="G16" s="620"/>
    </row>
    <row r="17" spans="2:16" ht="44.25" customHeight="1" thickBot="1" x14ac:dyDescent="0.35">
      <c r="B17" s="621"/>
      <c r="C17" s="622"/>
      <c r="D17" s="622"/>
      <c r="E17" s="622"/>
      <c r="F17" s="622"/>
      <c r="G17" s="623"/>
    </row>
    <row r="18" spans="2:16" ht="17.25" thickBot="1" x14ac:dyDescent="0.35">
      <c r="B18" s="591"/>
      <c r="C18" s="579"/>
      <c r="D18" s="579"/>
      <c r="E18" s="579"/>
      <c r="G18" s="11"/>
    </row>
    <row r="19" spans="2:16" ht="17.25" thickBot="1" x14ac:dyDescent="0.35">
      <c r="B19" s="592"/>
      <c r="C19" s="593"/>
      <c r="D19" s="593"/>
      <c r="E19" s="593"/>
      <c r="F19" s="54" t="s">
        <v>89</v>
      </c>
      <c r="G19" s="25" t="str">
        <f>+IF(B13="","",INDEX(U_ITEM,MATCH(B13,ITEM,0)))</f>
        <v>M3</v>
      </c>
    </row>
    <row r="20" spans="2:16" ht="17.25" thickBot="1" x14ac:dyDescent="0.35">
      <c r="B20" s="592"/>
      <c r="C20" s="593"/>
      <c r="D20" s="593"/>
      <c r="E20" s="593"/>
      <c r="F20" s="55" t="s">
        <v>90</v>
      </c>
      <c r="G20" s="56">
        <v>1.4</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c r="C23" s="3" t="str">
        <f>+IF(B23="","",INDEX(U_MAQUINARIA,MATCH(B23,LISTA_MAQUINARIA,0)))</f>
        <v/>
      </c>
      <c r="D23" s="30"/>
      <c r="E23" s="23" t="str">
        <f>+IF(B23="","",INDEX(V_MAQUINARIA,MATCH(B23,LISTA_MAQUINARIA,0)))</f>
        <v/>
      </c>
      <c r="F23" s="3">
        <f>$G$20</f>
        <v>1.4</v>
      </c>
      <c r="G23" s="26" t="str">
        <f>+IF(B23="","",(D23*E23)/F23)</f>
        <v/>
      </c>
      <c r="K23" s="9"/>
      <c r="L23" s="23" t="str">
        <f>IF(B23="","",INDEX(V_COMBUSTIBLE_H,MATCH(B23,LISTA_MAQUINARIA,0)))</f>
        <v/>
      </c>
      <c r="M23" s="23" t="str">
        <f>+IF(L23="","",(L23*D23)/F23)</f>
        <v/>
      </c>
      <c r="N23" s="23" t="str">
        <f>IF(G23="","",G23-M23)</f>
        <v/>
      </c>
      <c r="P23" s="11"/>
    </row>
    <row r="24" spans="2:16" x14ac:dyDescent="0.3">
      <c r="B24" s="27"/>
      <c r="C24" s="3" t="str">
        <f>+IF(B24="","",INDEX(U_MAQUINARIA,MATCH(B24,LISTA_MAQUINARIA,0)))</f>
        <v/>
      </c>
      <c r="D24" s="30"/>
      <c r="E24" s="23" t="str">
        <f>+IF(B24="","",INDEX(V_MAQUINARIA,MATCH(B24,LISTA_MAQUINARIA,0)))</f>
        <v/>
      </c>
      <c r="F24" s="3">
        <f>$G$20</f>
        <v>1.4</v>
      </c>
      <c r="G24" s="26" t="str">
        <f>+IF(B24="","",(D24*E24)/F24)</f>
        <v/>
      </c>
      <c r="K24" s="9"/>
      <c r="L24" s="3" t="str">
        <f>IF(B24="","",INDEX(V_COMBUSTIBLE_H,MATCH(B24,LISTA_MAQUINARIA,0)))</f>
        <v/>
      </c>
      <c r="M24" s="3" t="str">
        <f>+IF(L24="","",(L24*D24)/F24)</f>
        <v/>
      </c>
      <c r="N24" s="3" t="str">
        <f>IF(G24="","",G24-M24)</f>
        <v/>
      </c>
      <c r="P24" s="11"/>
    </row>
    <row r="25" spans="2:16" x14ac:dyDescent="0.3">
      <c r="B25" s="27"/>
      <c r="C25" s="3" t="str">
        <f>+IF(B25="","",INDEX(U_MAQUINARIA,MATCH(B25,LISTA_MAQUINARIA,0)))</f>
        <v/>
      </c>
      <c r="D25" s="30"/>
      <c r="E25" s="23" t="str">
        <f>+IF(B25="","",INDEX(V_MAQUINARIA,MATCH(B25,LISTA_MAQUINARIA,0)))</f>
        <v/>
      </c>
      <c r="F25" s="3">
        <f>$G$20</f>
        <v>1.4</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1.4</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1.4</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0</v>
      </c>
      <c r="K28" s="9"/>
      <c r="M28" s="24">
        <f>SUM(M23:M27)</f>
        <v>0</v>
      </c>
      <c r="N28" s="24">
        <f>SUM(N23:N27)</f>
        <v>0</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t="s">
        <v>409</v>
      </c>
      <c r="C31" s="3" t="str">
        <f t="shared" ref="C31:C38" si="0">+IF(B31="","",INDEX(U_MATERIAL,MATCH(B31,L_MATERIALES,0)))</f>
        <v>M3</v>
      </c>
      <c r="D31" s="30">
        <v>1.05</v>
      </c>
      <c r="E31" s="23">
        <f t="shared" ref="E31:E38" si="1">+IF(B31="","",INDEX(V_UNITARIOMATERIAL,MATCH(B31,L_MATERIALES,0)))</f>
        <v>1130500</v>
      </c>
      <c r="F31" s="30">
        <v>1</v>
      </c>
      <c r="G31" s="26">
        <f>IF(D31="","",(E31*D31)/F31)</f>
        <v>1187025</v>
      </c>
      <c r="K31" s="9"/>
      <c r="L31" t="str">
        <f>+IF(B31="","",B31)</f>
        <v>CONCRETO ---</v>
      </c>
      <c r="M31">
        <f t="shared" ref="M31:M38" si="2">IF(D31="","",(D31/F31)*INDEX(CANT_PROYECTO,MATCH($B$13,ITEM,0)))</f>
        <v>132.30000000000001</v>
      </c>
      <c r="N31" s="1"/>
      <c r="P31" s="11"/>
    </row>
    <row r="32" spans="2:16" x14ac:dyDescent="0.3">
      <c r="B32" s="27"/>
      <c r="C32" s="3" t="str">
        <f t="shared" si="0"/>
        <v/>
      </c>
      <c r="D32" s="30"/>
      <c r="E32" s="23" t="str">
        <f t="shared" si="1"/>
        <v/>
      </c>
      <c r="F32" s="30"/>
      <c r="G32" s="26" t="str">
        <f t="shared" ref="G32:G38" si="3">IF(D32="","",(E32*D32)/F32)</f>
        <v/>
      </c>
      <c r="K32" s="9"/>
      <c r="L32" t="str">
        <f t="shared" ref="L32:L38" si="4">+IF(B32="","",B32)</f>
        <v/>
      </c>
      <c r="M32" t="str">
        <f t="shared" si="2"/>
        <v/>
      </c>
      <c r="N32" s="1"/>
      <c r="P32" s="11"/>
    </row>
    <row r="33" spans="2:16" x14ac:dyDescent="0.3">
      <c r="B33" s="27"/>
      <c r="C33" s="3" t="str">
        <f t="shared" si="0"/>
        <v/>
      </c>
      <c r="D33" s="30"/>
      <c r="E33" s="23" t="str">
        <f t="shared" si="1"/>
        <v/>
      </c>
      <c r="F33" s="30"/>
      <c r="G33" s="26" t="str">
        <f t="shared" si="3"/>
        <v/>
      </c>
      <c r="K33" s="9"/>
      <c r="L33" t="str">
        <f t="shared" si="4"/>
        <v/>
      </c>
      <c r="M33" t="str">
        <f t="shared" si="2"/>
        <v/>
      </c>
      <c r="N33" s="1"/>
      <c r="P33" s="11"/>
    </row>
    <row r="34" spans="2:16" x14ac:dyDescent="0.3">
      <c r="B34" s="27"/>
      <c r="C34" s="3" t="str">
        <f t="shared" si="0"/>
        <v/>
      </c>
      <c r="D34" s="30"/>
      <c r="E34" s="23" t="str">
        <f t="shared" si="1"/>
        <v/>
      </c>
      <c r="F34" s="30"/>
      <c r="G34" s="26" t="str">
        <f t="shared" si="3"/>
        <v/>
      </c>
      <c r="K34" s="9"/>
      <c r="L34" t="str">
        <f t="shared" si="4"/>
        <v/>
      </c>
      <c r="M34" t="str">
        <f t="shared" si="2"/>
        <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1187025</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t="s">
        <v>455</v>
      </c>
      <c r="C42" s="3">
        <f>+IF(B42="","",INDEX(U_MAQUINARIA,MATCH(B42,LISTA_MAQUINARIA,0)))</f>
        <v>0</v>
      </c>
      <c r="D42" s="30">
        <v>1</v>
      </c>
      <c r="E42" s="23">
        <f>+IF(B42="","",INDEX(V_MAQUINARIA,MATCH(B42,LISTA_MAQUINARIA,0)))</f>
        <v>101145.45454545454</v>
      </c>
      <c r="F42" s="3">
        <f>$G$20</f>
        <v>1.4</v>
      </c>
      <c r="G42" s="26">
        <f>IF(D42="","",(E42*D42)/F42)</f>
        <v>72246.753246753244</v>
      </c>
      <c r="K42" s="9"/>
      <c r="L42" s="23">
        <f>IF(B42="","",INDEX(V_COMBUSTIBLE_H,MATCH(B42,LISTA_MAQUINARIA,0)))</f>
        <v>21600</v>
      </c>
      <c r="M42" s="23">
        <f>+IF(L42="","",(L42*D42)/F42)</f>
        <v>15428.571428571429</v>
      </c>
      <c r="N42" s="23">
        <f>IF(G42="","",G42-M42)</f>
        <v>56818.181818181816</v>
      </c>
      <c r="P42" s="11"/>
    </row>
    <row r="43" spans="2:16" x14ac:dyDescent="0.3">
      <c r="B43" s="27"/>
      <c r="C43" s="3" t="str">
        <f>+IF(B43="","",INDEX(U_MAQUINARIA,MATCH(B43,LISTA_MAQUINARIA,0)))</f>
        <v/>
      </c>
      <c r="D43" s="30"/>
      <c r="E43" s="23" t="str">
        <f>+IF(B43="","",INDEX(V_MAQUINARIA,MATCH(B43,LISTA_MAQUINARIA,0)))</f>
        <v/>
      </c>
      <c r="F43" s="3">
        <f>+$G$20</f>
        <v>1.4</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1.4</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1.4</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1.4</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72246.753246753244</v>
      </c>
      <c r="K47" s="9"/>
      <c r="M47" s="24">
        <f>SUM(M42:M46)</f>
        <v>15428.571428571429</v>
      </c>
      <c r="N47" s="24">
        <f>SUM(N42:N46)</f>
        <v>56818.181818181816</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t="s">
        <v>357</v>
      </c>
      <c r="C50" s="30">
        <v>2</v>
      </c>
      <c r="D50" s="22">
        <f>+IF(B50="","",INDEX(F_PRESTACIONAL,MATCH(B50,L_PERSONAL,)))</f>
        <v>1.6352</v>
      </c>
      <c r="E50" s="23">
        <f>+IF(B50="","",INDEX(V_H_MANODEOBRA,MATCH(B50,L_PERSONAL,0)))</f>
        <v>24658.815999999999</v>
      </c>
      <c r="F50" s="3">
        <f>+$G$20</f>
        <v>1.4</v>
      </c>
      <c r="G50" s="26">
        <f>+IF(C50="","",(E50*C50)/F50)</f>
        <v>35226.879999999997</v>
      </c>
    </row>
    <row r="51" spans="2:7" x14ac:dyDescent="0.3">
      <c r="B51" s="27" t="s">
        <v>304</v>
      </c>
      <c r="C51" s="30">
        <v>4</v>
      </c>
      <c r="D51" s="22">
        <f>+IF(B51="","",INDEX(F_PRESTACIONAL,MATCH(B51,L_PERSONAL,)))</f>
        <v>1.6352</v>
      </c>
      <c r="E51" s="23">
        <f>+IF(B51="","",INDEX(V_H_MANODEOBRA,MATCH(B51,L_PERSONAL,0)))</f>
        <v>24658.815999999999</v>
      </c>
      <c r="F51" s="3">
        <f>+$G$20</f>
        <v>1.4</v>
      </c>
      <c r="G51" s="26">
        <f>+IF(C51="","",(E51*C51)/F51)</f>
        <v>70453.759999999995</v>
      </c>
    </row>
    <row r="52" spans="2:7" x14ac:dyDescent="0.3">
      <c r="B52" s="27" t="s">
        <v>298</v>
      </c>
      <c r="C52" s="30">
        <v>1</v>
      </c>
      <c r="D52" s="22">
        <f>+IF(B52="","",INDEX(F_PRESTACIONAL,MATCH(B52,L_PERSONAL,)))</f>
        <v>1.6352</v>
      </c>
      <c r="E52" s="23">
        <f>+IF(B52="","",INDEX(V_H_MANODEOBRA,MATCH(B52,L_PERSONAL,0)))</f>
        <v>40136.727272727272</v>
      </c>
      <c r="F52" s="3">
        <f>+$G$20</f>
        <v>1.4</v>
      </c>
      <c r="G52" s="26">
        <f>+IF(C52="","",(E52*C52)/F52)</f>
        <v>28669.090909090912</v>
      </c>
    </row>
    <row r="53" spans="2:7" x14ac:dyDescent="0.3">
      <c r="B53" s="27" t="s">
        <v>299</v>
      </c>
      <c r="C53" s="30">
        <v>1</v>
      </c>
      <c r="D53" s="22">
        <f>+IF(B53="","",INDEX(F_PRESTACIONAL,MATCH(B53,L_PERSONAL,)))</f>
        <v>1.6352</v>
      </c>
      <c r="E53" s="23">
        <f>+IF(B53="","",INDEX(V_H_MANODEOBRA,MATCH(B53,L_PERSONAL,0)))</f>
        <v>22298.18181818182</v>
      </c>
      <c r="F53" s="3">
        <f>+$G$20</f>
        <v>1.4</v>
      </c>
      <c r="G53" s="26">
        <f>+IF(C53="","",(E53*C53)/F53)</f>
        <v>15927.27272727273</v>
      </c>
    </row>
    <row r="54" spans="2:7" x14ac:dyDescent="0.3">
      <c r="B54" s="27"/>
      <c r="C54" s="30"/>
      <c r="D54" s="22" t="str">
        <f>+IF(B54="","",INDEX(F_PRESTACIONAL,MATCH(B54,L_PERSONAL,)))</f>
        <v/>
      </c>
      <c r="E54" s="23" t="str">
        <f>+IF(B54="","",INDEX(V_H_MANODEOBRA,MATCH(B54,L_PERSONAL,0)))</f>
        <v/>
      </c>
      <c r="F54" s="3">
        <f>+$G$20</f>
        <v>1.4</v>
      </c>
      <c r="G54" s="26" t="str">
        <f>+IF(C54="","",(E54*C54)/F54)</f>
        <v/>
      </c>
    </row>
    <row r="55" spans="2:7" x14ac:dyDescent="0.3">
      <c r="B55" s="9"/>
      <c r="G55" s="26">
        <f>SUM(G50:G54)</f>
        <v>150277.00363636363</v>
      </c>
    </row>
    <row r="56" spans="2:7" ht="17.25" thickBot="1" x14ac:dyDescent="0.35">
      <c r="B56" s="9"/>
      <c r="G56" s="11"/>
    </row>
    <row r="57" spans="2:7" ht="17.25" thickBot="1" x14ac:dyDescent="0.35">
      <c r="B57" s="610" t="s">
        <v>98</v>
      </c>
      <c r="C57" s="611"/>
      <c r="D57" s="611"/>
      <c r="E57" s="611"/>
      <c r="F57" s="612"/>
      <c r="G57" s="66">
        <f>+G55+G47+G39+G28</f>
        <v>1409548.7568831169</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169145.85082597402</v>
      </c>
    </row>
    <row r="61" spans="2:7" x14ac:dyDescent="0.3">
      <c r="B61" s="613" t="s">
        <v>86</v>
      </c>
      <c r="C61" s="614"/>
      <c r="D61" s="614"/>
      <c r="E61" s="614"/>
      <c r="F61" s="22">
        <f>+IMPREVISTOS</f>
        <v>0.03</v>
      </c>
      <c r="G61" s="26">
        <f>+$G$57*F61</f>
        <v>42286.462706493505</v>
      </c>
    </row>
    <row r="62" spans="2:7" x14ac:dyDescent="0.3">
      <c r="B62" s="613" t="s">
        <v>87</v>
      </c>
      <c r="C62" s="614"/>
      <c r="D62" s="614"/>
      <c r="E62" s="614"/>
      <c r="F62" s="22">
        <f>+UTILIDAD</f>
        <v>0.05</v>
      </c>
      <c r="G62" s="26">
        <f>+$G$57*F62</f>
        <v>70477.437844155851</v>
      </c>
    </row>
    <row r="63" spans="2:7" x14ac:dyDescent="0.3">
      <c r="B63" s="596" t="s">
        <v>100</v>
      </c>
      <c r="C63" s="597"/>
      <c r="D63" s="597"/>
      <c r="E63" s="597"/>
      <c r="F63" s="597"/>
      <c r="G63" s="53">
        <f>SUM(G60:G62)</f>
        <v>281909.7513766234</v>
      </c>
    </row>
    <row r="64" spans="2:7" ht="17.25" thickBot="1" x14ac:dyDescent="0.35">
      <c r="B64" s="9"/>
      <c r="G64" s="44"/>
    </row>
    <row r="65" spans="2:7" ht="17.25" thickBot="1" x14ac:dyDescent="0.35">
      <c r="B65" s="598" t="s">
        <v>101</v>
      </c>
      <c r="C65" s="599"/>
      <c r="D65" s="599"/>
      <c r="E65" s="599"/>
      <c r="F65" s="600"/>
      <c r="G65" s="65">
        <f>+G63+G57</f>
        <v>1691458.5082597402</v>
      </c>
    </row>
    <row r="66" spans="2:7" x14ac:dyDescent="0.3">
      <c r="B66" s="6"/>
      <c r="C66" s="7"/>
      <c r="D66" s="7"/>
      <c r="E66" s="7"/>
      <c r="F66" s="7"/>
      <c r="G66" s="8"/>
    </row>
    <row r="67" spans="2:7" x14ac:dyDescent="0.3">
      <c r="B67" s="9"/>
      <c r="G67" s="11"/>
    </row>
    <row r="68" spans="2:7" x14ac:dyDescent="0.3">
      <c r="B68" s="69" t="s">
        <v>123</v>
      </c>
      <c r="C68" s="67"/>
      <c r="D68" s="67"/>
      <c r="E68" s="67"/>
      <c r="F68" s="67"/>
      <c r="G68" s="70"/>
    </row>
    <row r="69" spans="2:7" x14ac:dyDescent="0.3">
      <c r="B69" s="71"/>
      <c r="C69" s="67"/>
      <c r="D69" s="67"/>
      <c r="E69" s="67"/>
      <c r="F69" s="67"/>
      <c r="G69" s="70"/>
    </row>
    <row r="70" spans="2:7" x14ac:dyDescent="0.3">
      <c r="B70" s="72"/>
      <c r="C70" s="68"/>
      <c r="D70" s="68"/>
      <c r="E70" s="68"/>
      <c r="F70" s="68"/>
      <c r="G70" s="73"/>
    </row>
    <row r="71" spans="2:7" x14ac:dyDescent="0.3">
      <c r="B71" s="71"/>
      <c r="C71" s="67"/>
      <c r="D71" s="67"/>
      <c r="E71" s="67"/>
      <c r="F71" s="67"/>
      <c r="G71" s="70"/>
    </row>
    <row r="72" spans="2:7" ht="17.25" thickBot="1" x14ac:dyDescent="0.35">
      <c r="B72" s="15"/>
      <c r="C72" s="13"/>
      <c r="D72" s="13"/>
      <c r="E72" s="13"/>
      <c r="F72" s="13"/>
      <c r="G72" s="14"/>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count="5">
    <dataValidation type="list" allowBlank="1" showInputMessage="1" showErrorMessage="1" sqref="E102" xr:uid="{8F88937F-CE9B-449F-A126-5C9ABEAAAEE0}">
      <formula1>$A$103:$A$105</formula1>
    </dataValidation>
    <dataValidation type="list" allowBlank="1" showInputMessage="1" showErrorMessage="1" sqref="B13" xr:uid="{85C14B2C-35F2-4DCC-900B-7F82E13DB157}">
      <formula1>ITEM</formula1>
    </dataValidation>
    <dataValidation type="list" allowBlank="1" showInputMessage="1" showErrorMessage="1" sqref="B50:B54" xr:uid="{32A887F3-8DE5-4C09-AAEE-C3585AD1F2D4}">
      <formula1>L_PERSONAL</formula1>
    </dataValidation>
    <dataValidation type="list" allowBlank="1" showInputMessage="1" showErrorMessage="1" sqref="B31:B38" xr:uid="{EFE56875-4D40-4AD3-8DE1-ABD99886493F}">
      <formula1>L_MATERIALES</formula1>
    </dataValidation>
    <dataValidation type="list" allowBlank="1" showInputMessage="1" showErrorMessage="1" sqref="B23:B27 B42:B46" xr:uid="{D540EE1B-DAF5-4C98-9D97-90877FFCBA65}">
      <formula1>LISTA_MAQUINARIA</formula1>
    </dataValidation>
  </dataValidations>
  <pageMargins left="1.3779527559055118" right="0.70866141732283472" top="0.74803149606299213" bottom="0.74803149606299213" header="0.31496062992125984" footer="0.31496062992125984"/>
  <pageSetup scale="54" orientation="portrait" r:id="rId1"/>
  <rowBreaks count="1" manualBreakCount="1">
    <brk id="78" max="16383" man="1"/>
  </rowBreaks>
  <colBreaks count="1" manualBreakCount="1">
    <brk id="7" max="1048575" man="1"/>
  </colBreaks>
  <drawing r:id="rId2"/>
  <tableParts count="1">
    <tablePart r:id="rId3"/>
  </tableParts>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8CA78B-074C-4E11-BDCF-196CFC344584}">
  <sheetPr codeName="Hoja72"/>
  <dimension ref="A1:P105"/>
  <sheetViews>
    <sheetView showGridLines="0" view="pageBreakPreview" topLeftCell="A42" zoomScale="60" zoomScaleNormal="60" workbookViewId="0">
      <selection activeCell="J35" sqref="J35"/>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61</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18" t="str">
        <f>+IF($B$13="","",INDEX(DESCRIP_ITEM,MATCH($B$13,ITEM,0)))</f>
        <v>Suministro e instalacion de monolito de señalización 50x0,15x0,15 deberán ser instalados cada 100m en tramos rectos. también  en donde el trazado cambie de dirección.</v>
      </c>
      <c r="C16" s="619"/>
      <c r="D16" s="619"/>
      <c r="E16" s="619"/>
      <c r="F16" s="619"/>
      <c r="G16" s="620"/>
    </row>
    <row r="17" spans="2:16" ht="44.25" customHeight="1" thickBot="1" x14ac:dyDescent="0.35">
      <c r="B17" s="621"/>
      <c r="C17" s="622"/>
      <c r="D17" s="622"/>
      <c r="E17" s="622"/>
      <c r="F17" s="622"/>
      <c r="G17" s="623"/>
    </row>
    <row r="18" spans="2:16" ht="17.25" thickBot="1" x14ac:dyDescent="0.35">
      <c r="B18" s="591"/>
      <c r="C18" s="579"/>
      <c r="D18" s="579"/>
      <c r="E18" s="579"/>
      <c r="G18" s="11"/>
    </row>
    <row r="19" spans="2:16" ht="17.25" thickBot="1" x14ac:dyDescent="0.35">
      <c r="B19" s="592"/>
      <c r="C19" s="593"/>
      <c r="D19" s="593"/>
      <c r="E19" s="593"/>
      <c r="F19" s="54" t="s">
        <v>89</v>
      </c>
      <c r="G19" s="25" t="str">
        <f>+IF(B13="","",INDEX(U_ITEM,MATCH(B13,ITEM,0)))</f>
        <v>UN</v>
      </c>
    </row>
    <row r="20" spans="2:16" ht="17.25" thickBot="1" x14ac:dyDescent="0.35">
      <c r="B20" s="592"/>
      <c r="C20" s="593"/>
      <c r="D20" s="593"/>
      <c r="E20" s="593"/>
      <c r="F20" s="55" t="s">
        <v>90</v>
      </c>
      <c r="G20" s="56">
        <v>3.7</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t="s">
        <v>354</v>
      </c>
      <c r="C23" s="3" t="str">
        <f>+IF(B23="","",INDEX(U_MAQUINARIA,MATCH(B23,LISTA_MAQUINARIA,0)))</f>
        <v>VALOR / HORA</v>
      </c>
      <c r="D23" s="30">
        <v>1</v>
      </c>
      <c r="E23" s="23">
        <f>+IF(B23="","",INDEX(V_MAQUINARIA,MATCH(B23,LISTA_MAQUINARIA,0)))</f>
        <v>89781.818181818177</v>
      </c>
      <c r="F23" s="3">
        <f>$G$20</f>
        <v>3.7</v>
      </c>
      <c r="G23" s="26">
        <f>+IF(B23="","",(D23*E23)/F23)</f>
        <v>24265.356265356262</v>
      </c>
      <c r="K23" s="9"/>
      <c r="L23" s="23">
        <f>IF(B23="","",INDEX(V_COMBUSTIBLE_H,MATCH(B23,LISTA_MAQUINARIA,0)))</f>
        <v>21600</v>
      </c>
      <c r="M23" s="23">
        <f>+IF(L23="","",(L23*D23)/F23)</f>
        <v>5837.8378378378375</v>
      </c>
      <c r="N23" s="23">
        <f>IF(G23="","",G23-M23)</f>
        <v>18427.518427518426</v>
      </c>
      <c r="P23" s="11"/>
    </row>
    <row r="24" spans="2:16" x14ac:dyDescent="0.3">
      <c r="B24" s="27"/>
      <c r="C24" s="3" t="str">
        <f>+IF(B24="","",INDEX(U_MAQUINARIA,MATCH(B24,LISTA_MAQUINARIA,0)))</f>
        <v/>
      </c>
      <c r="D24" s="30"/>
      <c r="E24" s="23" t="str">
        <f>+IF(B24="","",INDEX(V_MAQUINARIA,MATCH(B24,LISTA_MAQUINARIA,0)))</f>
        <v/>
      </c>
      <c r="F24" s="3">
        <f>$G$20</f>
        <v>3.7</v>
      </c>
      <c r="G24" s="26" t="str">
        <f>+IF(B24="","",(D24*E24)/F24)</f>
        <v/>
      </c>
      <c r="K24" s="9"/>
      <c r="L24" s="3" t="str">
        <f>IF(B24="","",INDEX(V_COMBUSTIBLE_H,MATCH(B24,LISTA_MAQUINARIA,0)))</f>
        <v/>
      </c>
      <c r="M24" s="3" t="str">
        <f>+IF(L24="","",(L24*D24)/F24)</f>
        <v/>
      </c>
      <c r="N24" s="3" t="str">
        <f>IF(G24="","",G24-M24)</f>
        <v/>
      </c>
      <c r="P24" s="11"/>
    </row>
    <row r="25" spans="2:16" x14ac:dyDescent="0.3">
      <c r="B25" s="27"/>
      <c r="C25" s="3" t="str">
        <f>+IF(B25="","",INDEX(U_MAQUINARIA,MATCH(B25,LISTA_MAQUINARIA,0)))</f>
        <v/>
      </c>
      <c r="D25" s="30"/>
      <c r="E25" s="23" t="str">
        <f>+IF(B25="","",INDEX(V_MAQUINARIA,MATCH(B25,LISTA_MAQUINARIA,0)))</f>
        <v/>
      </c>
      <c r="F25" s="3">
        <f>$G$20</f>
        <v>3.7</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3.7</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3.7</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24265.356265356262</v>
      </c>
      <c r="K28" s="9"/>
      <c r="M28" s="24">
        <f>SUM(M23:M27)</f>
        <v>5837.8378378378375</v>
      </c>
      <c r="N28" s="24">
        <f>SUM(N23:N27)</f>
        <v>18427.518427518426</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t="s">
        <v>419</v>
      </c>
      <c r="C31" s="3" t="str">
        <f t="shared" ref="C31:C38" si="0">+IF(B31="","",INDEX(U_MATERIAL,MATCH(B31,L_MATERIALES,0)))</f>
        <v>und</v>
      </c>
      <c r="D31" s="30">
        <v>1</v>
      </c>
      <c r="E31" s="23">
        <f t="shared" ref="E31:E38" si="1">+IF(B31="","",INDEX(V_UNITARIOMATERIAL,MATCH(B31,L_MATERIALES,0)))</f>
        <v>890000</v>
      </c>
      <c r="F31" s="30">
        <v>1</v>
      </c>
      <c r="G31" s="26">
        <f>IF(D31="","",(E31*D31)/F31)</f>
        <v>890000</v>
      </c>
      <c r="K31" s="9"/>
      <c r="L31" t="str">
        <f>+IF(B31="","",B31)</f>
        <v>monolito---</v>
      </c>
      <c r="M31">
        <f t="shared" ref="M31:M38" si="2">IF(D31="","",(D31/F31)*INDEX(CANT_PROYECTO,MATCH($B$13,ITEM,0)))</f>
        <v>100</v>
      </c>
      <c r="N31" s="1"/>
      <c r="P31" s="11"/>
    </row>
    <row r="32" spans="2:16" x14ac:dyDescent="0.3">
      <c r="B32" s="27"/>
      <c r="C32" s="3" t="str">
        <f t="shared" si="0"/>
        <v/>
      </c>
      <c r="D32" s="30"/>
      <c r="E32" s="23" t="str">
        <f t="shared" si="1"/>
        <v/>
      </c>
      <c r="F32" s="30"/>
      <c r="G32" s="26" t="str">
        <f t="shared" ref="G32:G38" si="3">IF(D32="","",(E32*D32)/F32)</f>
        <v/>
      </c>
      <c r="K32" s="9"/>
      <c r="L32" t="str">
        <f t="shared" ref="L32:L38" si="4">+IF(B32="","",B32)</f>
        <v/>
      </c>
      <c r="M32" t="str">
        <f t="shared" si="2"/>
        <v/>
      </c>
      <c r="N32" s="1"/>
      <c r="P32" s="11"/>
    </row>
    <row r="33" spans="2:16" x14ac:dyDescent="0.3">
      <c r="B33" s="27"/>
      <c r="C33" s="3" t="str">
        <f t="shared" si="0"/>
        <v/>
      </c>
      <c r="D33" s="30"/>
      <c r="E33" s="23" t="str">
        <f t="shared" si="1"/>
        <v/>
      </c>
      <c r="F33" s="30"/>
      <c r="G33" s="26" t="str">
        <f t="shared" si="3"/>
        <v/>
      </c>
      <c r="K33" s="9"/>
      <c r="L33" t="str">
        <f t="shared" si="4"/>
        <v/>
      </c>
      <c r="M33" t="str">
        <f t="shared" si="2"/>
        <v/>
      </c>
      <c r="N33" s="1"/>
      <c r="P33" s="11"/>
    </row>
    <row r="34" spans="2:16" x14ac:dyDescent="0.3">
      <c r="B34" s="27"/>
      <c r="C34" s="3" t="str">
        <f t="shared" si="0"/>
        <v/>
      </c>
      <c r="D34" s="30"/>
      <c r="E34" s="23" t="str">
        <f t="shared" si="1"/>
        <v/>
      </c>
      <c r="F34" s="30"/>
      <c r="G34" s="26" t="str">
        <f t="shared" si="3"/>
        <v/>
      </c>
      <c r="K34" s="9"/>
      <c r="L34" t="str">
        <f t="shared" si="4"/>
        <v/>
      </c>
      <c r="M34" t="str">
        <f t="shared" si="2"/>
        <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890000</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t="s">
        <v>368</v>
      </c>
      <c r="C42" s="3" t="str">
        <f>+IF(B42="","",INDEX(U_MAQUINARIA,MATCH(B42,LISTA_MAQUINARIA,0)))</f>
        <v>VALOR / HORA</v>
      </c>
      <c r="D42" s="30">
        <v>1</v>
      </c>
      <c r="E42" s="23">
        <f>+IF(B42="","",INDEX(V_MAQUINARIA,MATCH(B42,LISTA_MAQUINARIA,0)))</f>
        <v>58531.818181818184</v>
      </c>
      <c r="F42" s="3">
        <f>$G$20</f>
        <v>3.7</v>
      </c>
      <c r="G42" s="26">
        <f>IF(D42="","",(E42*D42)/F42)</f>
        <v>15819.410319410319</v>
      </c>
      <c r="K42" s="9"/>
      <c r="L42" s="23">
        <f>IF(B42="","",INDEX(V_COMBUSTIBLE_H,MATCH(B42,LISTA_MAQUINARIA,0)))</f>
        <v>21600</v>
      </c>
      <c r="M42" s="23">
        <f>+IF(L42="","",(L42*D42)/F42)</f>
        <v>5837.8378378378375</v>
      </c>
      <c r="N42" s="23">
        <f>IF(G42="","",G42-M42)</f>
        <v>9981.5724815724825</v>
      </c>
      <c r="P42" s="11"/>
    </row>
    <row r="43" spans="2:16" x14ac:dyDescent="0.3">
      <c r="B43" s="27"/>
      <c r="C43" s="3" t="str">
        <f>+IF(B43="","",INDEX(U_MAQUINARIA,MATCH(B43,LISTA_MAQUINARIA,0)))</f>
        <v/>
      </c>
      <c r="D43" s="30"/>
      <c r="E43" s="23" t="str">
        <f>+IF(B43="","",INDEX(V_MAQUINARIA,MATCH(B43,LISTA_MAQUINARIA,0)))</f>
        <v/>
      </c>
      <c r="F43" s="3">
        <f>+$G$20</f>
        <v>3.7</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3.7</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3.7</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3.7</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15819.410319410319</v>
      </c>
      <c r="K47" s="9"/>
      <c r="M47" s="24">
        <f>SUM(M42:M46)</f>
        <v>5837.8378378378375</v>
      </c>
      <c r="N47" s="24">
        <f>SUM(N42:N46)</f>
        <v>9981.5724815724825</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t="s">
        <v>299</v>
      </c>
      <c r="C50" s="30">
        <v>1</v>
      </c>
      <c r="D50" s="22">
        <f>+IF(B50="","",INDEX(F_PRESTACIONAL,MATCH(B50,L_PERSONAL,)))</f>
        <v>1.6352</v>
      </c>
      <c r="E50" s="23">
        <f>+IF(B50="","",INDEX(V_H_MANODEOBRA,MATCH(B50,L_PERSONAL,0)))</f>
        <v>22298.18181818182</v>
      </c>
      <c r="F50" s="3">
        <f>+$G$20</f>
        <v>3.7</v>
      </c>
      <c r="G50" s="26">
        <f>+IF(C50="","",(E50*C50)/F50)</f>
        <v>6026.5356265356268</v>
      </c>
    </row>
    <row r="51" spans="2:7" x14ac:dyDescent="0.3">
      <c r="B51" s="27" t="s">
        <v>304</v>
      </c>
      <c r="C51" s="30">
        <v>2</v>
      </c>
      <c r="D51" s="22">
        <f>+IF(B51="","",INDEX(F_PRESTACIONAL,MATCH(B51,L_PERSONAL,)))</f>
        <v>1.6352</v>
      </c>
      <c r="E51" s="23">
        <f>+IF(B51="","",INDEX(V_H_MANODEOBRA,MATCH(B51,L_PERSONAL,0)))</f>
        <v>24658.815999999999</v>
      </c>
      <c r="F51" s="3">
        <f>+$G$20</f>
        <v>3.7</v>
      </c>
      <c r="G51" s="26">
        <f>+IF(C51="","",(E51*C51)/F51)</f>
        <v>13329.089729729729</v>
      </c>
    </row>
    <row r="52" spans="2:7" x14ac:dyDescent="0.3">
      <c r="B52" s="27"/>
      <c r="C52" s="30"/>
      <c r="D52" s="22" t="str">
        <f>+IF(B52="","",INDEX(F_PRESTACIONAL,MATCH(B52,L_PERSONAL,)))</f>
        <v/>
      </c>
      <c r="E52" s="23" t="str">
        <f>+IF(B52="","",INDEX(V_H_MANODEOBRA,MATCH(B52,L_PERSONAL,0)))</f>
        <v/>
      </c>
      <c r="F52" s="3">
        <f>+$G$20</f>
        <v>3.7</v>
      </c>
      <c r="G52" s="26" t="str">
        <f>+IF(C52="","",(E52*C52)/F52)</f>
        <v/>
      </c>
    </row>
    <row r="53" spans="2:7" x14ac:dyDescent="0.3">
      <c r="B53" s="27"/>
      <c r="C53" s="30"/>
      <c r="D53" s="22" t="str">
        <f>+IF(B53="","",INDEX(F_PRESTACIONAL,MATCH(B53,L_PERSONAL,)))</f>
        <v/>
      </c>
      <c r="E53" s="23" t="str">
        <f>+IF(B53="","",INDEX(V_H_MANODEOBRA,MATCH(B53,L_PERSONAL,0)))</f>
        <v/>
      </c>
      <c r="F53" s="3">
        <f>+$G$20</f>
        <v>3.7</v>
      </c>
      <c r="G53" s="26" t="str">
        <f>+IF(C53="","",(E53*C53)/F53)</f>
        <v/>
      </c>
    </row>
    <row r="54" spans="2:7" x14ac:dyDescent="0.3">
      <c r="B54" s="27"/>
      <c r="C54" s="30"/>
      <c r="D54" s="22" t="str">
        <f>+IF(B54="","",INDEX(F_PRESTACIONAL,MATCH(B54,L_PERSONAL,)))</f>
        <v/>
      </c>
      <c r="E54" s="23" t="str">
        <f>+IF(B54="","",INDEX(V_H_MANODEOBRA,MATCH(B54,L_PERSONAL,0)))</f>
        <v/>
      </c>
      <c r="F54" s="3">
        <f>+$G$20</f>
        <v>3.7</v>
      </c>
      <c r="G54" s="26" t="str">
        <f>+IF(C54="","",(E54*C54)/F54)</f>
        <v/>
      </c>
    </row>
    <row r="55" spans="2:7" x14ac:dyDescent="0.3">
      <c r="B55" s="9"/>
      <c r="G55" s="26">
        <f>SUM(G50:G54)</f>
        <v>19355.625356265355</v>
      </c>
    </row>
    <row r="56" spans="2:7" ht="17.25" thickBot="1" x14ac:dyDescent="0.35">
      <c r="B56" s="9"/>
      <c r="G56" s="11"/>
    </row>
    <row r="57" spans="2:7" ht="17.25" thickBot="1" x14ac:dyDescent="0.35">
      <c r="B57" s="610" t="s">
        <v>98</v>
      </c>
      <c r="C57" s="611"/>
      <c r="D57" s="611"/>
      <c r="E57" s="611"/>
      <c r="F57" s="612"/>
      <c r="G57" s="66">
        <f>+G55+G47+G39+G28</f>
        <v>949440.39194103202</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113932.84703292383</v>
      </c>
    </row>
    <row r="61" spans="2:7" x14ac:dyDescent="0.3">
      <c r="B61" s="613" t="s">
        <v>86</v>
      </c>
      <c r="C61" s="614"/>
      <c r="D61" s="614"/>
      <c r="E61" s="614"/>
      <c r="F61" s="22">
        <f>+IMPREVISTOS</f>
        <v>0.03</v>
      </c>
      <c r="G61" s="26">
        <f>+$G$57*F61</f>
        <v>28483.211758230958</v>
      </c>
    </row>
    <row r="62" spans="2:7" x14ac:dyDescent="0.3">
      <c r="B62" s="613" t="s">
        <v>87</v>
      </c>
      <c r="C62" s="614"/>
      <c r="D62" s="614"/>
      <c r="E62" s="614"/>
      <c r="F62" s="22">
        <f>+UTILIDAD</f>
        <v>0.05</v>
      </c>
      <c r="G62" s="26">
        <f>+$G$57*F62</f>
        <v>47472.019597051607</v>
      </c>
    </row>
    <row r="63" spans="2:7" x14ac:dyDescent="0.3">
      <c r="B63" s="596" t="s">
        <v>100</v>
      </c>
      <c r="C63" s="597"/>
      <c r="D63" s="597"/>
      <c r="E63" s="597"/>
      <c r="F63" s="597"/>
      <c r="G63" s="53">
        <f>SUM(G60:G62)</f>
        <v>189888.0783882064</v>
      </c>
    </row>
    <row r="64" spans="2:7" ht="17.25" thickBot="1" x14ac:dyDescent="0.35">
      <c r="B64" s="9"/>
      <c r="G64" s="44"/>
    </row>
    <row r="65" spans="2:7" ht="17.25" thickBot="1" x14ac:dyDescent="0.35">
      <c r="B65" s="598" t="s">
        <v>101</v>
      </c>
      <c r="C65" s="599"/>
      <c r="D65" s="599"/>
      <c r="E65" s="599"/>
      <c r="F65" s="600"/>
      <c r="G65" s="65">
        <f>+G63+G57</f>
        <v>1139328.4703292383</v>
      </c>
    </row>
    <row r="66" spans="2:7" x14ac:dyDescent="0.3">
      <c r="B66" s="6"/>
      <c r="C66" s="7"/>
      <c r="D66" s="7"/>
      <c r="E66" s="7"/>
      <c r="F66" s="7"/>
      <c r="G66" s="8"/>
    </row>
    <row r="67" spans="2:7" x14ac:dyDescent="0.3">
      <c r="B67" s="9"/>
      <c r="G67" s="11"/>
    </row>
    <row r="68" spans="2:7" x14ac:dyDescent="0.3">
      <c r="B68" s="69" t="s">
        <v>123</v>
      </c>
      <c r="C68" s="67"/>
      <c r="D68" s="67"/>
      <c r="E68" s="67"/>
      <c r="F68" s="67"/>
      <c r="G68" s="70"/>
    </row>
    <row r="69" spans="2:7" x14ac:dyDescent="0.3">
      <c r="B69" s="71"/>
      <c r="C69" s="67"/>
      <c r="D69" s="67"/>
      <c r="E69" s="67"/>
      <c r="F69" s="67"/>
      <c r="G69" s="70"/>
    </row>
    <row r="70" spans="2:7" x14ac:dyDescent="0.3">
      <c r="B70" s="72"/>
      <c r="C70" s="68"/>
      <c r="D70" s="68"/>
      <c r="E70" s="68"/>
      <c r="F70" s="68"/>
      <c r="G70" s="73"/>
    </row>
    <row r="71" spans="2:7" x14ac:dyDescent="0.3">
      <c r="B71" s="71"/>
      <c r="C71" s="67"/>
      <c r="D71" s="67"/>
      <c r="E71" s="67"/>
      <c r="F71" s="67"/>
      <c r="G71" s="70"/>
    </row>
    <row r="72" spans="2:7" ht="17.25" thickBot="1" x14ac:dyDescent="0.35">
      <c r="B72" s="15"/>
      <c r="C72" s="13"/>
      <c r="D72" s="13"/>
      <c r="E72" s="13"/>
      <c r="F72" s="13"/>
      <c r="G72" s="14"/>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count="5">
    <dataValidation type="list" allowBlank="1" showInputMessage="1" showErrorMessage="1" sqref="E102" xr:uid="{0A9ED940-F5FE-41F6-855D-BB2C5F987962}">
      <formula1>$A$103:$A$105</formula1>
    </dataValidation>
    <dataValidation type="list" allowBlank="1" showInputMessage="1" showErrorMessage="1" sqref="B13" xr:uid="{CB5160D3-A43B-4B99-A5A0-6EF309622DCB}">
      <formula1>ITEM</formula1>
    </dataValidation>
    <dataValidation type="list" allowBlank="1" showInputMessage="1" showErrorMessage="1" sqref="B50:B54" xr:uid="{06431BF0-0227-4972-AD66-789EF75B321C}">
      <formula1>L_PERSONAL</formula1>
    </dataValidation>
    <dataValidation type="list" allowBlank="1" showInputMessage="1" showErrorMessage="1" sqref="B31:B38" xr:uid="{BF606A76-5027-48C8-9280-757B95C29D0D}">
      <formula1>L_MATERIALES</formula1>
    </dataValidation>
    <dataValidation type="list" allowBlank="1" showInputMessage="1" showErrorMessage="1" sqref="B23:B27 B42:B46" xr:uid="{13E64B27-EB08-451D-AEC7-3969C43ED105}">
      <formula1>LISTA_MAQUINARIA</formula1>
    </dataValidation>
  </dataValidations>
  <pageMargins left="1.3779527559055118" right="0.70866141732283472" top="0.74803149606299213" bottom="0.74803149606299213" header="0.31496062992125984" footer="0.31496062992125984"/>
  <pageSetup scale="54" orientation="portrait" r:id="rId1"/>
  <rowBreaks count="1" manualBreakCount="1">
    <brk id="78" max="16383" man="1"/>
  </rowBreaks>
  <colBreaks count="1" manualBreakCount="1">
    <brk id="7" max="1048575" man="1"/>
  </colBreaks>
  <drawing r:id="rId2"/>
  <tableParts count="1">
    <tablePart r:id="rId3"/>
  </tableParts>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6D9B8-43D9-4BF3-8578-A5D105012AA8}">
  <sheetPr codeName="Hoja73"/>
  <dimension ref="A1:P105"/>
  <sheetViews>
    <sheetView showGridLines="0" view="pageBreakPreview" zoomScale="60" zoomScaleNormal="60" workbookViewId="0">
      <selection activeCell="J35" sqref="J35"/>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62</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18" t="str">
        <f>+IF($B$13="","",INDEX(DESCRIP_ITEM,MATCH($B$13,ITEM,0)))</f>
        <v>Prueba VLF para cables de 34,5 kV XLPE. Incluye presentación procedimiento, protocolos de la prueba, entrega de resultados al dia habil siguiente de la prueba. La señalizacion del area de trabajo y todas las condiciones de seguridad para el personal y el cable.</v>
      </c>
      <c r="C16" s="619"/>
      <c r="D16" s="619"/>
      <c r="E16" s="619"/>
      <c r="F16" s="619"/>
      <c r="G16" s="620"/>
    </row>
    <row r="17" spans="2:16" ht="44.25" customHeight="1" thickBot="1" x14ac:dyDescent="0.35">
      <c r="B17" s="621"/>
      <c r="C17" s="622"/>
      <c r="D17" s="622"/>
      <c r="E17" s="622"/>
      <c r="F17" s="622"/>
      <c r="G17" s="623"/>
    </row>
    <row r="18" spans="2:16" ht="17.25" thickBot="1" x14ac:dyDescent="0.35">
      <c r="B18" s="591"/>
      <c r="C18" s="579"/>
      <c r="D18" s="579"/>
      <c r="E18" s="579"/>
      <c r="G18" s="11"/>
    </row>
    <row r="19" spans="2:16" ht="17.25" thickBot="1" x14ac:dyDescent="0.35">
      <c r="B19" s="592"/>
      <c r="C19" s="593"/>
      <c r="D19" s="593"/>
      <c r="E19" s="593"/>
      <c r="F19" s="54" t="s">
        <v>89</v>
      </c>
      <c r="G19" s="25" t="str">
        <f>+IF(B13="","",INDEX(U_ITEM,MATCH(B13,ITEM,0)))</f>
        <v>UN</v>
      </c>
    </row>
    <row r="20" spans="2:16" ht="17.25" thickBot="1" x14ac:dyDescent="0.35">
      <c r="B20" s="592"/>
      <c r="C20" s="593"/>
      <c r="D20" s="593"/>
      <c r="E20" s="593"/>
      <c r="F20" s="55" t="s">
        <v>90</v>
      </c>
      <c r="G20" s="56">
        <f>1/16.4</f>
        <v>6.0975609756097567E-2</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c r="C23" s="3" t="str">
        <f>+IF(B23="","",INDEX(U_MAQUINARIA,MATCH(B23,LISTA_MAQUINARIA,0)))</f>
        <v/>
      </c>
      <c r="D23" s="30"/>
      <c r="E23" s="23" t="str">
        <f>+IF(B23="","",INDEX(V_MAQUINARIA,MATCH(B23,LISTA_MAQUINARIA,0)))</f>
        <v/>
      </c>
      <c r="F23" s="3">
        <f>$G$20</f>
        <v>6.0975609756097567E-2</v>
      </c>
      <c r="G23" s="26" t="str">
        <f>+IF(B23="","",(D23*E23)/F23)</f>
        <v/>
      </c>
      <c r="K23" s="9"/>
      <c r="L23" s="23" t="str">
        <f>IF(B23="","",INDEX(V_COMBUSTIBLE_H,MATCH(B23,LISTA_MAQUINARIA,0)))</f>
        <v/>
      </c>
      <c r="M23" s="23" t="str">
        <f>+IF(L23="","",(L23*D23)/F23)</f>
        <v/>
      </c>
      <c r="N23" s="23" t="str">
        <f>IF(G23="","",G23-M23)</f>
        <v/>
      </c>
      <c r="P23" s="11"/>
    </row>
    <row r="24" spans="2:16" x14ac:dyDescent="0.3">
      <c r="B24" s="27"/>
      <c r="C24" s="3" t="str">
        <f>+IF(B24="","",INDEX(U_MAQUINARIA,MATCH(B24,LISTA_MAQUINARIA,0)))</f>
        <v/>
      </c>
      <c r="D24" s="30"/>
      <c r="E24" s="23" t="str">
        <f>+IF(B24="","",INDEX(V_MAQUINARIA,MATCH(B24,LISTA_MAQUINARIA,0)))</f>
        <v/>
      </c>
      <c r="F24" s="3">
        <f>$G$20</f>
        <v>6.0975609756097567E-2</v>
      </c>
      <c r="G24" s="26" t="str">
        <f>+IF(B24="","",(D24*E24)/F24)</f>
        <v/>
      </c>
      <c r="K24" s="9"/>
      <c r="L24" s="3" t="str">
        <f>IF(B24="","",INDEX(V_COMBUSTIBLE_H,MATCH(B24,LISTA_MAQUINARIA,0)))</f>
        <v/>
      </c>
      <c r="M24" s="3" t="str">
        <f>+IF(L24="","",(L24*D24)/F24)</f>
        <v/>
      </c>
      <c r="N24" s="3" t="str">
        <f>IF(G24="","",G24-M24)</f>
        <v/>
      </c>
      <c r="P24" s="11"/>
    </row>
    <row r="25" spans="2:16" x14ac:dyDescent="0.3">
      <c r="B25" s="27"/>
      <c r="C25" s="3" t="str">
        <f>+IF(B25="","",INDEX(U_MAQUINARIA,MATCH(B25,LISTA_MAQUINARIA,0)))</f>
        <v/>
      </c>
      <c r="D25" s="30"/>
      <c r="E25" s="23" t="str">
        <f>+IF(B25="","",INDEX(V_MAQUINARIA,MATCH(B25,LISTA_MAQUINARIA,0)))</f>
        <v/>
      </c>
      <c r="F25" s="3">
        <f>$G$20</f>
        <v>6.0975609756097567E-2</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6.0975609756097567E-2</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6.0975609756097567E-2</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0</v>
      </c>
      <c r="K28" s="9"/>
      <c r="M28" s="24">
        <f>SUM(M23:M27)</f>
        <v>0</v>
      </c>
      <c r="N28" s="24">
        <f>SUM(N23:N27)</f>
        <v>0</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c r="C31" s="3" t="str">
        <f t="shared" ref="C31:C38" si="0">+IF(B31="","",INDEX(U_MATERIAL,MATCH(B31,L_MATERIALES,0)))</f>
        <v/>
      </c>
      <c r="D31" s="30"/>
      <c r="E31" s="23" t="str">
        <f t="shared" ref="E31:E38" si="1">+IF(B31="","",INDEX(V_UNITARIOMATERIAL,MATCH(B31,L_MATERIALES,0)))</f>
        <v/>
      </c>
      <c r="F31" s="30"/>
      <c r="G31" s="26" t="str">
        <f>IF(D31="","",(E31*D31)/F31)</f>
        <v/>
      </c>
      <c r="K31" s="9"/>
      <c r="L31" t="str">
        <f>+IF(B31="","",B31)</f>
        <v/>
      </c>
      <c r="M31" t="str">
        <f t="shared" ref="M31:M38" si="2">IF(D31="","",(D31/F31)*INDEX(CANT_PROYECTO,MATCH($B$13,ITEM,0)))</f>
        <v/>
      </c>
      <c r="N31" s="1"/>
      <c r="P31" s="11"/>
    </row>
    <row r="32" spans="2:16" x14ac:dyDescent="0.3">
      <c r="B32" s="27"/>
      <c r="C32" s="3" t="str">
        <f t="shared" si="0"/>
        <v/>
      </c>
      <c r="D32" s="30"/>
      <c r="E32" s="23" t="str">
        <f t="shared" si="1"/>
        <v/>
      </c>
      <c r="F32" s="30"/>
      <c r="G32" s="26" t="str">
        <f t="shared" ref="G32:G38" si="3">IF(D32="","",(E32*D32)/F32)</f>
        <v/>
      </c>
      <c r="K32" s="9"/>
      <c r="L32" t="str">
        <f t="shared" ref="L32:L38" si="4">+IF(B32="","",B32)</f>
        <v/>
      </c>
      <c r="M32" t="str">
        <f t="shared" si="2"/>
        <v/>
      </c>
      <c r="N32" s="1"/>
      <c r="P32" s="11"/>
    </row>
    <row r="33" spans="2:16" x14ac:dyDescent="0.3">
      <c r="B33" s="27"/>
      <c r="C33" s="3" t="str">
        <f t="shared" si="0"/>
        <v/>
      </c>
      <c r="D33" s="30"/>
      <c r="E33" s="23" t="str">
        <f t="shared" si="1"/>
        <v/>
      </c>
      <c r="F33" s="30"/>
      <c r="G33" s="26" t="str">
        <f t="shared" si="3"/>
        <v/>
      </c>
      <c r="K33" s="9"/>
      <c r="L33" t="str">
        <f t="shared" si="4"/>
        <v/>
      </c>
      <c r="M33" t="str">
        <f t="shared" si="2"/>
        <v/>
      </c>
      <c r="N33" s="1"/>
      <c r="P33" s="11"/>
    </row>
    <row r="34" spans="2:16" x14ac:dyDescent="0.3">
      <c r="B34" s="27"/>
      <c r="C34" s="3" t="str">
        <f t="shared" si="0"/>
        <v/>
      </c>
      <c r="D34" s="30"/>
      <c r="E34" s="23" t="str">
        <f t="shared" si="1"/>
        <v/>
      </c>
      <c r="F34" s="30"/>
      <c r="G34" s="26" t="str">
        <f t="shared" si="3"/>
        <v/>
      </c>
      <c r="K34" s="9"/>
      <c r="L34" t="str">
        <f t="shared" si="4"/>
        <v/>
      </c>
      <c r="M34" t="str">
        <f t="shared" si="2"/>
        <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0</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c r="C42" s="3" t="str">
        <f>+IF(B42="","",INDEX(U_MAQUINARIA,MATCH(B42,LISTA_MAQUINARIA,0)))</f>
        <v/>
      </c>
      <c r="D42" s="30"/>
      <c r="E42" s="23" t="str">
        <f>+IF(B42="","",INDEX(V_MAQUINARIA,MATCH(B42,LISTA_MAQUINARIA,0)))</f>
        <v/>
      </c>
      <c r="F42" s="3">
        <f>$G$20</f>
        <v>6.0975609756097567E-2</v>
      </c>
      <c r="G42" s="26" t="str">
        <f>IF(D42="","",(E42*D42)/F42)</f>
        <v/>
      </c>
      <c r="K42" s="9"/>
      <c r="L42" s="23" t="str">
        <f>IF(B42="","",INDEX(V_COMBUSTIBLE_H,MATCH(B42,LISTA_MAQUINARIA,0)))</f>
        <v/>
      </c>
      <c r="M42" s="23" t="str">
        <f>+IF(L42="","",(L42*D42)/F42)</f>
        <v/>
      </c>
      <c r="N42" s="23" t="str">
        <f>IF(G42="","",G42-M42)</f>
        <v/>
      </c>
      <c r="P42" s="11"/>
    </row>
    <row r="43" spans="2:16" x14ac:dyDescent="0.3">
      <c r="B43" s="27"/>
      <c r="C43" s="3" t="str">
        <f>+IF(B43="","",INDEX(U_MAQUINARIA,MATCH(B43,LISTA_MAQUINARIA,0)))</f>
        <v/>
      </c>
      <c r="D43" s="30"/>
      <c r="E43" s="23" t="str">
        <f>+IF(B43="","",INDEX(V_MAQUINARIA,MATCH(B43,LISTA_MAQUINARIA,0)))</f>
        <v/>
      </c>
      <c r="F43" s="3">
        <f>+$G$20</f>
        <v>6.0975609756097567E-2</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6.0975609756097567E-2</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6.0975609756097567E-2</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6.0975609756097567E-2</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0</v>
      </c>
      <c r="K47" s="9"/>
      <c r="M47" s="24">
        <f>SUM(M42:M46)</f>
        <v>0</v>
      </c>
      <c r="N47" s="24">
        <f>SUM(N42:N46)</f>
        <v>0</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t="s">
        <v>306</v>
      </c>
      <c r="C50" s="30">
        <v>1</v>
      </c>
      <c r="D50" s="22">
        <f>+IF(B50="","",INDEX(F_PRESTACIONAL,MATCH(B50,L_PERSONAL,)))</f>
        <v>2.3170181818181819</v>
      </c>
      <c r="E50" s="23">
        <f>+IF(B50="","",INDEX(V_H_MANODEOBRA,MATCH(B50,L_PERSONAL,0)))</f>
        <v>46340.36363636364</v>
      </c>
      <c r="F50" s="3">
        <f>+$G$20</f>
        <v>6.0975609756097567E-2</v>
      </c>
      <c r="G50" s="26">
        <f>+IF(C50="","",(E50*C50)/F50)</f>
        <v>759981.96363636362</v>
      </c>
    </row>
    <row r="51" spans="2:7" x14ac:dyDescent="0.3">
      <c r="B51" s="27" t="s">
        <v>304</v>
      </c>
      <c r="C51" s="30">
        <v>2</v>
      </c>
      <c r="D51" s="22">
        <f>+IF(B51="","",INDEX(F_PRESTACIONAL,MATCH(B51,L_PERSONAL,)))</f>
        <v>1.6352</v>
      </c>
      <c r="E51" s="23">
        <f>+IF(B51="","",INDEX(V_H_MANODEOBRA,MATCH(B51,L_PERSONAL,0)))</f>
        <v>24658.815999999999</v>
      </c>
      <c r="F51" s="3">
        <f>+$G$20</f>
        <v>6.0975609756097567E-2</v>
      </c>
      <c r="G51" s="26">
        <f>+IF(C51="","",(E51*C51)/F51)</f>
        <v>808809.16479999991</v>
      </c>
    </row>
    <row r="52" spans="2:7" x14ac:dyDescent="0.3">
      <c r="B52" s="27"/>
      <c r="C52" s="30"/>
      <c r="D52" s="22" t="str">
        <f>+IF(B52="","",INDEX(F_PRESTACIONAL,MATCH(B52,L_PERSONAL,)))</f>
        <v/>
      </c>
      <c r="E52" s="23" t="str">
        <f>+IF(B52="","",INDEX(V_H_MANODEOBRA,MATCH(B52,L_PERSONAL,0)))</f>
        <v/>
      </c>
      <c r="F52" s="3">
        <f>+$G$20</f>
        <v>6.0975609756097567E-2</v>
      </c>
      <c r="G52" s="26" t="str">
        <f>+IF(C52="","",(E52*C52)/F52)</f>
        <v/>
      </c>
    </row>
    <row r="53" spans="2:7" x14ac:dyDescent="0.3">
      <c r="B53" s="27"/>
      <c r="C53" s="30"/>
      <c r="D53" s="22" t="str">
        <f>+IF(B53="","",INDEX(F_PRESTACIONAL,MATCH(B53,L_PERSONAL,)))</f>
        <v/>
      </c>
      <c r="E53" s="23" t="str">
        <f>+IF(B53="","",INDEX(V_H_MANODEOBRA,MATCH(B53,L_PERSONAL,0)))</f>
        <v/>
      </c>
      <c r="F53" s="3">
        <f>+$G$20</f>
        <v>6.0975609756097567E-2</v>
      </c>
      <c r="G53" s="26" t="str">
        <f>+IF(C53="","",(E53*C53)/F53)</f>
        <v/>
      </c>
    </row>
    <row r="54" spans="2:7" x14ac:dyDescent="0.3">
      <c r="B54" s="27"/>
      <c r="C54" s="30"/>
      <c r="D54" s="22" t="str">
        <f>+IF(B54="","",INDEX(F_PRESTACIONAL,MATCH(B54,L_PERSONAL,)))</f>
        <v/>
      </c>
      <c r="E54" s="23" t="str">
        <f>+IF(B54="","",INDEX(V_H_MANODEOBRA,MATCH(B54,L_PERSONAL,0)))</f>
        <v/>
      </c>
      <c r="F54" s="3">
        <f>+$G$20</f>
        <v>6.0975609756097567E-2</v>
      </c>
      <c r="G54" s="26" t="str">
        <f>+IF(C54="","",(E54*C54)/F54)</f>
        <v/>
      </c>
    </row>
    <row r="55" spans="2:7" x14ac:dyDescent="0.3">
      <c r="B55" s="9"/>
      <c r="G55" s="26">
        <f>SUM(G50:G54)</f>
        <v>1568791.1284363635</v>
      </c>
    </row>
    <row r="56" spans="2:7" ht="17.25" thickBot="1" x14ac:dyDescent="0.35">
      <c r="B56" s="9"/>
      <c r="G56" s="11"/>
    </row>
    <row r="57" spans="2:7" ht="17.25" thickBot="1" x14ac:dyDescent="0.35">
      <c r="B57" s="610" t="s">
        <v>98</v>
      </c>
      <c r="C57" s="611"/>
      <c r="D57" s="611"/>
      <c r="E57" s="611"/>
      <c r="F57" s="612"/>
      <c r="G57" s="66">
        <f>+G55+G47+G39+G28</f>
        <v>1568791.1284363635</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188254.93541236361</v>
      </c>
    </row>
    <row r="61" spans="2:7" x14ac:dyDescent="0.3">
      <c r="B61" s="613" t="s">
        <v>86</v>
      </c>
      <c r="C61" s="614"/>
      <c r="D61" s="614"/>
      <c r="E61" s="614"/>
      <c r="F61" s="22">
        <f>+IMPREVISTOS</f>
        <v>0.03</v>
      </c>
      <c r="G61" s="26">
        <f>+$G$57*F61</f>
        <v>47063.733853090904</v>
      </c>
    </row>
    <row r="62" spans="2:7" x14ac:dyDescent="0.3">
      <c r="B62" s="613" t="s">
        <v>87</v>
      </c>
      <c r="C62" s="614"/>
      <c r="D62" s="614"/>
      <c r="E62" s="614"/>
      <c r="F62" s="22">
        <f>+UTILIDAD</f>
        <v>0.05</v>
      </c>
      <c r="G62" s="26">
        <f>+$G$57*F62</f>
        <v>78439.556421818183</v>
      </c>
    </row>
    <row r="63" spans="2:7" x14ac:dyDescent="0.3">
      <c r="B63" s="596" t="s">
        <v>100</v>
      </c>
      <c r="C63" s="597"/>
      <c r="D63" s="597"/>
      <c r="E63" s="597"/>
      <c r="F63" s="597"/>
      <c r="G63" s="53">
        <f>SUM(G60:G62)</f>
        <v>313758.22568727273</v>
      </c>
    </row>
    <row r="64" spans="2:7" ht="17.25" thickBot="1" x14ac:dyDescent="0.35">
      <c r="B64" s="9"/>
      <c r="G64" s="44"/>
    </row>
    <row r="65" spans="2:7" ht="17.25" thickBot="1" x14ac:dyDescent="0.35">
      <c r="B65" s="598" t="s">
        <v>101</v>
      </c>
      <c r="C65" s="599"/>
      <c r="D65" s="599"/>
      <c r="E65" s="599"/>
      <c r="F65" s="600"/>
      <c r="G65" s="65">
        <f>+G63+G57</f>
        <v>1882549.3541236361</v>
      </c>
    </row>
    <row r="66" spans="2:7" x14ac:dyDescent="0.3">
      <c r="B66" s="6"/>
      <c r="C66" s="7"/>
      <c r="D66" s="7"/>
      <c r="E66" s="7"/>
      <c r="F66" s="7"/>
      <c r="G66" s="8"/>
    </row>
    <row r="67" spans="2:7" x14ac:dyDescent="0.3">
      <c r="B67" s="9"/>
      <c r="G67" s="11"/>
    </row>
    <row r="68" spans="2:7" x14ac:dyDescent="0.3">
      <c r="B68" s="69" t="s">
        <v>123</v>
      </c>
      <c r="C68" s="67"/>
      <c r="D68" s="67"/>
      <c r="E68" s="67"/>
      <c r="F68" s="67"/>
      <c r="G68" s="70"/>
    </row>
    <row r="69" spans="2:7" x14ac:dyDescent="0.3">
      <c r="B69" s="71"/>
      <c r="C69" s="67"/>
      <c r="D69" s="67"/>
      <c r="E69" s="67"/>
      <c r="F69" s="67"/>
      <c r="G69" s="70"/>
    </row>
    <row r="70" spans="2:7" x14ac:dyDescent="0.3">
      <c r="B70" s="72"/>
      <c r="C70" s="68"/>
      <c r="D70" s="68"/>
      <c r="E70" s="68"/>
      <c r="F70" s="68"/>
      <c r="G70" s="73"/>
    </row>
    <row r="71" spans="2:7" x14ac:dyDescent="0.3">
      <c r="B71" s="71"/>
      <c r="C71" s="67"/>
      <c r="D71" s="67"/>
      <c r="E71" s="67"/>
      <c r="F71" s="67"/>
      <c r="G71" s="70"/>
    </row>
    <row r="72" spans="2:7" ht="17.25" thickBot="1" x14ac:dyDescent="0.35">
      <c r="B72" s="15"/>
      <c r="C72" s="13"/>
      <c r="D72" s="13"/>
      <c r="E72" s="13"/>
      <c r="F72" s="13"/>
      <c r="G72" s="14"/>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count="5">
    <dataValidation type="list" allowBlank="1" showInputMessage="1" showErrorMessage="1" sqref="E102" xr:uid="{DD597B2E-C969-4D31-943B-42F77F3F71E9}">
      <formula1>$A$103:$A$105</formula1>
    </dataValidation>
    <dataValidation type="list" allowBlank="1" showInputMessage="1" showErrorMessage="1" sqref="B13" xr:uid="{53225DF2-13E0-4446-BC0D-D237EC3F9FBC}">
      <formula1>ITEM</formula1>
    </dataValidation>
    <dataValidation type="list" allowBlank="1" showInputMessage="1" showErrorMessage="1" sqref="B50:B54" xr:uid="{BA7C18B3-9998-405C-BBE2-F4E983CB07D1}">
      <formula1>L_PERSONAL</formula1>
    </dataValidation>
    <dataValidation type="list" allowBlank="1" showInputMessage="1" showErrorMessage="1" sqref="B31:B38" xr:uid="{CB4E6EEA-26B6-414D-B695-A29F0564DDB7}">
      <formula1>L_MATERIALES</formula1>
    </dataValidation>
    <dataValidation type="list" allowBlank="1" showInputMessage="1" showErrorMessage="1" sqref="B23:B27 B42:B46" xr:uid="{20379EE9-19DA-4275-AE05-FAAD2A1B2B49}">
      <formula1>LISTA_MAQUINARIA</formula1>
    </dataValidation>
  </dataValidations>
  <pageMargins left="1.3779527559055118" right="0.70866141732283472" top="0.74803149606299213" bottom="0.74803149606299213" header="0.31496062992125984" footer="0.31496062992125984"/>
  <pageSetup scale="54" orientation="portrait" r:id="rId1"/>
  <rowBreaks count="1" manualBreakCount="1">
    <brk id="78" max="16383" man="1"/>
  </rowBreaks>
  <colBreaks count="1" manualBreakCount="1">
    <brk id="7" max="1048575" man="1"/>
  </colBreaks>
  <drawing r:id="rId2"/>
  <tableParts count="1">
    <tablePart r:id="rId3"/>
  </tableParts>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24FEE5-D69C-4159-8B9C-8356864062B0}">
  <sheetPr codeName="Hoja74"/>
  <dimension ref="A1:P105"/>
  <sheetViews>
    <sheetView showGridLines="0" view="pageBreakPreview" topLeftCell="A70" zoomScale="60" zoomScaleNormal="60" workbookViewId="0">
      <selection activeCell="J35" sqref="J35"/>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63</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18" t="str">
        <f>+IF($B$13="","",INDEX(DESCRIP_ITEM,MATCH($B$13,ITEM,0)))</f>
        <v>Prueba descargas parciales para cables de 34,5 kV XLPE. Incluye presentación procedimiento, protocolos de la prueba, entrega de resultados al dia habil siguiente de la prueba. La señalizacion del area de trabajo y todas las condiciones de seguridad para el personal y el cable.</v>
      </c>
      <c r="C16" s="619"/>
      <c r="D16" s="619"/>
      <c r="E16" s="619"/>
      <c r="F16" s="619"/>
      <c r="G16" s="620"/>
    </row>
    <row r="17" spans="2:16" ht="44.25" customHeight="1" thickBot="1" x14ac:dyDescent="0.35">
      <c r="B17" s="621"/>
      <c r="C17" s="622"/>
      <c r="D17" s="622"/>
      <c r="E17" s="622"/>
      <c r="F17" s="622"/>
      <c r="G17" s="623"/>
    </row>
    <row r="18" spans="2:16" ht="17.25" thickBot="1" x14ac:dyDescent="0.35">
      <c r="B18" s="591"/>
      <c r="C18" s="579"/>
      <c r="D18" s="579"/>
      <c r="E18" s="579"/>
      <c r="G18" s="11"/>
    </row>
    <row r="19" spans="2:16" ht="17.25" thickBot="1" x14ac:dyDescent="0.35">
      <c r="B19" s="592"/>
      <c r="C19" s="593"/>
      <c r="D19" s="593"/>
      <c r="E19" s="593"/>
      <c r="F19" s="54" t="s">
        <v>89</v>
      </c>
      <c r="G19" s="25" t="str">
        <f>+IF(B13="","",INDEX(U_ITEM,MATCH(B13,ITEM,0)))</f>
        <v>UN</v>
      </c>
    </row>
    <row r="20" spans="2:16" ht="17.25" thickBot="1" x14ac:dyDescent="0.35">
      <c r="B20" s="592"/>
      <c r="C20" s="593"/>
      <c r="D20" s="593"/>
      <c r="E20" s="593"/>
      <c r="F20" s="55" t="s">
        <v>90</v>
      </c>
      <c r="G20" s="56">
        <f>1/16.2</f>
        <v>6.1728395061728399E-2</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c r="C23" s="3" t="str">
        <f>+IF(B23="","",INDEX(U_MAQUINARIA,MATCH(B23,LISTA_MAQUINARIA,0)))</f>
        <v/>
      </c>
      <c r="D23" s="30"/>
      <c r="E23" s="23" t="str">
        <f>+IF(B23="","",INDEX(V_MAQUINARIA,MATCH(B23,LISTA_MAQUINARIA,0)))</f>
        <v/>
      </c>
      <c r="F23" s="3">
        <f>$G$20</f>
        <v>6.1728395061728399E-2</v>
      </c>
      <c r="G23" s="26" t="str">
        <f>+IF(B23="","",(D23*E23)/F23)</f>
        <v/>
      </c>
      <c r="K23" s="9"/>
      <c r="L23" s="23" t="str">
        <f>IF(B23="","",INDEX(V_COMBUSTIBLE_H,MATCH(B23,LISTA_MAQUINARIA,0)))</f>
        <v/>
      </c>
      <c r="M23" s="23" t="str">
        <f>+IF(L23="","",(L23*D23)/F23)</f>
        <v/>
      </c>
      <c r="N23" s="23" t="str">
        <f>IF(G23="","",G23-M23)</f>
        <v/>
      </c>
      <c r="P23" s="11"/>
    </row>
    <row r="24" spans="2:16" x14ac:dyDescent="0.3">
      <c r="B24" s="27"/>
      <c r="C24" s="3" t="str">
        <f>+IF(B24="","",INDEX(U_MAQUINARIA,MATCH(B24,LISTA_MAQUINARIA,0)))</f>
        <v/>
      </c>
      <c r="D24" s="30"/>
      <c r="E24" s="23" t="str">
        <f>+IF(B24="","",INDEX(V_MAQUINARIA,MATCH(B24,LISTA_MAQUINARIA,0)))</f>
        <v/>
      </c>
      <c r="F24" s="3">
        <f>$G$20</f>
        <v>6.1728395061728399E-2</v>
      </c>
      <c r="G24" s="26" t="str">
        <f>+IF(B24="","",(D24*E24)/F24)</f>
        <v/>
      </c>
      <c r="K24" s="9"/>
      <c r="L24" s="3" t="str">
        <f>IF(B24="","",INDEX(V_COMBUSTIBLE_H,MATCH(B24,LISTA_MAQUINARIA,0)))</f>
        <v/>
      </c>
      <c r="M24" s="3" t="str">
        <f>+IF(L24="","",(L24*D24)/F24)</f>
        <v/>
      </c>
      <c r="N24" s="3" t="str">
        <f>IF(G24="","",G24-M24)</f>
        <v/>
      </c>
      <c r="P24" s="11"/>
    </row>
    <row r="25" spans="2:16" x14ac:dyDescent="0.3">
      <c r="B25" s="27"/>
      <c r="C25" s="3" t="str">
        <f>+IF(B25="","",INDEX(U_MAQUINARIA,MATCH(B25,LISTA_MAQUINARIA,0)))</f>
        <v/>
      </c>
      <c r="D25" s="30"/>
      <c r="E25" s="23" t="str">
        <f>+IF(B25="","",INDEX(V_MAQUINARIA,MATCH(B25,LISTA_MAQUINARIA,0)))</f>
        <v/>
      </c>
      <c r="F25" s="3">
        <f>$G$20</f>
        <v>6.1728395061728399E-2</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6.1728395061728399E-2</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6.1728395061728399E-2</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0</v>
      </c>
      <c r="K28" s="9"/>
      <c r="M28" s="24">
        <f>SUM(M23:M27)</f>
        <v>0</v>
      </c>
      <c r="N28" s="24">
        <f>SUM(N23:N27)</f>
        <v>0</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c r="C31" s="3" t="str">
        <f t="shared" ref="C31:C38" si="0">+IF(B31="","",INDEX(U_MATERIAL,MATCH(B31,L_MATERIALES,0)))</f>
        <v/>
      </c>
      <c r="D31" s="30"/>
      <c r="E31" s="23" t="str">
        <f t="shared" ref="E31:E38" si="1">+IF(B31="","",INDEX(V_UNITARIOMATERIAL,MATCH(B31,L_MATERIALES,0)))</f>
        <v/>
      </c>
      <c r="F31" s="30"/>
      <c r="G31" s="26" t="str">
        <f>IF(D31="","",(E31*D31)/F31)</f>
        <v/>
      </c>
      <c r="K31" s="9"/>
      <c r="L31" t="str">
        <f>+IF(B31="","",B31)</f>
        <v/>
      </c>
      <c r="M31" t="str">
        <f t="shared" ref="M31:M38" si="2">IF(D31="","",(D31/F31)*INDEX(CANT_PROYECTO,MATCH($B$13,ITEM,0)))</f>
        <v/>
      </c>
      <c r="N31" s="1"/>
      <c r="P31" s="11"/>
    </row>
    <row r="32" spans="2:16" x14ac:dyDescent="0.3">
      <c r="B32" s="27"/>
      <c r="C32" s="3" t="str">
        <f t="shared" si="0"/>
        <v/>
      </c>
      <c r="D32" s="30"/>
      <c r="E32" s="23" t="str">
        <f t="shared" si="1"/>
        <v/>
      </c>
      <c r="F32" s="30"/>
      <c r="G32" s="26" t="str">
        <f t="shared" ref="G32:G38" si="3">IF(D32="","",(E32*D32)/F32)</f>
        <v/>
      </c>
      <c r="K32" s="9"/>
      <c r="L32" t="str">
        <f t="shared" ref="L32:L38" si="4">+IF(B32="","",B32)</f>
        <v/>
      </c>
      <c r="M32" t="str">
        <f t="shared" si="2"/>
        <v/>
      </c>
      <c r="N32" s="1"/>
      <c r="P32" s="11"/>
    </row>
    <row r="33" spans="2:16" x14ac:dyDescent="0.3">
      <c r="B33" s="27"/>
      <c r="C33" s="3" t="str">
        <f t="shared" si="0"/>
        <v/>
      </c>
      <c r="D33" s="30"/>
      <c r="E33" s="23" t="str">
        <f t="shared" si="1"/>
        <v/>
      </c>
      <c r="F33" s="30"/>
      <c r="G33" s="26" t="str">
        <f t="shared" si="3"/>
        <v/>
      </c>
      <c r="K33" s="9"/>
      <c r="L33" t="str">
        <f t="shared" si="4"/>
        <v/>
      </c>
      <c r="M33" t="str">
        <f t="shared" si="2"/>
        <v/>
      </c>
      <c r="N33" s="1"/>
      <c r="P33" s="11"/>
    </row>
    <row r="34" spans="2:16" x14ac:dyDescent="0.3">
      <c r="B34" s="27"/>
      <c r="C34" s="3" t="str">
        <f t="shared" si="0"/>
        <v/>
      </c>
      <c r="D34" s="30"/>
      <c r="E34" s="23" t="str">
        <f t="shared" si="1"/>
        <v/>
      </c>
      <c r="F34" s="30"/>
      <c r="G34" s="26" t="str">
        <f t="shared" si="3"/>
        <v/>
      </c>
      <c r="K34" s="9"/>
      <c r="L34" t="str">
        <f t="shared" si="4"/>
        <v/>
      </c>
      <c r="M34" t="str">
        <f t="shared" si="2"/>
        <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0</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c r="C42" s="3" t="str">
        <f>+IF(B42="","",INDEX(U_MAQUINARIA,MATCH(B42,LISTA_MAQUINARIA,0)))</f>
        <v/>
      </c>
      <c r="D42" s="30"/>
      <c r="E42" s="23" t="str">
        <f>+IF(B42="","",INDEX(V_MAQUINARIA,MATCH(B42,LISTA_MAQUINARIA,0)))</f>
        <v/>
      </c>
      <c r="F42" s="3">
        <f>$G$20</f>
        <v>6.1728395061728399E-2</v>
      </c>
      <c r="G42" s="26" t="str">
        <f>IF(D42="","",(E42*D42)/F42)</f>
        <v/>
      </c>
      <c r="K42" s="9"/>
      <c r="L42" s="23" t="str">
        <f>IF(B42="","",INDEX(V_COMBUSTIBLE_H,MATCH(B42,LISTA_MAQUINARIA,0)))</f>
        <v/>
      </c>
      <c r="M42" s="23" t="str">
        <f>+IF(L42="","",(L42*D42)/F42)</f>
        <v/>
      </c>
      <c r="N42" s="23" t="str">
        <f>IF(G42="","",G42-M42)</f>
        <v/>
      </c>
      <c r="P42" s="11"/>
    </row>
    <row r="43" spans="2:16" x14ac:dyDescent="0.3">
      <c r="B43" s="27"/>
      <c r="C43" s="3" t="str">
        <f>+IF(B43="","",INDEX(U_MAQUINARIA,MATCH(B43,LISTA_MAQUINARIA,0)))</f>
        <v/>
      </c>
      <c r="D43" s="30"/>
      <c r="E43" s="23" t="str">
        <f>+IF(B43="","",INDEX(V_MAQUINARIA,MATCH(B43,LISTA_MAQUINARIA,0)))</f>
        <v/>
      </c>
      <c r="F43" s="3">
        <f>+$G$20</f>
        <v>6.1728395061728399E-2</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6.1728395061728399E-2</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6.1728395061728399E-2</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6.1728395061728399E-2</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0</v>
      </c>
      <c r="K47" s="9"/>
      <c r="M47" s="24">
        <f>SUM(M42:M46)</f>
        <v>0</v>
      </c>
      <c r="N47" s="24">
        <f>SUM(N42:N46)</f>
        <v>0</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t="s">
        <v>298</v>
      </c>
      <c r="C50" s="30">
        <v>1</v>
      </c>
      <c r="D50" s="22">
        <f>+IF(B50="","",INDEX(F_PRESTACIONAL,MATCH(B50,L_PERSONAL,)))</f>
        <v>1.6352</v>
      </c>
      <c r="E50" s="23">
        <f>+IF(B50="","",INDEX(V_H_MANODEOBRA,MATCH(B50,L_PERSONAL,0)))</f>
        <v>40136.727272727272</v>
      </c>
      <c r="F50" s="3">
        <f>+$G$20</f>
        <v>6.1728395061728399E-2</v>
      </c>
      <c r="G50" s="26">
        <f>+IF(C50="","",(E50*C50)/F50)</f>
        <v>650214.98181818181</v>
      </c>
    </row>
    <row r="51" spans="2:7" x14ac:dyDescent="0.3">
      <c r="B51" s="27" t="s">
        <v>357</v>
      </c>
      <c r="C51" s="30">
        <v>2</v>
      </c>
      <c r="D51" s="22">
        <f>+IF(B51="","",INDEX(F_PRESTACIONAL,MATCH(B51,L_PERSONAL,)))</f>
        <v>1.6352</v>
      </c>
      <c r="E51" s="23">
        <f>+IF(B51="","",INDEX(V_H_MANODEOBRA,MATCH(B51,L_PERSONAL,0)))</f>
        <v>24658.815999999999</v>
      </c>
      <c r="F51" s="3">
        <f>+$G$20</f>
        <v>6.1728395061728399E-2</v>
      </c>
      <c r="G51" s="26">
        <f>+IF(C51="","",(E51*C51)/F51)</f>
        <v>798945.63839999994</v>
      </c>
    </row>
    <row r="52" spans="2:7" x14ac:dyDescent="0.3">
      <c r="B52" s="27"/>
      <c r="C52" s="30"/>
      <c r="D52" s="22" t="str">
        <f>+IF(B52="","",INDEX(F_PRESTACIONAL,MATCH(B52,L_PERSONAL,)))</f>
        <v/>
      </c>
      <c r="E52" s="23" t="str">
        <f>+IF(B52="","",INDEX(V_H_MANODEOBRA,MATCH(B52,L_PERSONAL,0)))</f>
        <v/>
      </c>
      <c r="F52" s="3">
        <f>+$G$20</f>
        <v>6.1728395061728399E-2</v>
      </c>
      <c r="G52" s="26" t="str">
        <f>+IF(C52="","",(E52*C52)/F52)</f>
        <v/>
      </c>
    </row>
    <row r="53" spans="2:7" x14ac:dyDescent="0.3">
      <c r="B53" s="27"/>
      <c r="C53" s="30"/>
      <c r="D53" s="22" t="str">
        <f>+IF(B53="","",INDEX(F_PRESTACIONAL,MATCH(B53,L_PERSONAL,)))</f>
        <v/>
      </c>
      <c r="E53" s="23" t="str">
        <f>+IF(B53="","",INDEX(V_H_MANODEOBRA,MATCH(B53,L_PERSONAL,0)))</f>
        <v/>
      </c>
      <c r="F53" s="3">
        <f>+$G$20</f>
        <v>6.1728395061728399E-2</v>
      </c>
      <c r="G53" s="26" t="str">
        <f>+IF(C53="","",(E53*C53)/F53)</f>
        <v/>
      </c>
    </row>
    <row r="54" spans="2:7" x14ac:dyDescent="0.3">
      <c r="B54" s="27"/>
      <c r="C54" s="30"/>
      <c r="D54" s="22" t="str">
        <f>+IF(B54="","",INDEX(F_PRESTACIONAL,MATCH(B54,L_PERSONAL,)))</f>
        <v/>
      </c>
      <c r="E54" s="23" t="str">
        <f>+IF(B54="","",INDEX(V_H_MANODEOBRA,MATCH(B54,L_PERSONAL,0)))</f>
        <v/>
      </c>
      <c r="F54" s="3">
        <f>+$G$20</f>
        <v>6.1728395061728399E-2</v>
      </c>
      <c r="G54" s="26" t="str">
        <f>+IF(C54="","",(E54*C54)/F54)</f>
        <v/>
      </c>
    </row>
    <row r="55" spans="2:7" x14ac:dyDescent="0.3">
      <c r="B55" s="9"/>
      <c r="G55" s="26">
        <f>SUM(G50:G54)</f>
        <v>1449160.6202181817</v>
      </c>
    </row>
    <row r="56" spans="2:7" ht="17.25" thickBot="1" x14ac:dyDescent="0.35">
      <c r="B56" s="9"/>
      <c r="G56" s="11"/>
    </row>
    <row r="57" spans="2:7" ht="17.25" thickBot="1" x14ac:dyDescent="0.35">
      <c r="B57" s="610" t="s">
        <v>98</v>
      </c>
      <c r="C57" s="611"/>
      <c r="D57" s="611"/>
      <c r="E57" s="611"/>
      <c r="F57" s="612"/>
      <c r="G57" s="66">
        <f>+G55+G47+G39+G28</f>
        <v>1449160.6202181817</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173899.2744261818</v>
      </c>
    </row>
    <row r="61" spans="2:7" x14ac:dyDescent="0.3">
      <c r="B61" s="613" t="s">
        <v>86</v>
      </c>
      <c r="C61" s="614"/>
      <c r="D61" s="614"/>
      <c r="E61" s="614"/>
      <c r="F61" s="22">
        <f>+IMPREVISTOS</f>
        <v>0.03</v>
      </c>
      <c r="G61" s="26">
        <f>+$G$57*F61</f>
        <v>43474.81860654545</v>
      </c>
    </row>
    <row r="62" spans="2:7" x14ac:dyDescent="0.3">
      <c r="B62" s="613" t="s">
        <v>87</v>
      </c>
      <c r="C62" s="614"/>
      <c r="D62" s="614"/>
      <c r="E62" s="614"/>
      <c r="F62" s="22">
        <f>+UTILIDAD</f>
        <v>0.05</v>
      </c>
      <c r="G62" s="26">
        <f>+$G$57*F62</f>
        <v>72458.031010909093</v>
      </c>
    </row>
    <row r="63" spans="2:7" x14ac:dyDescent="0.3">
      <c r="B63" s="596" t="s">
        <v>100</v>
      </c>
      <c r="C63" s="597"/>
      <c r="D63" s="597"/>
      <c r="E63" s="597"/>
      <c r="F63" s="597"/>
      <c r="G63" s="53">
        <f>SUM(G60:G62)</f>
        <v>289832.12404363637</v>
      </c>
    </row>
    <row r="64" spans="2:7" ht="17.25" thickBot="1" x14ac:dyDescent="0.35">
      <c r="B64" s="9"/>
      <c r="G64" s="44"/>
    </row>
    <row r="65" spans="2:7" ht="17.25" thickBot="1" x14ac:dyDescent="0.35">
      <c r="B65" s="598" t="s">
        <v>101</v>
      </c>
      <c r="C65" s="599"/>
      <c r="D65" s="599"/>
      <c r="E65" s="599"/>
      <c r="F65" s="600"/>
      <c r="G65" s="65">
        <f>+G63+G57</f>
        <v>1738992.744261818</v>
      </c>
    </row>
    <row r="66" spans="2:7" x14ac:dyDescent="0.3">
      <c r="B66" s="6"/>
      <c r="C66" s="7"/>
      <c r="D66" s="7"/>
      <c r="E66" s="7"/>
      <c r="F66" s="7"/>
      <c r="G66" s="8"/>
    </row>
    <row r="67" spans="2:7" x14ac:dyDescent="0.3">
      <c r="B67" s="9"/>
      <c r="G67" s="11"/>
    </row>
    <row r="68" spans="2:7" x14ac:dyDescent="0.3">
      <c r="B68" s="69" t="s">
        <v>123</v>
      </c>
      <c r="C68" s="67"/>
      <c r="D68" s="67"/>
      <c r="E68" s="67"/>
      <c r="F68" s="67"/>
      <c r="G68" s="70"/>
    </row>
    <row r="69" spans="2:7" x14ac:dyDescent="0.3">
      <c r="B69" s="71"/>
      <c r="C69" s="67"/>
      <c r="D69" s="67"/>
      <c r="E69" s="67"/>
      <c r="F69" s="67"/>
      <c r="G69" s="70"/>
    </row>
    <row r="70" spans="2:7" x14ac:dyDescent="0.3">
      <c r="B70" s="72"/>
      <c r="C70" s="68"/>
      <c r="D70" s="68"/>
      <c r="E70" s="68"/>
      <c r="F70" s="68"/>
      <c r="G70" s="73"/>
    </row>
    <row r="71" spans="2:7" x14ac:dyDescent="0.3">
      <c r="B71" s="71"/>
      <c r="C71" s="67"/>
      <c r="D71" s="67"/>
      <c r="E71" s="67"/>
      <c r="F71" s="67"/>
      <c r="G71" s="70"/>
    </row>
    <row r="72" spans="2:7" ht="17.25" thickBot="1" x14ac:dyDescent="0.35">
      <c r="B72" s="15"/>
      <c r="C72" s="13"/>
      <c r="D72" s="13"/>
      <c r="E72" s="13"/>
      <c r="F72" s="13"/>
      <c r="G72" s="14"/>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count="5">
    <dataValidation type="list" allowBlank="1" showInputMessage="1" showErrorMessage="1" sqref="E102" xr:uid="{EF9B2341-586A-47C5-86F0-2B7FD5E713C4}">
      <formula1>$A$103:$A$105</formula1>
    </dataValidation>
    <dataValidation type="list" allowBlank="1" showInputMessage="1" showErrorMessage="1" sqref="B13" xr:uid="{586F16FD-E9DB-403F-97D6-D204827CA78B}">
      <formula1>ITEM</formula1>
    </dataValidation>
    <dataValidation type="list" allowBlank="1" showInputMessage="1" showErrorMessage="1" sqref="B50:B54" xr:uid="{E39AD723-A513-442D-8AE4-668D703DB7F8}">
      <formula1>L_PERSONAL</formula1>
    </dataValidation>
    <dataValidation type="list" allowBlank="1" showInputMessage="1" showErrorMessage="1" sqref="B31:B38" xr:uid="{66033B51-6993-4EB8-A24A-15193DAC30E7}">
      <formula1>L_MATERIALES</formula1>
    </dataValidation>
    <dataValidation type="list" allowBlank="1" showInputMessage="1" showErrorMessage="1" sqref="B23:B27 B42:B46" xr:uid="{9489ECE3-7957-4281-A66A-5A1FBF5024B6}">
      <formula1>LISTA_MAQUINARIA</formula1>
    </dataValidation>
  </dataValidations>
  <pageMargins left="1.3779527559055118" right="0.70866141732283472" top="0.74803149606299213" bottom="0.74803149606299213" header="0.31496062992125984" footer="0.31496062992125984"/>
  <pageSetup scale="54" orientation="portrait" r:id="rId1"/>
  <rowBreaks count="1" manualBreakCount="1">
    <brk id="78" max="16383" man="1"/>
  </rowBreaks>
  <colBreaks count="1" manualBreakCount="1">
    <brk id="7" max="1048575" man="1"/>
  </colBreaks>
  <drawing r:id="rId2"/>
  <tableParts count="1">
    <tablePart r:id="rId3"/>
  </tableParts>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EC0C4C-167C-45B1-8FEA-883762D78297}">
  <sheetPr codeName="Hoja75"/>
  <dimension ref="A1:P105"/>
  <sheetViews>
    <sheetView showGridLines="0" view="pageBreakPreview" topLeftCell="A70" zoomScale="60" zoomScaleNormal="60" workbookViewId="0">
      <selection activeCell="J35" sqref="J35"/>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64</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04" t="str">
        <f>+IF($B$13="","",INDEX(DESCRIP_ITEM,MATCH($B$13,ITEM,0)))</f>
        <v>Instalación y conexión de  NCU y sensores para NCU y  Incluye todas las conexiones requeridas para dejar la NCU operativas. Incluye instalación de puesta a tierra y protección contra descargas. Incluye ejecución de ductería y conexiónes hasta la Power Station.</v>
      </c>
      <c r="C16" s="605"/>
      <c r="D16" s="605"/>
      <c r="E16" s="605"/>
      <c r="F16" s="605"/>
      <c r="G16" s="606"/>
    </row>
    <row r="17" spans="2:16" ht="44.25" customHeight="1" thickBot="1" x14ac:dyDescent="0.35">
      <c r="B17" s="607"/>
      <c r="C17" s="608"/>
      <c r="D17" s="608"/>
      <c r="E17" s="608"/>
      <c r="F17" s="608"/>
      <c r="G17" s="609"/>
    </row>
    <row r="18" spans="2:16" ht="17.25" thickBot="1" x14ac:dyDescent="0.35">
      <c r="B18" s="591"/>
      <c r="C18" s="579"/>
      <c r="D18" s="579"/>
      <c r="E18" s="579"/>
      <c r="G18" s="11"/>
    </row>
    <row r="19" spans="2:16" ht="17.25" thickBot="1" x14ac:dyDescent="0.35">
      <c r="B19" s="592"/>
      <c r="C19" s="593"/>
      <c r="D19" s="593"/>
      <c r="E19" s="593"/>
      <c r="F19" s="54" t="s">
        <v>89</v>
      </c>
      <c r="G19" s="25" t="str">
        <f>+IF(B13="","",INDEX(U_ITEM,MATCH(B13,ITEM,0)))</f>
        <v>UN</v>
      </c>
    </row>
    <row r="20" spans="2:16" ht="17.25" thickBot="1" x14ac:dyDescent="0.35">
      <c r="B20" s="592"/>
      <c r="C20" s="593"/>
      <c r="D20" s="593"/>
      <c r="E20" s="593"/>
      <c r="F20" s="55" t="s">
        <v>90</v>
      </c>
      <c r="G20" s="56">
        <v>0.97499999999999998</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c r="C23" s="3" t="str">
        <f>+IF(B23="","",INDEX(U_MAQUINARIA,MATCH(B23,LISTA_MAQUINARIA,0)))</f>
        <v/>
      </c>
      <c r="D23" s="30"/>
      <c r="E23" s="23" t="str">
        <f>+IF(B23="","",INDEX(V_MAQUINARIA,MATCH(B23,LISTA_MAQUINARIA,0)))</f>
        <v/>
      </c>
      <c r="F23" s="3">
        <f>$G$20</f>
        <v>0.97499999999999998</v>
      </c>
      <c r="G23" s="26" t="str">
        <f>+IF(B23="","",(D23*E23)/F23)</f>
        <v/>
      </c>
      <c r="K23" s="9"/>
      <c r="L23" s="23" t="str">
        <f>IF(B23="","",INDEX(V_COMBUSTIBLE_H,MATCH(B23,LISTA_MAQUINARIA,0)))</f>
        <v/>
      </c>
      <c r="M23" s="23" t="str">
        <f>+IF(L23="","",(L23*D23)/F23)</f>
        <v/>
      </c>
      <c r="N23" s="23" t="str">
        <f>IF(G23="","",G23-M23)</f>
        <v/>
      </c>
      <c r="P23" s="11"/>
    </row>
    <row r="24" spans="2:16" x14ac:dyDescent="0.3">
      <c r="B24" s="27"/>
      <c r="C24" s="3" t="str">
        <f>+IF(B24="","",INDEX(U_MAQUINARIA,MATCH(B24,LISTA_MAQUINARIA,0)))</f>
        <v/>
      </c>
      <c r="D24" s="30"/>
      <c r="E24" s="23" t="str">
        <f>+IF(B24="","",INDEX(V_MAQUINARIA,MATCH(B24,LISTA_MAQUINARIA,0)))</f>
        <v/>
      </c>
      <c r="F24" s="3">
        <f>$G$20</f>
        <v>0.97499999999999998</v>
      </c>
      <c r="G24" s="26" t="str">
        <f>+IF(B24="","",(D24*E24)/F24)</f>
        <v/>
      </c>
      <c r="K24" s="9"/>
      <c r="L24" s="3" t="str">
        <f>IF(B24="","",INDEX(V_COMBUSTIBLE_H,MATCH(B24,LISTA_MAQUINARIA,0)))</f>
        <v/>
      </c>
      <c r="M24" s="3" t="str">
        <f>+IF(L24="","",(L24*D24)/F24)</f>
        <v/>
      </c>
      <c r="N24" s="3" t="str">
        <f>IF(G24="","",G24-M24)</f>
        <v/>
      </c>
      <c r="P24" s="11"/>
    </row>
    <row r="25" spans="2:16" x14ac:dyDescent="0.3">
      <c r="B25" s="27"/>
      <c r="C25" s="3" t="str">
        <f>+IF(B25="","",INDEX(U_MAQUINARIA,MATCH(B25,LISTA_MAQUINARIA,0)))</f>
        <v/>
      </c>
      <c r="D25" s="30"/>
      <c r="E25" s="23" t="str">
        <f>+IF(B25="","",INDEX(V_MAQUINARIA,MATCH(B25,LISTA_MAQUINARIA,0)))</f>
        <v/>
      </c>
      <c r="F25" s="3">
        <f>$G$20</f>
        <v>0.97499999999999998</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0.97499999999999998</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0.97499999999999998</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0</v>
      </c>
      <c r="K28" s="9"/>
      <c r="M28" s="24">
        <f>SUM(M23:M27)</f>
        <v>0</v>
      </c>
      <c r="N28" s="24">
        <f>SUM(N23:N27)</f>
        <v>0</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t="s">
        <v>446</v>
      </c>
      <c r="C31" s="3" t="str">
        <f t="shared" ref="C31:C38" si="0">+IF(B31="","",INDEX(U_MATERIAL,MATCH(B31,L_MATERIALES,0)))</f>
        <v>und</v>
      </c>
      <c r="D31" s="30">
        <v>1</v>
      </c>
      <c r="E31" s="23">
        <f t="shared" ref="E31:E38" si="1">+IF(B31="","",INDEX(V_UNITARIOMATERIAL,MATCH(B31,L_MATERIALES,0)))</f>
        <v>19500000</v>
      </c>
      <c r="F31" s="30">
        <v>1011</v>
      </c>
      <c r="G31" s="26">
        <f>IF(D31="","",(E31*D31)/F31)</f>
        <v>19287.833827893173</v>
      </c>
      <c r="K31" s="9"/>
      <c r="L31" t="str">
        <f>+IF(B31="","",B31)</f>
        <v>Megger ---</v>
      </c>
      <c r="M31">
        <f t="shared" ref="M31:M38" si="2">IF(D31="","",(D31/F31)*INDEX(CANT_PROYECTO,MATCH($B$13,ITEM,0)))</f>
        <v>1.582591493570722E-2</v>
      </c>
      <c r="N31" s="1"/>
      <c r="P31" s="11"/>
    </row>
    <row r="32" spans="2:16" x14ac:dyDescent="0.3">
      <c r="B32" s="27" t="s">
        <v>361</v>
      </c>
      <c r="C32" s="3" t="str">
        <f t="shared" si="0"/>
        <v>UND</v>
      </c>
      <c r="D32" s="30">
        <v>1</v>
      </c>
      <c r="E32" s="23">
        <f t="shared" si="1"/>
        <v>340000</v>
      </c>
      <c r="F32" s="30">
        <v>50</v>
      </c>
      <c r="G32" s="26">
        <f t="shared" ref="G32:G38" si="3">IF(D32="","",(E32*D32)/F32)</f>
        <v>6800</v>
      </c>
      <c r="K32" s="9"/>
      <c r="L32" t="str">
        <f t="shared" ref="L32:L38" si="4">+IF(B32="","",B32)</f>
        <v>HERRAMIENTA MENOR---</v>
      </c>
      <c r="M32">
        <f t="shared" si="2"/>
        <v>0.32</v>
      </c>
      <c r="N32" s="1"/>
      <c r="P32" s="11"/>
    </row>
    <row r="33" spans="2:16" x14ac:dyDescent="0.3">
      <c r="B33" s="27"/>
      <c r="C33" s="3" t="str">
        <f t="shared" si="0"/>
        <v/>
      </c>
      <c r="D33" s="30"/>
      <c r="E33" s="23" t="str">
        <f t="shared" si="1"/>
        <v/>
      </c>
      <c r="F33" s="30"/>
      <c r="G33" s="26" t="str">
        <f t="shared" si="3"/>
        <v/>
      </c>
      <c r="K33" s="9"/>
      <c r="L33" t="str">
        <f t="shared" si="4"/>
        <v/>
      </c>
      <c r="M33" t="str">
        <f t="shared" si="2"/>
        <v/>
      </c>
      <c r="N33" s="1"/>
      <c r="P33" s="11"/>
    </row>
    <row r="34" spans="2:16" x14ac:dyDescent="0.3">
      <c r="B34" s="27"/>
      <c r="C34" s="3" t="str">
        <f t="shared" si="0"/>
        <v/>
      </c>
      <c r="D34" s="30"/>
      <c r="E34" s="23" t="str">
        <f t="shared" si="1"/>
        <v/>
      </c>
      <c r="F34" s="30"/>
      <c r="G34" s="26" t="str">
        <f t="shared" si="3"/>
        <v/>
      </c>
      <c r="K34" s="9"/>
      <c r="L34" t="str">
        <f t="shared" si="4"/>
        <v/>
      </c>
      <c r="M34" t="str">
        <f t="shared" si="2"/>
        <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26087.833827893173</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t="s">
        <v>368</v>
      </c>
      <c r="C42" s="3" t="str">
        <f>+IF(B42="","",INDEX(U_MAQUINARIA,MATCH(B42,LISTA_MAQUINARIA,0)))</f>
        <v>VALOR / HORA</v>
      </c>
      <c r="D42" s="30">
        <v>1</v>
      </c>
      <c r="E42" s="23">
        <f>+IF(B42="","",INDEX(V_MAQUINARIA,MATCH(B42,LISTA_MAQUINARIA,0)))</f>
        <v>58531.818181818184</v>
      </c>
      <c r="F42" s="3">
        <f>$G$20</f>
        <v>0.97499999999999998</v>
      </c>
      <c r="G42" s="26">
        <f>IF(D42="","",(E42*D42)/F42)</f>
        <v>60032.634032634036</v>
      </c>
      <c r="K42" s="9"/>
      <c r="L42" s="23">
        <f>IF(B42="","",INDEX(V_COMBUSTIBLE_H,MATCH(B42,LISTA_MAQUINARIA,0)))</f>
        <v>21600</v>
      </c>
      <c r="M42" s="23">
        <f>+IF(L42="","",(L42*D42)/F42)</f>
        <v>22153.846153846156</v>
      </c>
      <c r="N42" s="23">
        <f>IF(G42="","",G42-M42)</f>
        <v>37878.78787878788</v>
      </c>
      <c r="P42" s="11"/>
    </row>
    <row r="43" spans="2:16" x14ac:dyDescent="0.3">
      <c r="B43" s="27"/>
      <c r="C43" s="3" t="str">
        <f>+IF(B43="","",INDEX(U_MAQUINARIA,MATCH(B43,LISTA_MAQUINARIA,0)))</f>
        <v/>
      </c>
      <c r="D43" s="30"/>
      <c r="E43" s="23" t="str">
        <f>+IF(B43="","",INDEX(V_MAQUINARIA,MATCH(B43,LISTA_MAQUINARIA,0)))</f>
        <v/>
      </c>
      <c r="F43" s="3">
        <f>+$G$20</f>
        <v>0.97499999999999998</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0.97499999999999998</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0.97499999999999998</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0.97499999999999998</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60032.634032634036</v>
      </c>
      <c r="K47" s="9"/>
      <c r="M47" s="24">
        <f>SUM(M42:M46)</f>
        <v>22153.846153846156</v>
      </c>
      <c r="N47" s="24">
        <f>SUM(N42:N46)</f>
        <v>37878.78787878788</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t="s">
        <v>306</v>
      </c>
      <c r="C50" s="30">
        <v>2</v>
      </c>
      <c r="D50" s="22">
        <f>+IF(B50="","",INDEX(F_PRESTACIONAL,MATCH(B50,L_PERSONAL,)))</f>
        <v>2.3170181818181819</v>
      </c>
      <c r="E50" s="23">
        <f>+IF(B50="","",INDEX(V_H_MANODEOBRA,MATCH(B50,L_PERSONAL,0)))</f>
        <v>46340.36363636364</v>
      </c>
      <c r="F50" s="3">
        <f>+$G$20</f>
        <v>0.97499999999999998</v>
      </c>
      <c r="G50" s="26">
        <f>+IF(C50="","",(E50*C50)/F50)</f>
        <v>95057.156177156183</v>
      </c>
    </row>
    <row r="51" spans="2:7" x14ac:dyDescent="0.3">
      <c r="B51" s="27" t="s">
        <v>357</v>
      </c>
      <c r="C51" s="30">
        <v>2</v>
      </c>
      <c r="D51" s="22">
        <f>+IF(B51="","",INDEX(F_PRESTACIONAL,MATCH(B51,L_PERSONAL,)))</f>
        <v>1.6352</v>
      </c>
      <c r="E51" s="23">
        <f>+IF(B51="","",INDEX(V_H_MANODEOBRA,MATCH(B51,L_PERSONAL,0)))</f>
        <v>24658.815999999999</v>
      </c>
      <c r="F51" s="3">
        <f>+$G$20</f>
        <v>0.97499999999999998</v>
      </c>
      <c r="G51" s="26">
        <f>+IF(C51="","",(E51*C51)/F51)</f>
        <v>50582.186666666668</v>
      </c>
    </row>
    <row r="52" spans="2:7" x14ac:dyDescent="0.3">
      <c r="B52" s="27"/>
      <c r="C52" s="30"/>
      <c r="D52" s="22" t="str">
        <f>+IF(B52="","",INDEX(F_PRESTACIONAL,MATCH(B52,L_PERSONAL,)))</f>
        <v/>
      </c>
      <c r="E52" s="23" t="str">
        <f>+IF(B52="","",INDEX(V_H_MANODEOBRA,MATCH(B52,L_PERSONAL,0)))</f>
        <v/>
      </c>
      <c r="F52" s="3">
        <f>+$G$20</f>
        <v>0.97499999999999998</v>
      </c>
      <c r="G52" s="26" t="str">
        <f>+IF(C52="","",(E52*C52)/F52)</f>
        <v/>
      </c>
    </row>
    <row r="53" spans="2:7" x14ac:dyDescent="0.3">
      <c r="B53" s="27"/>
      <c r="C53" s="30"/>
      <c r="D53" s="22" t="str">
        <f>+IF(B53="","",INDEX(F_PRESTACIONAL,MATCH(B53,L_PERSONAL,)))</f>
        <v/>
      </c>
      <c r="E53" s="23" t="str">
        <f>+IF(B53="","",INDEX(V_H_MANODEOBRA,MATCH(B53,L_PERSONAL,0)))</f>
        <v/>
      </c>
      <c r="F53" s="3">
        <f>+$G$20</f>
        <v>0.97499999999999998</v>
      </c>
      <c r="G53" s="26" t="str">
        <f>+IF(C53="","",(E53*C53)/F53)</f>
        <v/>
      </c>
    </row>
    <row r="54" spans="2:7" x14ac:dyDescent="0.3">
      <c r="B54" s="27"/>
      <c r="C54" s="30"/>
      <c r="D54" s="22" t="str">
        <f>+IF(B54="","",INDEX(F_PRESTACIONAL,MATCH(B54,L_PERSONAL,)))</f>
        <v/>
      </c>
      <c r="E54" s="23" t="str">
        <f>+IF(B54="","",INDEX(V_H_MANODEOBRA,MATCH(B54,L_PERSONAL,0)))</f>
        <v/>
      </c>
      <c r="F54" s="3">
        <f>+$G$20</f>
        <v>0.97499999999999998</v>
      </c>
      <c r="G54" s="26" t="str">
        <f>+IF(C54="","",(E54*C54)/F54)</f>
        <v/>
      </c>
    </row>
    <row r="55" spans="2:7" x14ac:dyDescent="0.3">
      <c r="B55" s="9"/>
      <c r="G55" s="26">
        <f>SUM(G50:G54)</f>
        <v>145639.34284382284</v>
      </c>
    </row>
    <row r="56" spans="2:7" ht="17.25" thickBot="1" x14ac:dyDescent="0.35">
      <c r="B56" s="9"/>
      <c r="G56" s="11"/>
    </row>
    <row r="57" spans="2:7" ht="17.25" thickBot="1" x14ac:dyDescent="0.35">
      <c r="B57" s="610" t="s">
        <v>98</v>
      </c>
      <c r="C57" s="611"/>
      <c r="D57" s="611"/>
      <c r="E57" s="611"/>
      <c r="F57" s="612"/>
      <c r="G57" s="66">
        <f>+G55+G47+G39+G28</f>
        <v>231759.81070435003</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27811.177284522004</v>
      </c>
    </row>
    <row r="61" spans="2:7" x14ac:dyDescent="0.3">
      <c r="B61" s="613" t="s">
        <v>86</v>
      </c>
      <c r="C61" s="614"/>
      <c r="D61" s="614"/>
      <c r="E61" s="614"/>
      <c r="F61" s="22">
        <f>+IMPREVISTOS</f>
        <v>0.03</v>
      </c>
      <c r="G61" s="26">
        <f>+$G$57*F61</f>
        <v>6952.794321130501</v>
      </c>
    </row>
    <row r="62" spans="2:7" x14ac:dyDescent="0.3">
      <c r="B62" s="613" t="s">
        <v>87</v>
      </c>
      <c r="C62" s="614"/>
      <c r="D62" s="614"/>
      <c r="E62" s="614"/>
      <c r="F62" s="22">
        <f>+UTILIDAD</f>
        <v>0.05</v>
      </c>
      <c r="G62" s="26">
        <f>+$G$57*F62</f>
        <v>11587.990535217503</v>
      </c>
    </row>
    <row r="63" spans="2:7" x14ac:dyDescent="0.3">
      <c r="B63" s="596" t="s">
        <v>100</v>
      </c>
      <c r="C63" s="597"/>
      <c r="D63" s="597"/>
      <c r="E63" s="597"/>
      <c r="F63" s="597"/>
      <c r="G63" s="53">
        <f>SUM(G60:G62)</f>
        <v>46351.962140870011</v>
      </c>
    </row>
    <row r="64" spans="2:7" ht="17.25" thickBot="1" x14ac:dyDescent="0.35">
      <c r="B64" s="9"/>
      <c r="G64" s="44"/>
    </row>
    <row r="65" spans="2:7" ht="17.25" thickBot="1" x14ac:dyDescent="0.35">
      <c r="B65" s="598" t="s">
        <v>101</v>
      </c>
      <c r="C65" s="599"/>
      <c r="D65" s="599"/>
      <c r="E65" s="599"/>
      <c r="F65" s="600"/>
      <c r="G65" s="65">
        <f>+G63+G57</f>
        <v>278111.77284522005</v>
      </c>
    </row>
    <row r="66" spans="2:7" x14ac:dyDescent="0.3">
      <c r="B66" s="6"/>
      <c r="C66" s="7"/>
      <c r="D66" s="7"/>
      <c r="E66" s="7"/>
      <c r="F66" s="7"/>
      <c r="G66" s="8"/>
    </row>
    <row r="67" spans="2:7" x14ac:dyDescent="0.3">
      <c r="B67" s="9"/>
      <c r="G67" s="11"/>
    </row>
    <row r="68" spans="2:7" x14ac:dyDescent="0.3">
      <c r="B68" s="69" t="s">
        <v>123</v>
      </c>
      <c r="C68" s="67"/>
      <c r="D68" s="67"/>
      <c r="E68" s="67"/>
      <c r="F68" s="67"/>
      <c r="G68" s="70"/>
    </row>
    <row r="69" spans="2:7" x14ac:dyDescent="0.3">
      <c r="B69" s="71"/>
      <c r="C69" s="67"/>
      <c r="D69" s="67"/>
      <c r="E69" s="67"/>
      <c r="F69" s="67"/>
      <c r="G69" s="70"/>
    </row>
    <row r="70" spans="2:7" x14ac:dyDescent="0.3">
      <c r="B70" s="72"/>
      <c r="C70" s="68"/>
      <c r="D70" s="68"/>
      <c r="E70" s="68"/>
      <c r="F70" s="68"/>
      <c r="G70" s="73"/>
    </row>
    <row r="71" spans="2:7" x14ac:dyDescent="0.3">
      <c r="B71" s="71"/>
      <c r="C71" s="67"/>
      <c r="D71" s="67"/>
      <c r="E71" s="67"/>
      <c r="F71" s="67"/>
      <c r="G71" s="70"/>
    </row>
    <row r="72" spans="2:7" ht="17.25" thickBot="1" x14ac:dyDescent="0.35">
      <c r="B72" s="15"/>
      <c r="C72" s="13"/>
      <c r="D72" s="13"/>
      <c r="E72" s="13"/>
      <c r="F72" s="13"/>
      <c r="G72" s="14"/>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count="5">
    <dataValidation type="list" allowBlank="1" showInputMessage="1" showErrorMessage="1" sqref="E102" xr:uid="{BA850CBD-C499-41CE-826D-0BAC8C276FEF}">
      <formula1>$A$103:$A$105</formula1>
    </dataValidation>
    <dataValidation type="list" allowBlank="1" showInputMessage="1" showErrorMessage="1" sqref="B13" xr:uid="{49F2637C-68DE-419E-AC40-D6C4B58AC45F}">
      <formula1>ITEM</formula1>
    </dataValidation>
    <dataValidation type="list" allowBlank="1" showInputMessage="1" showErrorMessage="1" sqref="B50:B54" xr:uid="{33A4E6D2-B8D1-4B42-94B4-1D14534D517F}">
      <formula1>L_PERSONAL</formula1>
    </dataValidation>
    <dataValidation type="list" allowBlank="1" showInputMessage="1" showErrorMessage="1" sqref="B31:B38" xr:uid="{8F685C42-0BE3-4EE9-AD9A-1CF5C9F1A6A5}">
      <formula1>L_MATERIALES</formula1>
    </dataValidation>
    <dataValidation type="list" allowBlank="1" showInputMessage="1" showErrorMessage="1" sqref="B23:B27 B42:B46" xr:uid="{D22E2DC2-2568-495E-BE9D-B0897EEA93F7}">
      <formula1>LISTA_MAQUINARIA</formula1>
    </dataValidation>
  </dataValidations>
  <pageMargins left="1.3779527559055118" right="0.70866141732283472" top="0.74803149606299213" bottom="0.74803149606299213" header="0.31496062992125984" footer="0.31496062992125984"/>
  <pageSetup scale="54" orientation="portrait" r:id="rId1"/>
  <rowBreaks count="1" manualBreakCount="1">
    <brk id="78" max="16383" man="1"/>
  </rowBreaks>
  <colBreaks count="1" manualBreakCount="1">
    <brk id="7" max="1048575" man="1"/>
  </colBreaks>
  <drawing r:id="rId2"/>
  <tableParts count="1">
    <tablePart r:id="rId3"/>
  </tableParts>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D7F19-4854-4293-91B5-ABC2F0E72BE7}">
  <sheetPr codeName="Hoja76"/>
  <dimension ref="A1:P105"/>
  <sheetViews>
    <sheetView showGridLines="0" view="pageBreakPreview" topLeftCell="A47" zoomScale="60" zoomScaleNormal="60" workbookViewId="0">
      <selection activeCell="J35" sqref="J35"/>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65</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04" t="str">
        <f>+IF($B$13="","",INDEX(DESCRIP_ITEM,MATCH($B$13,ITEM,0)))</f>
        <v>Prueba de rigidez electrica</v>
      </c>
      <c r="C16" s="605"/>
      <c r="D16" s="605"/>
      <c r="E16" s="605"/>
      <c r="F16" s="605"/>
      <c r="G16" s="606"/>
    </row>
    <row r="17" spans="2:16" ht="44.25" customHeight="1" thickBot="1" x14ac:dyDescent="0.35">
      <c r="B17" s="607"/>
      <c r="C17" s="608"/>
      <c r="D17" s="608"/>
      <c r="E17" s="608"/>
      <c r="F17" s="608"/>
      <c r="G17" s="609"/>
    </row>
    <row r="18" spans="2:16" ht="17.25" thickBot="1" x14ac:dyDescent="0.35">
      <c r="B18" s="591"/>
      <c r="C18" s="579"/>
      <c r="D18" s="579"/>
      <c r="E18" s="579"/>
      <c r="G18" s="11"/>
    </row>
    <row r="19" spans="2:16" ht="17.25" thickBot="1" x14ac:dyDescent="0.35">
      <c r="B19" s="592"/>
      <c r="C19" s="593"/>
      <c r="D19" s="593"/>
      <c r="E19" s="593"/>
      <c r="F19" s="54" t="s">
        <v>89</v>
      </c>
      <c r="G19" s="25" t="str">
        <f>+IF(B13="","",INDEX(U_ITEM,MATCH(B13,ITEM,0)))</f>
        <v>UN</v>
      </c>
    </row>
    <row r="20" spans="2:16" ht="17.25" thickBot="1" x14ac:dyDescent="0.35">
      <c r="B20" s="592"/>
      <c r="C20" s="593"/>
      <c r="D20" s="593"/>
      <c r="E20" s="593"/>
      <c r="F20" s="55" t="s">
        <v>90</v>
      </c>
      <c r="G20" s="56">
        <f>1/16.4</f>
        <v>6.0975609756097567E-2</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c r="C23" s="3" t="str">
        <f>+IF(B23="","",INDEX(U_MAQUINARIA,MATCH(B23,LISTA_MAQUINARIA,0)))</f>
        <v/>
      </c>
      <c r="D23" s="30"/>
      <c r="E23" s="23" t="str">
        <f>+IF(B23="","",INDEX(V_MAQUINARIA,MATCH(B23,LISTA_MAQUINARIA,0)))</f>
        <v/>
      </c>
      <c r="F23" s="3">
        <f>$G$20</f>
        <v>6.0975609756097567E-2</v>
      </c>
      <c r="G23" s="26" t="str">
        <f>+IF(B23="","",(D23*E23)/F23)</f>
        <v/>
      </c>
      <c r="K23" s="9"/>
      <c r="L23" s="23" t="str">
        <f>IF(B23="","",INDEX(V_COMBUSTIBLE_H,MATCH(B23,LISTA_MAQUINARIA,0)))</f>
        <v/>
      </c>
      <c r="M23" s="23" t="str">
        <f>+IF(L23="","",(L23*D23)/F23)</f>
        <v/>
      </c>
      <c r="N23" s="23" t="str">
        <f>IF(G23="","",G23-M23)</f>
        <v/>
      </c>
      <c r="P23" s="11"/>
    </row>
    <row r="24" spans="2:16" x14ac:dyDescent="0.3">
      <c r="B24" s="27"/>
      <c r="C24" s="3" t="str">
        <f>+IF(B24="","",INDEX(U_MAQUINARIA,MATCH(B24,LISTA_MAQUINARIA,0)))</f>
        <v/>
      </c>
      <c r="D24" s="30"/>
      <c r="E24" s="23" t="str">
        <f>+IF(B24="","",INDEX(V_MAQUINARIA,MATCH(B24,LISTA_MAQUINARIA,0)))</f>
        <v/>
      </c>
      <c r="F24" s="3">
        <f>$G$20</f>
        <v>6.0975609756097567E-2</v>
      </c>
      <c r="G24" s="26" t="str">
        <f>+IF(B24="","",(D24*E24)/F24)</f>
        <v/>
      </c>
      <c r="K24" s="9"/>
      <c r="L24" s="3" t="str">
        <f>IF(B24="","",INDEX(V_COMBUSTIBLE_H,MATCH(B24,LISTA_MAQUINARIA,0)))</f>
        <v/>
      </c>
      <c r="M24" s="3" t="str">
        <f>+IF(L24="","",(L24*D24)/F24)</f>
        <v/>
      </c>
      <c r="N24" s="3" t="str">
        <f>IF(G24="","",G24-M24)</f>
        <v/>
      </c>
      <c r="P24" s="11"/>
    </row>
    <row r="25" spans="2:16" x14ac:dyDescent="0.3">
      <c r="B25" s="27"/>
      <c r="C25" s="3" t="str">
        <f>+IF(B25="","",INDEX(U_MAQUINARIA,MATCH(B25,LISTA_MAQUINARIA,0)))</f>
        <v/>
      </c>
      <c r="D25" s="30"/>
      <c r="E25" s="23" t="str">
        <f>+IF(B25="","",INDEX(V_MAQUINARIA,MATCH(B25,LISTA_MAQUINARIA,0)))</f>
        <v/>
      </c>
      <c r="F25" s="3">
        <f>$G$20</f>
        <v>6.0975609756097567E-2</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6.0975609756097567E-2</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6.0975609756097567E-2</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0</v>
      </c>
      <c r="K28" s="9"/>
      <c r="M28" s="24">
        <f>SUM(M23:M27)</f>
        <v>0</v>
      </c>
      <c r="N28" s="24">
        <f>SUM(N23:N27)</f>
        <v>0</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c r="C31" s="3" t="str">
        <f t="shared" ref="C31:C38" si="0">+IF(B31="","",INDEX(U_MATERIAL,MATCH(B31,L_MATERIALES,0)))</f>
        <v/>
      </c>
      <c r="D31" s="30"/>
      <c r="E31" s="23" t="str">
        <f t="shared" ref="E31:E38" si="1">+IF(B31="","",INDEX(V_UNITARIOMATERIAL,MATCH(B31,L_MATERIALES,0)))</f>
        <v/>
      </c>
      <c r="F31" s="30"/>
      <c r="G31" s="26" t="str">
        <f>IF(D31="","",(E31*D31)/F31)</f>
        <v/>
      </c>
      <c r="K31" s="9"/>
      <c r="L31" t="str">
        <f>+IF(B31="","",B31)</f>
        <v/>
      </c>
      <c r="M31" t="str">
        <f t="shared" ref="M31:M38" si="2">IF(D31="","",(D31/F31)*INDEX(CANT_PROYECTO,MATCH($B$13,ITEM,0)))</f>
        <v/>
      </c>
      <c r="N31" s="1"/>
      <c r="P31" s="11"/>
    </row>
    <row r="32" spans="2:16" x14ac:dyDescent="0.3">
      <c r="B32" s="27"/>
      <c r="C32" s="3" t="str">
        <f t="shared" si="0"/>
        <v/>
      </c>
      <c r="D32" s="30"/>
      <c r="E32" s="23" t="str">
        <f t="shared" si="1"/>
        <v/>
      </c>
      <c r="F32" s="30"/>
      <c r="G32" s="26" t="str">
        <f t="shared" ref="G32:G38" si="3">IF(D32="","",(E32*D32)/F32)</f>
        <v/>
      </c>
      <c r="K32" s="9"/>
      <c r="L32" t="str">
        <f t="shared" ref="L32:L38" si="4">+IF(B32="","",B32)</f>
        <v/>
      </c>
      <c r="M32" t="str">
        <f t="shared" si="2"/>
        <v/>
      </c>
      <c r="N32" s="1"/>
      <c r="P32" s="11"/>
    </row>
    <row r="33" spans="2:16" x14ac:dyDescent="0.3">
      <c r="B33" s="27"/>
      <c r="C33" s="3" t="str">
        <f t="shared" si="0"/>
        <v/>
      </c>
      <c r="D33" s="30"/>
      <c r="E33" s="23" t="str">
        <f t="shared" si="1"/>
        <v/>
      </c>
      <c r="F33" s="30"/>
      <c r="G33" s="26" t="str">
        <f t="shared" si="3"/>
        <v/>
      </c>
      <c r="K33" s="9"/>
      <c r="L33" t="str">
        <f t="shared" si="4"/>
        <v/>
      </c>
      <c r="M33" t="str">
        <f t="shared" si="2"/>
        <v/>
      </c>
      <c r="N33" s="1"/>
      <c r="P33" s="11"/>
    </row>
    <row r="34" spans="2:16" x14ac:dyDescent="0.3">
      <c r="B34" s="27"/>
      <c r="C34" s="3" t="str">
        <f t="shared" si="0"/>
        <v/>
      </c>
      <c r="D34" s="30"/>
      <c r="E34" s="23" t="str">
        <f t="shared" si="1"/>
        <v/>
      </c>
      <c r="F34" s="30"/>
      <c r="G34" s="26" t="str">
        <f t="shared" si="3"/>
        <v/>
      </c>
      <c r="K34" s="9"/>
      <c r="L34" t="str">
        <f t="shared" si="4"/>
        <v/>
      </c>
      <c r="M34" t="str">
        <f t="shared" si="2"/>
        <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0</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c r="C42" s="3" t="str">
        <f>+IF(B42="","",INDEX(U_MAQUINARIA,MATCH(B42,LISTA_MAQUINARIA,0)))</f>
        <v/>
      </c>
      <c r="D42" s="30"/>
      <c r="E42" s="23" t="str">
        <f>+IF(B42="","",INDEX(V_MAQUINARIA,MATCH(B42,LISTA_MAQUINARIA,0)))</f>
        <v/>
      </c>
      <c r="F42" s="3">
        <f>$G$20</f>
        <v>6.0975609756097567E-2</v>
      </c>
      <c r="G42" s="26" t="str">
        <f>IF(D42="","",(E42*D42)/F42)</f>
        <v/>
      </c>
      <c r="K42" s="9"/>
      <c r="L42" s="23" t="str">
        <f>IF(B42="","",INDEX(V_COMBUSTIBLE_H,MATCH(B42,LISTA_MAQUINARIA,0)))</f>
        <v/>
      </c>
      <c r="M42" s="23" t="str">
        <f>+IF(L42="","",(L42*D42)/F42)</f>
        <v/>
      </c>
      <c r="N42" s="23" t="str">
        <f>IF(G42="","",G42-M42)</f>
        <v/>
      </c>
      <c r="P42" s="11"/>
    </row>
    <row r="43" spans="2:16" x14ac:dyDescent="0.3">
      <c r="B43" s="27"/>
      <c r="C43" s="3" t="str">
        <f>+IF(B43="","",INDEX(U_MAQUINARIA,MATCH(B43,LISTA_MAQUINARIA,0)))</f>
        <v/>
      </c>
      <c r="D43" s="30"/>
      <c r="E43" s="23" t="str">
        <f>+IF(B43="","",INDEX(V_MAQUINARIA,MATCH(B43,LISTA_MAQUINARIA,0)))</f>
        <v/>
      </c>
      <c r="F43" s="3">
        <f>+$G$20</f>
        <v>6.0975609756097567E-2</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6.0975609756097567E-2</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6.0975609756097567E-2</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6.0975609756097567E-2</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0</v>
      </c>
      <c r="K47" s="9"/>
      <c r="M47" s="24">
        <f>SUM(M42:M46)</f>
        <v>0</v>
      </c>
      <c r="N47" s="24">
        <f>SUM(N42:N46)</f>
        <v>0</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t="s">
        <v>298</v>
      </c>
      <c r="C50" s="30">
        <v>1</v>
      </c>
      <c r="D50" s="22">
        <f>+IF(B50="","",INDEX(F_PRESTACIONAL,MATCH(B50,L_PERSONAL,)))</f>
        <v>1.6352</v>
      </c>
      <c r="E50" s="23">
        <f>+IF(B50="","",INDEX(V_H_MANODEOBRA,MATCH(B50,L_PERSONAL,0)))</f>
        <v>40136.727272727272</v>
      </c>
      <c r="F50" s="3">
        <f>+$G$20</f>
        <v>6.0975609756097567E-2</v>
      </c>
      <c r="G50" s="26">
        <f>+IF(C50="","",(E50*C50)/F50)</f>
        <v>658242.32727272715</v>
      </c>
    </row>
    <row r="51" spans="2:7" x14ac:dyDescent="0.3">
      <c r="B51" s="27" t="s">
        <v>357</v>
      </c>
      <c r="C51" s="30">
        <v>2</v>
      </c>
      <c r="D51" s="22">
        <f>+IF(B51="","",INDEX(F_PRESTACIONAL,MATCH(B51,L_PERSONAL,)))</f>
        <v>1.6352</v>
      </c>
      <c r="E51" s="23">
        <f>+IF(B51="","",INDEX(V_H_MANODEOBRA,MATCH(B51,L_PERSONAL,0)))</f>
        <v>24658.815999999999</v>
      </c>
      <c r="F51" s="3">
        <f>+$G$20</f>
        <v>6.0975609756097567E-2</v>
      </c>
      <c r="G51" s="26">
        <f>+IF(C51="","",(E51*C51)/F51)</f>
        <v>808809.16479999991</v>
      </c>
    </row>
    <row r="52" spans="2:7" x14ac:dyDescent="0.3">
      <c r="B52" s="27"/>
      <c r="C52" s="30"/>
      <c r="D52" s="22" t="str">
        <f>+IF(B52="","",INDEX(F_PRESTACIONAL,MATCH(B52,L_PERSONAL,)))</f>
        <v/>
      </c>
      <c r="E52" s="23" t="str">
        <f>+IF(B52="","",INDEX(V_H_MANODEOBRA,MATCH(B52,L_PERSONAL,0)))</f>
        <v/>
      </c>
      <c r="F52" s="3">
        <f>+$G$20</f>
        <v>6.0975609756097567E-2</v>
      </c>
      <c r="G52" s="26" t="str">
        <f>+IF(C52="","",(E52*C52)/F52)</f>
        <v/>
      </c>
    </row>
    <row r="53" spans="2:7" x14ac:dyDescent="0.3">
      <c r="B53" s="27"/>
      <c r="C53" s="30"/>
      <c r="D53" s="22" t="str">
        <f>+IF(B53="","",INDEX(F_PRESTACIONAL,MATCH(B53,L_PERSONAL,)))</f>
        <v/>
      </c>
      <c r="E53" s="23" t="str">
        <f>+IF(B53="","",INDEX(V_H_MANODEOBRA,MATCH(B53,L_PERSONAL,0)))</f>
        <v/>
      </c>
      <c r="F53" s="3">
        <f>+$G$20</f>
        <v>6.0975609756097567E-2</v>
      </c>
      <c r="G53" s="26" t="str">
        <f>+IF(C53="","",(E53*C53)/F53)</f>
        <v/>
      </c>
    </row>
    <row r="54" spans="2:7" x14ac:dyDescent="0.3">
      <c r="B54" s="27"/>
      <c r="C54" s="30"/>
      <c r="D54" s="22" t="str">
        <f>+IF(B54="","",INDEX(F_PRESTACIONAL,MATCH(B54,L_PERSONAL,)))</f>
        <v/>
      </c>
      <c r="E54" s="23" t="str">
        <f>+IF(B54="","",INDEX(V_H_MANODEOBRA,MATCH(B54,L_PERSONAL,0)))</f>
        <v/>
      </c>
      <c r="F54" s="3">
        <f>+$G$20</f>
        <v>6.0975609756097567E-2</v>
      </c>
      <c r="G54" s="26" t="str">
        <f>+IF(C54="","",(E54*C54)/F54)</f>
        <v/>
      </c>
    </row>
    <row r="55" spans="2:7" x14ac:dyDescent="0.3">
      <c r="B55" s="9"/>
      <c r="G55" s="26">
        <f>SUM(G50:G54)</f>
        <v>1467051.4920727271</v>
      </c>
    </row>
    <row r="56" spans="2:7" ht="17.25" thickBot="1" x14ac:dyDescent="0.35">
      <c r="B56" s="9"/>
      <c r="G56" s="11"/>
    </row>
    <row r="57" spans="2:7" ht="17.25" thickBot="1" x14ac:dyDescent="0.35">
      <c r="B57" s="610" t="s">
        <v>98</v>
      </c>
      <c r="C57" s="611"/>
      <c r="D57" s="611"/>
      <c r="E57" s="611"/>
      <c r="F57" s="612"/>
      <c r="G57" s="66">
        <f>+G55+G47+G39+G28</f>
        <v>1467051.4920727271</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176046.17904872724</v>
      </c>
    </row>
    <row r="61" spans="2:7" x14ac:dyDescent="0.3">
      <c r="B61" s="613" t="s">
        <v>86</v>
      </c>
      <c r="C61" s="614"/>
      <c r="D61" s="614"/>
      <c r="E61" s="614"/>
      <c r="F61" s="22">
        <f>+IMPREVISTOS</f>
        <v>0.03</v>
      </c>
      <c r="G61" s="26">
        <f>+$G$57*F61</f>
        <v>44011.544762181809</v>
      </c>
    </row>
    <row r="62" spans="2:7" x14ac:dyDescent="0.3">
      <c r="B62" s="613" t="s">
        <v>87</v>
      </c>
      <c r="C62" s="614"/>
      <c r="D62" s="614"/>
      <c r="E62" s="614"/>
      <c r="F62" s="22">
        <f>+UTILIDAD</f>
        <v>0.05</v>
      </c>
      <c r="G62" s="26">
        <f>+$G$57*F62</f>
        <v>73352.574603636356</v>
      </c>
    </row>
    <row r="63" spans="2:7" x14ac:dyDescent="0.3">
      <c r="B63" s="596" t="s">
        <v>100</v>
      </c>
      <c r="C63" s="597"/>
      <c r="D63" s="597"/>
      <c r="E63" s="597"/>
      <c r="F63" s="597"/>
      <c r="G63" s="53">
        <f>SUM(G60:G62)</f>
        <v>293410.29841454542</v>
      </c>
    </row>
    <row r="64" spans="2:7" ht="17.25" thickBot="1" x14ac:dyDescent="0.35">
      <c r="B64" s="9"/>
      <c r="G64" s="44"/>
    </row>
    <row r="65" spans="2:7" ht="17.25" thickBot="1" x14ac:dyDescent="0.35">
      <c r="B65" s="598" t="s">
        <v>101</v>
      </c>
      <c r="C65" s="599"/>
      <c r="D65" s="599"/>
      <c r="E65" s="599"/>
      <c r="F65" s="600"/>
      <c r="G65" s="65">
        <f>+G63+G57</f>
        <v>1760461.7904872724</v>
      </c>
    </row>
    <row r="66" spans="2:7" x14ac:dyDescent="0.3">
      <c r="B66" s="6"/>
      <c r="C66" s="7"/>
      <c r="D66" s="7"/>
      <c r="E66" s="7"/>
      <c r="F66" s="7"/>
      <c r="G66" s="8"/>
    </row>
    <row r="67" spans="2:7" x14ac:dyDescent="0.3">
      <c r="B67" s="9"/>
      <c r="G67" s="11"/>
    </row>
    <row r="68" spans="2:7" x14ac:dyDescent="0.3">
      <c r="B68" s="69" t="s">
        <v>123</v>
      </c>
      <c r="C68" s="67"/>
      <c r="D68" s="67"/>
      <c r="E68" s="67"/>
      <c r="F68" s="67"/>
      <c r="G68" s="70"/>
    </row>
    <row r="69" spans="2:7" x14ac:dyDescent="0.3">
      <c r="B69" s="71"/>
      <c r="C69" s="67"/>
      <c r="D69" s="67"/>
      <c r="E69" s="67"/>
      <c r="F69" s="67"/>
      <c r="G69" s="70"/>
    </row>
    <row r="70" spans="2:7" x14ac:dyDescent="0.3">
      <c r="B70" s="72"/>
      <c r="C70" s="68"/>
      <c r="D70" s="68"/>
      <c r="E70" s="68"/>
      <c r="F70" s="68"/>
      <c r="G70" s="73"/>
    </row>
    <row r="71" spans="2:7" x14ac:dyDescent="0.3">
      <c r="B71" s="71"/>
      <c r="C71" s="67"/>
      <c r="D71" s="67"/>
      <c r="E71" s="67"/>
      <c r="F71" s="67"/>
      <c r="G71" s="70"/>
    </row>
    <row r="72" spans="2:7" ht="17.25" thickBot="1" x14ac:dyDescent="0.35">
      <c r="B72" s="15"/>
      <c r="C72" s="13"/>
      <c r="D72" s="13"/>
      <c r="E72" s="13"/>
      <c r="F72" s="13"/>
      <c r="G72" s="14"/>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count="5">
    <dataValidation type="list" allowBlank="1" showInputMessage="1" showErrorMessage="1" sqref="E102" xr:uid="{C0FAB085-110C-4B00-A150-A8EABAB119A0}">
      <formula1>$A$103:$A$105</formula1>
    </dataValidation>
    <dataValidation type="list" allowBlank="1" showInputMessage="1" showErrorMessage="1" sqref="B13" xr:uid="{7B346219-62FB-4AFD-88BA-6D43063FD62C}">
      <formula1>ITEM</formula1>
    </dataValidation>
    <dataValidation type="list" allowBlank="1" showInputMessage="1" showErrorMessage="1" sqref="B50:B54" xr:uid="{84AD557D-5E9C-44E4-B312-5E8CD71D3D79}">
      <formula1>L_PERSONAL</formula1>
    </dataValidation>
    <dataValidation type="list" allowBlank="1" showInputMessage="1" showErrorMessage="1" sqref="B31:B38" xr:uid="{5B70C511-4DEB-4DB4-89BC-688CEFD0DE56}">
      <formula1>L_MATERIALES</formula1>
    </dataValidation>
    <dataValidation type="list" allowBlank="1" showInputMessage="1" showErrorMessage="1" sqref="B23:B27 B42:B46" xr:uid="{825D2187-CE62-403A-A35D-6D79243FADAE}">
      <formula1>LISTA_MAQUINARIA</formula1>
    </dataValidation>
  </dataValidations>
  <pageMargins left="1.3779527559055118" right="0.70866141732283472" top="0.74803149606299213" bottom="0.74803149606299213" header="0.31496062992125984" footer="0.31496062992125984"/>
  <pageSetup scale="54" orientation="portrait" r:id="rId1"/>
  <rowBreaks count="1" manualBreakCount="1">
    <brk id="78" max="16383" man="1"/>
  </rowBreaks>
  <colBreaks count="1" manualBreakCount="1">
    <brk id="7" max="1048575" man="1"/>
  </colBreaks>
  <drawing r:id="rId2"/>
  <tableParts count="1">
    <tablePart r:id="rId3"/>
  </tableParts>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A78F0-1156-4143-A53D-6E6B9FF54B57}">
  <sheetPr codeName="Hoja77"/>
  <dimension ref="A1:P105"/>
  <sheetViews>
    <sheetView showGridLines="0" view="pageBreakPreview" topLeftCell="A58" zoomScale="60" zoomScaleNormal="65" workbookViewId="0">
      <selection activeCell="J35" sqref="J35"/>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66</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18" t="str">
        <f>+IF($B$13="","",INDEX(DESCRIP_ITEM,MATCH($B$13,ITEM,0)))</f>
        <v xml:space="preserve">Conexión de las TCU - todas las conexiones electricas y de comunicaciones requeridas para dejar la TCU operativa. </v>
      </c>
      <c r="C16" s="619"/>
      <c r="D16" s="619"/>
      <c r="E16" s="619"/>
      <c r="F16" s="619"/>
      <c r="G16" s="620"/>
    </row>
    <row r="17" spans="2:16" ht="85.9" customHeight="1" thickBot="1" x14ac:dyDescent="0.35">
      <c r="B17" s="621"/>
      <c r="C17" s="622"/>
      <c r="D17" s="622"/>
      <c r="E17" s="622"/>
      <c r="F17" s="622"/>
      <c r="G17" s="623"/>
    </row>
    <row r="18" spans="2:16" ht="17.25" thickBot="1" x14ac:dyDescent="0.35">
      <c r="B18" s="591"/>
      <c r="C18" s="579"/>
      <c r="D18" s="579"/>
      <c r="E18" s="579"/>
      <c r="G18" s="11"/>
    </row>
    <row r="19" spans="2:16" ht="17.25" thickBot="1" x14ac:dyDescent="0.35">
      <c r="B19" s="592"/>
      <c r="C19" s="593"/>
      <c r="D19" s="593"/>
      <c r="E19" s="593"/>
      <c r="F19" s="54" t="s">
        <v>89</v>
      </c>
      <c r="G19" s="25" t="str">
        <f>+IF(B13="","",INDEX(U_ITEM,MATCH(B13,ITEM,0)))</f>
        <v>un</v>
      </c>
    </row>
    <row r="20" spans="2:16" ht="17.25" thickBot="1" x14ac:dyDescent="0.35">
      <c r="B20" s="592"/>
      <c r="C20" s="593"/>
      <c r="D20" s="593"/>
      <c r="E20" s="593"/>
      <c r="F20" s="55" t="s">
        <v>90</v>
      </c>
      <c r="G20" s="56">
        <v>3.9</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c r="C23" s="3" t="str">
        <f>+IF(B23="","",INDEX(U_MAQUINARIA,MATCH(B23,LISTA_MAQUINARIA,0)))</f>
        <v/>
      </c>
      <c r="D23" s="30"/>
      <c r="E23" s="23" t="str">
        <f>+IF(B23="","",INDEX(V_MAQUINARIA,MATCH(B23,LISTA_MAQUINARIA,0)))</f>
        <v/>
      </c>
      <c r="F23" s="3">
        <f>$G$20</f>
        <v>3.9</v>
      </c>
      <c r="G23" s="26" t="str">
        <f>+IF(B23="","",(D23*E23)/F23)</f>
        <v/>
      </c>
      <c r="K23" s="9"/>
      <c r="L23" s="23" t="str">
        <f>IF(B23="","",INDEX(V_COMBUSTIBLE_H,MATCH(B23,LISTA_MAQUINARIA,0)))</f>
        <v/>
      </c>
      <c r="M23" s="23" t="str">
        <f>+IF(L23="","",(L23*D23)/F23)</f>
        <v/>
      </c>
      <c r="N23" s="23" t="str">
        <f>IF(G23="","",G23-M23)</f>
        <v/>
      </c>
      <c r="P23" s="11"/>
    </row>
    <row r="24" spans="2:16" x14ac:dyDescent="0.3">
      <c r="B24" s="27"/>
      <c r="C24" s="3" t="str">
        <f>+IF(B24="","",INDEX(U_MAQUINARIA,MATCH(B24,LISTA_MAQUINARIA,0)))</f>
        <v/>
      </c>
      <c r="D24" s="30"/>
      <c r="E24" s="23" t="str">
        <f>+IF(B24="","",INDEX(V_MAQUINARIA,MATCH(B24,LISTA_MAQUINARIA,0)))</f>
        <v/>
      </c>
      <c r="F24" s="3">
        <f>$G$20</f>
        <v>3.9</v>
      </c>
      <c r="G24" s="26" t="str">
        <f>+IF(B24="","",(D24*E24)/F24)</f>
        <v/>
      </c>
      <c r="K24" s="9"/>
      <c r="L24" s="3" t="str">
        <f>IF(B24="","",INDEX(V_COMBUSTIBLE_H,MATCH(B24,LISTA_MAQUINARIA,0)))</f>
        <v/>
      </c>
      <c r="M24" s="3" t="str">
        <f>+IF(L24="","",(L24*D24)/F24)</f>
        <v/>
      </c>
      <c r="N24" s="3" t="str">
        <f>IF(G24="","",G24-M24)</f>
        <v/>
      </c>
      <c r="P24" s="11"/>
    </row>
    <row r="25" spans="2:16" x14ac:dyDescent="0.3">
      <c r="B25" s="27"/>
      <c r="C25" s="3" t="str">
        <f>+IF(B25="","",INDEX(U_MAQUINARIA,MATCH(B25,LISTA_MAQUINARIA,0)))</f>
        <v/>
      </c>
      <c r="D25" s="30"/>
      <c r="E25" s="23" t="str">
        <f>+IF(B25="","",INDEX(V_MAQUINARIA,MATCH(B25,LISTA_MAQUINARIA,0)))</f>
        <v/>
      </c>
      <c r="F25" s="3">
        <f>$G$20</f>
        <v>3.9</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3.9</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3.9</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0</v>
      </c>
      <c r="K28" s="9"/>
      <c r="M28" s="24">
        <f>SUM(M23:M27)</f>
        <v>0</v>
      </c>
      <c r="N28" s="24">
        <f>SUM(N23:N27)</f>
        <v>0</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t="s">
        <v>361</v>
      </c>
      <c r="C31" s="3" t="str">
        <f t="shared" ref="C31:C38" si="0">+IF(B31="","",INDEX(U_MATERIAL,MATCH(B31,L_MATERIALES,0)))</f>
        <v>UND</v>
      </c>
      <c r="D31" s="30">
        <v>1</v>
      </c>
      <c r="E31" s="23">
        <f t="shared" ref="E31:E38" si="1">+IF(B31="","",INDEX(V_UNITARIOMATERIAL,MATCH(B31,L_MATERIALES,0)))</f>
        <v>340000</v>
      </c>
      <c r="F31" s="30">
        <v>100</v>
      </c>
      <c r="G31" s="26">
        <f>IF(D31="","",(E31*D31)/F31)</f>
        <v>3400</v>
      </c>
      <c r="K31" s="9"/>
      <c r="L31" t="str">
        <f>+IF(B31="","",B31)</f>
        <v>HERRAMIENTA MENOR---</v>
      </c>
      <c r="M31">
        <f t="shared" ref="M31:M38" si="2">IF(D31="","",(D31/F31)*INDEX(CANT_PROYECTO,MATCH($B$13,ITEM,0)))</f>
        <v>22.900000000000002</v>
      </c>
      <c r="N31" s="1"/>
      <c r="P31" s="11"/>
    </row>
    <row r="32" spans="2:16" x14ac:dyDescent="0.3">
      <c r="B32" s="27"/>
      <c r="C32" s="3" t="str">
        <f t="shared" si="0"/>
        <v/>
      </c>
      <c r="D32" s="30"/>
      <c r="E32" s="23" t="str">
        <f t="shared" si="1"/>
        <v/>
      </c>
      <c r="F32" s="30"/>
      <c r="G32" s="26" t="str">
        <f t="shared" ref="G32:G38" si="3">IF(D32="","",(E32*D32)/F32)</f>
        <v/>
      </c>
      <c r="K32" s="9"/>
      <c r="L32" t="str">
        <f t="shared" ref="L32:L38" si="4">+IF(B32="","",B32)</f>
        <v/>
      </c>
      <c r="M32" t="str">
        <f t="shared" si="2"/>
        <v/>
      </c>
      <c r="N32" s="1"/>
      <c r="P32" s="11"/>
    </row>
    <row r="33" spans="2:16" x14ac:dyDescent="0.3">
      <c r="B33" s="27"/>
      <c r="C33" s="3" t="str">
        <f t="shared" si="0"/>
        <v/>
      </c>
      <c r="D33" s="30"/>
      <c r="E33" s="23" t="str">
        <f t="shared" si="1"/>
        <v/>
      </c>
      <c r="F33" s="30"/>
      <c r="G33" s="26" t="str">
        <f t="shared" si="3"/>
        <v/>
      </c>
      <c r="K33" s="9"/>
      <c r="L33" t="str">
        <f t="shared" si="4"/>
        <v/>
      </c>
      <c r="M33" t="str">
        <f t="shared" si="2"/>
        <v/>
      </c>
      <c r="N33" s="1"/>
      <c r="P33" s="11"/>
    </row>
    <row r="34" spans="2:16" x14ac:dyDescent="0.3">
      <c r="B34" s="27"/>
      <c r="C34" s="3" t="str">
        <f t="shared" si="0"/>
        <v/>
      </c>
      <c r="D34" s="30"/>
      <c r="E34" s="23" t="str">
        <f t="shared" si="1"/>
        <v/>
      </c>
      <c r="F34" s="30"/>
      <c r="G34" s="26" t="str">
        <f t="shared" si="3"/>
        <v/>
      </c>
      <c r="K34" s="9"/>
      <c r="L34" t="str">
        <f t="shared" si="4"/>
        <v/>
      </c>
      <c r="M34" t="str">
        <f t="shared" si="2"/>
        <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3400</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t="s">
        <v>368</v>
      </c>
      <c r="C42" s="3" t="str">
        <f>+IF(B42="","",INDEX(U_MAQUINARIA,MATCH(B42,LISTA_MAQUINARIA,0)))</f>
        <v>VALOR / HORA</v>
      </c>
      <c r="D42" s="30">
        <v>1</v>
      </c>
      <c r="E42" s="23">
        <f>+IF(B42="","",INDEX(V_MAQUINARIA,MATCH(B42,LISTA_MAQUINARIA,0)))</f>
        <v>58531.818181818184</v>
      </c>
      <c r="F42" s="3">
        <f>$G$20</f>
        <v>3.9</v>
      </c>
      <c r="G42" s="26">
        <f>IF(D42="","",(E42*D42)/F42)</f>
        <v>15008.158508158509</v>
      </c>
      <c r="K42" s="9"/>
      <c r="L42" s="23">
        <f>IF(B42="","",INDEX(V_COMBUSTIBLE_H,MATCH(B42,LISTA_MAQUINARIA,0)))</f>
        <v>21600</v>
      </c>
      <c r="M42" s="23">
        <f>+IF(L42="","",(L42*D42)/F42)</f>
        <v>5538.461538461539</v>
      </c>
      <c r="N42" s="23">
        <f>IF(G42="","",G42-M42)</f>
        <v>9469.69696969697</v>
      </c>
      <c r="P42" s="11"/>
    </row>
    <row r="43" spans="2:16" x14ac:dyDescent="0.3">
      <c r="B43" s="27"/>
      <c r="C43" s="3" t="str">
        <f>+IF(B43="","",INDEX(U_MAQUINARIA,MATCH(B43,LISTA_MAQUINARIA,0)))</f>
        <v/>
      </c>
      <c r="D43" s="30"/>
      <c r="E43" s="23" t="str">
        <f>+IF(B43="","",INDEX(V_MAQUINARIA,MATCH(B43,LISTA_MAQUINARIA,0)))</f>
        <v/>
      </c>
      <c r="F43" s="3">
        <f>+$G$20</f>
        <v>3.9</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3.9</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3.9</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3.9</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15008.158508158509</v>
      </c>
      <c r="K47" s="9"/>
      <c r="M47" s="24">
        <f>SUM(M42:M46)</f>
        <v>5538.461538461539</v>
      </c>
      <c r="N47" s="24">
        <f>SUM(N42:N46)</f>
        <v>9469.69696969697</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t="s">
        <v>306</v>
      </c>
      <c r="C50" s="30">
        <v>3</v>
      </c>
      <c r="D50" s="22">
        <f>+IF(B50="","",INDEX(F_PRESTACIONAL,MATCH(B50,L_PERSONAL,)))</f>
        <v>2.3170181818181819</v>
      </c>
      <c r="E50" s="23">
        <f>+IF(B50="","",INDEX(V_H_MANODEOBRA,MATCH(B50,L_PERSONAL,0)))</f>
        <v>46340.36363636364</v>
      </c>
      <c r="F50" s="3">
        <f>+$G$20</f>
        <v>3.9</v>
      </c>
      <c r="G50" s="26">
        <f>+IF(C50="","",(E50*C50)/F50)</f>
        <v>35646.433566433567</v>
      </c>
    </row>
    <row r="51" spans="2:7" x14ac:dyDescent="0.3">
      <c r="B51" s="27" t="s">
        <v>357</v>
      </c>
      <c r="C51" s="30">
        <v>1</v>
      </c>
      <c r="D51" s="22">
        <f>+IF(B51="","",INDEX(F_PRESTACIONAL,MATCH(B51,L_PERSONAL,)))</f>
        <v>1.6352</v>
      </c>
      <c r="E51" s="23">
        <f>+IF(B51="","",INDEX(V_H_MANODEOBRA,MATCH(B51,L_PERSONAL,0)))</f>
        <v>24658.815999999999</v>
      </c>
      <c r="F51" s="3">
        <f>+$G$20</f>
        <v>3.9</v>
      </c>
      <c r="G51" s="26">
        <f>+IF(C51="","",(E51*C51)/F51)</f>
        <v>6322.7733333333335</v>
      </c>
    </row>
    <row r="52" spans="2:7" x14ac:dyDescent="0.3">
      <c r="B52" s="27"/>
      <c r="C52" s="30"/>
      <c r="D52" s="22" t="str">
        <f>+IF(B52="","",INDEX(F_PRESTACIONAL,MATCH(B52,L_PERSONAL,)))</f>
        <v/>
      </c>
      <c r="E52" s="23" t="str">
        <f>+IF(B52="","",INDEX(V_H_MANODEOBRA,MATCH(B52,L_PERSONAL,0)))</f>
        <v/>
      </c>
      <c r="F52" s="3">
        <f>+$G$20</f>
        <v>3.9</v>
      </c>
      <c r="G52" s="26" t="str">
        <f>+IF(C52="","",(E52*C52)/F52)</f>
        <v/>
      </c>
    </row>
    <row r="53" spans="2:7" x14ac:dyDescent="0.3">
      <c r="B53" s="27"/>
      <c r="C53" s="30"/>
      <c r="D53" s="22" t="str">
        <f>+IF(B53="","",INDEX(F_PRESTACIONAL,MATCH(B53,L_PERSONAL,)))</f>
        <v/>
      </c>
      <c r="E53" s="23" t="str">
        <f>+IF(B53="","",INDEX(V_H_MANODEOBRA,MATCH(B53,L_PERSONAL,0)))</f>
        <v/>
      </c>
      <c r="F53" s="3">
        <f>+$G$20</f>
        <v>3.9</v>
      </c>
      <c r="G53" s="26" t="str">
        <f>+IF(C53="","",(E53*C53)/F53)</f>
        <v/>
      </c>
    </row>
    <row r="54" spans="2:7" x14ac:dyDescent="0.3">
      <c r="B54" s="27"/>
      <c r="C54" s="30"/>
      <c r="D54" s="22" t="str">
        <f>+IF(B54="","",INDEX(F_PRESTACIONAL,MATCH(B54,L_PERSONAL,)))</f>
        <v/>
      </c>
      <c r="E54" s="23" t="str">
        <f>+IF(B54="","",INDEX(V_H_MANODEOBRA,MATCH(B54,L_PERSONAL,0)))</f>
        <v/>
      </c>
      <c r="F54" s="3">
        <f>+$G$20</f>
        <v>3.9</v>
      </c>
      <c r="G54" s="26" t="str">
        <f>+IF(C54="","",(E54*C54)/F54)</f>
        <v/>
      </c>
    </row>
    <row r="55" spans="2:7" x14ac:dyDescent="0.3">
      <c r="B55" s="9"/>
      <c r="G55" s="26">
        <f>SUM(G50:G54)</f>
        <v>41969.206899766898</v>
      </c>
    </row>
    <row r="56" spans="2:7" ht="17.25" thickBot="1" x14ac:dyDescent="0.35">
      <c r="B56" s="9"/>
      <c r="G56" s="11"/>
    </row>
    <row r="57" spans="2:7" ht="17.25" thickBot="1" x14ac:dyDescent="0.35">
      <c r="B57" s="610" t="s">
        <v>98</v>
      </c>
      <c r="C57" s="611"/>
      <c r="D57" s="611"/>
      <c r="E57" s="611"/>
      <c r="F57" s="612"/>
      <c r="G57" s="66">
        <f>+G55+G47+G39+G28</f>
        <v>60377.365407925405</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7245.2838489510486</v>
      </c>
    </row>
    <row r="61" spans="2:7" x14ac:dyDescent="0.3">
      <c r="B61" s="613" t="s">
        <v>86</v>
      </c>
      <c r="C61" s="614"/>
      <c r="D61" s="614"/>
      <c r="E61" s="614"/>
      <c r="F61" s="22">
        <f>+IMPREVISTOS</f>
        <v>0.03</v>
      </c>
      <c r="G61" s="26">
        <f>+$G$57*F61</f>
        <v>1811.3209622377622</v>
      </c>
    </row>
    <row r="62" spans="2:7" x14ac:dyDescent="0.3">
      <c r="B62" s="613" t="s">
        <v>87</v>
      </c>
      <c r="C62" s="614"/>
      <c r="D62" s="614"/>
      <c r="E62" s="614"/>
      <c r="F62" s="22">
        <f>+UTILIDAD</f>
        <v>0.05</v>
      </c>
      <c r="G62" s="26">
        <f>+$G$57*F62</f>
        <v>3018.8682703962704</v>
      </c>
    </row>
    <row r="63" spans="2:7" x14ac:dyDescent="0.3">
      <c r="B63" s="596" t="s">
        <v>100</v>
      </c>
      <c r="C63" s="597"/>
      <c r="D63" s="597"/>
      <c r="E63" s="597"/>
      <c r="F63" s="597"/>
      <c r="G63" s="53">
        <f>SUM(G60:G62)</f>
        <v>12075.473081585082</v>
      </c>
    </row>
    <row r="64" spans="2:7" ht="17.25" thickBot="1" x14ac:dyDescent="0.35">
      <c r="B64" s="9"/>
      <c r="G64" s="44"/>
    </row>
    <row r="65" spans="2:7" ht="17.25" thickBot="1" x14ac:dyDescent="0.35">
      <c r="B65" s="598" t="s">
        <v>101</v>
      </c>
      <c r="C65" s="599"/>
      <c r="D65" s="599"/>
      <c r="E65" s="599"/>
      <c r="F65" s="600"/>
      <c r="G65" s="65">
        <f>+G63+G57</f>
        <v>72452.838489510483</v>
      </c>
    </row>
    <row r="66" spans="2:7" x14ac:dyDescent="0.3">
      <c r="B66" s="6"/>
      <c r="C66" s="7"/>
      <c r="D66" s="7"/>
      <c r="E66" s="7"/>
      <c r="F66" s="7"/>
      <c r="G66" s="8"/>
    </row>
    <row r="67" spans="2:7" x14ac:dyDescent="0.3">
      <c r="B67" s="9"/>
      <c r="G67" s="11"/>
    </row>
    <row r="68" spans="2:7" x14ac:dyDescent="0.3">
      <c r="B68" s="69" t="s">
        <v>123</v>
      </c>
      <c r="C68" s="67"/>
      <c r="D68" s="67"/>
      <c r="E68" s="67"/>
      <c r="F68" s="67"/>
      <c r="G68" s="70"/>
    </row>
    <row r="69" spans="2:7" x14ac:dyDescent="0.3">
      <c r="B69" s="71"/>
      <c r="C69" s="67"/>
      <c r="D69" s="67"/>
      <c r="E69" s="67"/>
      <c r="F69" s="67"/>
      <c r="G69" s="70"/>
    </row>
    <row r="70" spans="2:7" x14ac:dyDescent="0.3">
      <c r="B70" s="72"/>
      <c r="C70" s="68"/>
      <c r="D70" s="68"/>
      <c r="E70" s="68"/>
      <c r="F70" s="68"/>
      <c r="G70" s="73"/>
    </row>
    <row r="71" spans="2:7" x14ac:dyDescent="0.3">
      <c r="B71" s="71"/>
      <c r="C71" s="67"/>
      <c r="D71" s="67"/>
      <c r="E71" s="67"/>
      <c r="F71" s="67"/>
      <c r="G71" s="70"/>
    </row>
    <row r="72" spans="2:7" ht="17.25" thickBot="1" x14ac:dyDescent="0.35">
      <c r="B72" s="15"/>
      <c r="C72" s="13"/>
      <c r="D72" s="13"/>
      <c r="E72" s="13"/>
      <c r="F72" s="13"/>
      <c r="G72" s="14"/>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count="5">
    <dataValidation type="list" allowBlank="1" showInputMessage="1" showErrorMessage="1" sqref="E102" xr:uid="{7FDDC370-A2D1-4E9A-B0A1-6879AEE232A1}">
      <formula1>$A$103:$A$105</formula1>
    </dataValidation>
    <dataValidation type="list" allowBlank="1" showInputMessage="1" showErrorMessage="1" sqref="B13" xr:uid="{69A70818-651C-496A-95FF-70F643ADDA1B}">
      <formula1>ITEM</formula1>
    </dataValidation>
    <dataValidation type="list" allowBlank="1" showInputMessage="1" showErrorMessage="1" sqref="B50:B54" xr:uid="{CB105E19-57DE-46A2-999E-A418FFA23A2D}">
      <formula1>L_PERSONAL</formula1>
    </dataValidation>
    <dataValidation type="list" allowBlank="1" showInputMessage="1" showErrorMessage="1" sqref="B31:B38" xr:uid="{4761C329-AA7E-46F1-BB59-452414FBCDDC}">
      <formula1>L_MATERIALES</formula1>
    </dataValidation>
    <dataValidation type="list" allowBlank="1" showInputMessage="1" showErrorMessage="1" sqref="B23:B27 B42:B46" xr:uid="{0706B8B6-5743-4C21-BF84-22C8B3BA6952}">
      <formula1>LISTA_MAQUINARIA</formula1>
    </dataValidation>
  </dataValidations>
  <pageMargins left="1.3779527559055118" right="0.70866141732283472" top="0.74803149606299213" bottom="0.74803149606299213" header="0.31496062992125984" footer="0.31496062992125984"/>
  <pageSetup scale="52" orientation="portrait" r:id="rId1"/>
  <rowBreaks count="1" manualBreakCount="1">
    <brk id="78" max="16383" man="1"/>
  </rowBreaks>
  <colBreaks count="1" manualBreakCount="1">
    <brk id="7" max="1048575" man="1"/>
  </colBreaks>
  <drawing r:id="rId2"/>
  <tableParts count="1">
    <tablePart r:id="rId3"/>
  </tableParts>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4E7FC-5A3F-4EF6-90ED-8C778D931F03}">
  <sheetPr codeName="Hoja78"/>
  <dimension ref="A1:P105"/>
  <sheetViews>
    <sheetView showGridLines="0" view="pageBreakPreview" topLeftCell="A45" zoomScale="60" zoomScaleNormal="66" workbookViewId="0">
      <selection activeCell="J35" sqref="J35"/>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9" width="11.25" customWidth="1"/>
    <col min="10" max="10" width="18.37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67</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18" t="str">
        <f>+IF($B$13="","",INDEX(DESCRIP_ITEM,MATCH($B$13,ITEM,0)))</f>
        <v>Excavación, relleno y compactación de Zanja tipo 1 para MT, sección (bxh) 0,45 m x 1.1 m. Incluye el perfilado del contorno de la zanja con las herramietas adecuadas,  la separación del descapote o capa orgánica con el resto del material excavado y la disposición del material excavado. En cualquier caso solo se permitirá un máximo de 10 cm de material de excavación sobre el nivel del terreno. Inlcuye suministro de cintas de señalización y arena  según las especificaciones del Anexo 005 Especificaciones Técnicas BOS Tepuy - EPM y los documentos de ingeniería (Layout zanjas MT y detalles). La compactación debe realizarse en capas y se deben ejecutar los correspondientes ensayos de densidad.</v>
      </c>
      <c r="C16" s="619"/>
      <c r="D16" s="619"/>
      <c r="E16" s="619"/>
      <c r="F16" s="619"/>
      <c r="G16" s="620"/>
    </row>
    <row r="17" spans="2:16" ht="93" customHeight="1" thickBot="1" x14ac:dyDescent="0.35">
      <c r="B17" s="621"/>
      <c r="C17" s="622"/>
      <c r="D17" s="622"/>
      <c r="E17" s="622"/>
      <c r="F17" s="622"/>
      <c r="G17" s="623"/>
    </row>
    <row r="18" spans="2:16" ht="17.25" thickBot="1" x14ac:dyDescent="0.35">
      <c r="B18" s="591"/>
      <c r="C18" s="579"/>
      <c r="D18" s="579"/>
      <c r="E18" s="579"/>
      <c r="G18" s="11"/>
    </row>
    <row r="19" spans="2:16" ht="17.25" thickBot="1" x14ac:dyDescent="0.35">
      <c r="B19" s="592"/>
      <c r="C19" s="593"/>
      <c r="D19" s="593"/>
      <c r="E19" s="593"/>
      <c r="F19" s="54" t="s">
        <v>89</v>
      </c>
      <c r="G19" s="25" t="str">
        <f>+IF(B13="","",INDEX(U_ITEM,MATCH(B13,ITEM,0)))</f>
        <v>ML</v>
      </c>
      <c r="H19" t="s">
        <v>572</v>
      </c>
      <c r="I19" t="s">
        <v>573</v>
      </c>
      <c r="J19" t="s">
        <v>574</v>
      </c>
    </row>
    <row r="20" spans="2:16" ht="17.25" thickBot="1" x14ac:dyDescent="0.35">
      <c r="B20" s="592"/>
      <c r="C20" s="593"/>
      <c r="D20" s="593"/>
      <c r="E20" s="593"/>
      <c r="F20" s="55" t="s">
        <v>90</v>
      </c>
      <c r="G20" s="56">
        <v>38.200000000000003</v>
      </c>
      <c r="H20">
        <f>0.45*1.1</f>
        <v>0.49500000000000005</v>
      </c>
      <c r="I20">
        <f>1/H20</f>
        <v>2.0202020202020199</v>
      </c>
      <c r="J20" s="294">
        <f>I20*G65</f>
        <v>168538.91252938716</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t="s">
        <v>405</v>
      </c>
      <c r="C23" s="3" t="str">
        <f>+IF(B23="","",INDEX(U_MAQUINARIA,MATCH(B23,LISTA_MAQUINARIA,0)))</f>
        <v>VALOR / HORA</v>
      </c>
      <c r="D23" s="30">
        <v>4</v>
      </c>
      <c r="E23" s="23">
        <f>+IF(B23="","",INDEX(V_MAQUINARIA,MATCH(B23,LISTA_MAQUINARIA,0)))</f>
        <v>134672.72727272729</v>
      </c>
      <c r="F23" s="3">
        <f>$G$20</f>
        <v>38.200000000000003</v>
      </c>
      <c r="G23" s="26">
        <f>+IF(B23="","",(D23*E23)/F23)</f>
        <v>14101.856258924323</v>
      </c>
      <c r="K23" s="9"/>
      <c r="L23" s="23">
        <f>IF(B23="","",INDEX(V_COMBUSTIBLE_H,MATCH(B23,LISTA_MAQUINARIA,0)))</f>
        <v>32400</v>
      </c>
      <c r="M23" s="23">
        <f>+IF(L23="","",(L23*D23)/F23)</f>
        <v>3392.6701570680625</v>
      </c>
      <c r="N23" s="23">
        <f>IF(G23="","",G23-M23)</f>
        <v>10709.186101856259</v>
      </c>
      <c r="P23" s="11"/>
    </row>
    <row r="24" spans="2:16" x14ac:dyDescent="0.3">
      <c r="B24" s="27" t="s">
        <v>449</v>
      </c>
      <c r="C24" s="3">
        <f>+IF(B24="","",INDEX(U_MAQUINARIA,MATCH(B24,LISTA_MAQUINARIA,0)))</f>
        <v>0</v>
      </c>
      <c r="D24" s="30">
        <v>2</v>
      </c>
      <c r="E24" s="23">
        <f>+IF(B24="","",INDEX(V_MAQUINARIA,MATCH(B24,LISTA_MAQUINARIA,0)))</f>
        <v>84381.818181818177</v>
      </c>
      <c r="F24" s="3">
        <f>$G$20</f>
        <v>38.200000000000003</v>
      </c>
      <c r="G24" s="26">
        <f>+IF(B24="","",(D24*E24)/F24)</f>
        <v>4417.8962398857684</v>
      </c>
      <c r="K24" s="9"/>
      <c r="L24" s="3">
        <f>IF(B24="","",INDEX(V_COMBUSTIBLE_H,MATCH(B24,LISTA_MAQUINARIA,0)))</f>
        <v>16200</v>
      </c>
      <c r="M24" s="3">
        <f>+IF(L24="","",(L24*D24)/F24)</f>
        <v>848.16753926701563</v>
      </c>
      <c r="N24" s="3">
        <f>IF(G24="","",G24-M24)</f>
        <v>3569.7287006187526</v>
      </c>
      <c r="P24" s="11"/>
    </row>
    <row r="25" spans="2:16" x14ac:dyDescent="0.3">
      <c r="B25" s="27" t="s">
        <v>452</v>
      </c>
      <c r="C25" s="3">
        <f>+IF(B25="","",INDEX(U_MAQUINARIA,MATCH(B25,LISTA_MAQUINARIA,0)))</f>
        <v>0</v>
      </c>
      <c r="D25" s="30">
        <v>2</v>
      </c>
      <c r="E25" s="23">
        <f>+IF(B25="","",INDEX(V_MAQUINARIA,MATCH(B25,LISTA_MAQUINARIA,0)))</f>
        <v>33527.272727272728</v>
      </c>
      <c r="F25" s="3">
        <f>$G$20</f>
        <v>38.200000000000003</v>
      </c>
      <c r="G25" s="26">
        <f>+IF(B25="","",(D25*E25)/F25)</f>
        <v>1755.3545930509281</v>
      </c>
      <c r="K25" s="9"/>
      <c r="L25" s="3">
        <f>IF(B25="","",INDEX(V_COMBUSTIBLE_H,MATCH(B25,LISTA_MAQUINARIA,0)))</f>
        <v>10800</v>
      </c>
      <c r="M25" s="3">
        <f>+IF(L25="","",(L25*D25)/F25)</f>
        <v>565.44502617801038</v>
      </c>
      <c r="N25" s="3">
        <f>IF(G25="","",G25-M25)</f>
        <v>1189.9095668729178</v>
      </c>
      <c r="P25" s="11"/>
    </row>
    <row r="26" spans="2:16" x14ac:dyDescent="0.3">
      <c r="B26" s="27" t="s">
        <v>453</v>
      </c>
      <c r="C26" s="3">
        <f>+IF(B26="","",INDEX(U_MAQUINARIA,MATCH(B26,LISTA_MAQUINARIA,0)))</f>
        <v>0</v>
      </c>
      <c r="D26" s="30">
        <v>3</v>
      </c>
      <c r="E26" s="23">
        <f>+IF(B26="","",INDEX(V_MAQUINARIA,MATCH(B26,LISTA_MAQUINARIA,0)))</f>
        <v>27845.454545454544</v>
      </c>
      <c r="F26" s="3">
        <f>$G$20</f>
        <v>38.200000000000003</v>
      </c>
      <c r="G26" s="26">
        <f>+IF(B26="","",(D26*E26)/F26)</f>
        <v>2186.8158019990478</v>
      </c>
      <c r="K26" s="9"/>
      <c r="L26" s="3">
        <f>IF(B26="","",INDEX(V_COMBUSTIBLE_H,MATCH(B26,LISTA_MAQUINARIA,0)))</f>
        <v>10800</v>
      </c>
      <c r="M26" s="3">
        <f>+IF(L26="","",(L26*D26)/F26)</f>
        <v>848.16753926701563</v>
      </c>
      <c r="N26" s="3">
        <f>IF(G26="","",G26-M26)</f>
        <v>1338.6482627320322</v>
      </c>
      <c r="P26" s="11"/>
    </row>
    <row r="27" spans="2:16" x14ac:dyDescent="0.3">
      <c r="B27" s="27"/>
      <c r="C27" s="3" t="str">
        <f>+IF(B27="","",INDEX(U_MAQUINARIA,MATCH(B27,LISTA_MAQUINARIA,0)))</f>
        <v/>
      </c>
      <c r="D27" s="30"/>
      <c r="E27" s="23" t="str">
        <f>+IF(B27="","",INDEX(V_MAQUINARIA,MATCH(B27,LISTA_MAQUINARIA,0)))</f>
        <v/>
      </c>
      <c r="F27" s="3">
        <f>$G$20</f>
        <v>38.200000000000003</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22461.922893860068</v>
      </c>
      <c r="K28" s="9"/>
      <c r="M28" s="24">
        <f>SUM(M23:M27)</f>
        <v>5654.4502617801045</v>
      </c>
      <c r="N28" s="24">
        <f>SUM(N23:N27)</f>
        <v>16807.472632079964</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t="s">
        <v>361</v>
      </c>
      <c r="C31" s="3" t="str">
        <f t="shared" ref="C31:C38" si="0">+IF(B31="","",INDEX(U_MATERIAL,MATCH(B31,L_MATERIALES,0)))</f>
        <v>UND</v>
      </c>
      <c r="D31" s="30">
        <v>1</v>
      </c>
      <c r="E31" s="23">
        <f t="shared" ref="E31:E38" si="1">+IF(B31="","",INDEX(V_UNITARIOMATERIAL,MATCH(B31,L_MATERIALES,0)))</f>
        <v>340000</v>
      </c>
      <c r="F31" s="30">
        <v>1000</v>
      </c>
      <c r="G31" s="26">
        <f>IF(D31="","",(E31*D31)/F31)</f>
        <v>340</v>
      </c>
      <c r="K31" s="9"/>
      <c r="L31" t="str">
        <f>+IF(B31="","",B31)</f>
        <v>HERRAMIENTA MENOR---</v>
      </c>
      <c r="M31">
        <f t="shared" ref="M31:M38" si="2">IF(D31="","",(D31/F31)*INDEX(CANT_PROYECTO,MATCH($B$13,ITEM,0)))</f>
        <v>3.8200000000000003</v>
      </c>
      <c r="N31" s="1"/>
      <c r="P31" s="11"/>
    </row>
    <row r="32" spans="2:16" x14ac:dyDescent="0.3">
      <c r="B32" s="27" t="s">
        <v>411</v>
      </c>
      <c r="C32" s="3" t="str">
        <f t="shared" si="0"/>
        <v>M3</v>
      </c>
      <c r="D32" s="30">
        <f>0.45*0.6*1.3</f>
        <v>0.35100000000000003</v>
      </c>
      <c r="E32" s="23">
        <f t="shared" si="1"/>
        <v>86000</v>
      </c>
      <c r="F32" s="30">
        <v>1</v>
      </c>
      <c r="G32" s="26">
        <f t="shared" ref="G32:G38" si="3">IF(D32="","",(E32*D32)/F32)</f>
        <v>30186.000000000004</v>
      </c>
      <c r="K32" s="9"/>
      <c r="L32" t="str">
        <f t="shared" ref="L32:L38" si="4">+IF(B32="","",B32)</f>
        <v>ARENA ---</v>
      </c>
      <c r="M32">
        <f t="shared" si="2"/>
        <v>1340.8200000000002</v>
      </c>
      <c r="N32" s="1"/>
      <c r="P32" s="11"/>
    </row>
    <row r="33" spans="2:16" x14ac:dyDescent="0.3">
      <c r="B33" s="27" t="s">
        <v>407</v>
      </c>
      <c r="C33" s="3" t="str">
        <f t="shared" si="0"/>
        <v>ML</v>
      </c>
      <c r="D33" s="30">
        <v>1</v>
      </c>
      <c r="E33" s="23">
        <f t="shared" si="1"/>
        <v>400</v>
      </c>
      <c r="F33" s="30">
        <v>1</v>
      </c>
      <c r="G33" s="26">
        <f t="shared" si="3"/>
        <v>400</v>
      </c>
      <c r="K33" s="9"/>
      <c r="L33" t="str">
        <f t="shared" si="4"/>
        <v>CINTA PRECAUCION ---</v>
      </c>
      <c r="M33">
        <f t="shared" si="2"/>
        <v>3820</v>
      </c>
      <c r="N33" s="1"/>
      <c r="P33" s="11"/>
    </row>
    <row r="34" spans="2:16" x14ac:dyDescent="0.3">
      <c r="B34" s="27"/>
      <c r="C34" s="3" t="str">
        <f t="shared" si="0"/>
        <v/>
      </c>
      <c r="D34" s="30"/>
      <c r="E34" s="23" t="str">
        <f t="shared" si="1"/>
        <v/>
      </c>
      <c r="F34" s="30"/>
      <c r="G34" s="26" t="str">
        <f t="shared" si="3"/>
        <v/>
      </c>
      <c r="K34" s="9"/>
      <c r="L34" t="str">
        <f t="shared" si="4"/>
        <v/>
      </c>
      <c r="M34" t="str">
        <f t="shared" si="2"/>
        <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30926.000000000004</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t="s">
        <v>455</v>
      </c>
      <c r="C42" s="3">
        <f>+IF(B42="","",INDEX(U_MAQUINARIA,MATCH(B42,LISTA_MAQUINARIA,0)))</f>
        <v>0</v>
      </c>
      <c r="D42" s="30">
        <v>1</v>
      </c>
      <c r="E42" s="23">
        <f>+IF(B42="","",INDEX(V_MAQUINARIA,MATCH(B42,LISTA_MAQUINARIA,0)))</f>
        <v>101145.45454545454</v>
      </c>
      <c r="F42" s="3">
        <f>$G$20</f>
        <v>38.200000000000003</v>
      </c>
      <c r="G42" s="26">
        <f>IF(D42="","",(E42*D42)/F42)</f>
        <v>2647.7867682056162</v>
      </c>
      <c r="K42" s="9"/>
      <c r="L42" s="23">
        <f>IF(B42="","",INDEX(V_COMBUSTIBLE_H,MATCH(B42,LISTA_MAQUINARIA,0)))</f>
        <v>21600</v>
      </c>
      <c r="M42" s="23">
        <f>+IF(L42="","",(L42*D42)/F42)</f>
        <v>565.44502617801038</v>
      </c>
      <c r="N42" s="23">
        <f>IF(G42="","",G42-M42)</f>
        <v>2082.341742027606</v>
      </c>
      <c r="P42" s="11"/>
    </row>
    <row r="43" spans="2:16" x14ac:dyDescent="0.3">
      <c r="B43" s="27"/>
      <c r="C43" s="3" t="str">
        <f>+IF(B43="","",INDEX(U_MAQUINARIA,MATCH(B43,LISTA_MAQUINARIA,0)))</f>
        <v/>
      </c>
      <c r="D43" s="30"/>
      <c r="E43" s="23" t="str">
        <f>+IF(B43="","",INDEX(V_MAQUINARIA,MATCH(B43,LISTA_MAQUINARIA,0)))</f>
        <v/>
      </c>
      <c r="F43" s="3">
        <f>+$G$20</f>
        <v>38.200000000000003</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38.200000000000003</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38.200000000000003</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38.200000000000003</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2647.7867682056162</v>
      </c>
      <c r="K47" s="9"/>
      <c r="M47" s="24">
        <f>SUM(M42:M46)</f>
        <v>565.44502617801038</v>
      </c>
      <c r="N47" s="24">
        <f>SUM(N42:N46)</f>
        <v>2082.341742027606</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t="s">
        <v>304</v>
      </c>
      <c r="C50" s="30">
        <v>6</v>
      </c>
      <c r="D50" s="22">
        <f>+IF(B50="","",INDEX(F_PRESTACIONAL,MATCH(B50,L_PERSONAL,)))</f>
        <v>1.6352</v>
      </c>
      <c r="E50" s="23">
        <f>+IF(B50="","",INDEX(V_H_MANODEOBRA,MATCH(B50,L_PERSONAL,0)))</f>
        <v>24658.815999999999</v>
      </c>
      <c r="F50" s="3">
        <f>+$G$20</f>
        <v>38.200000000000003</v>
      </c>
      <c r="G50" s="26">
        <f>+IF(C50="","",(E50*C50)/F50)</f>
        <v>3873.1124607329843</v>
      </c>
    </row>
    <row r="51" spans="2:7" x14ac:dyDescent="0.3">
      <c r="B51" s="27" t="s">
        <v>305</v>
      </c>
      <c r="C51" s="30">
        <v>6</v>
      </c>
      <c r="D51" s="22">
        <f>+IF(B51="","",INDEX(F_PRESTACIONAL,MATCH(B51,L_PERSONAL,)))</f>
        <v>2.2351999999999999</v>
      </c>
      <c r="E51" s="23">
        <f>+IF(B51="","",INDEX(V_H_MANODEOBRA,MATCH(B51,L_PERSONAL,0)))</f>
        <v>50800</v>
      </c>
      <c r="F51" s="3">
        <f>+$G$20</f>
        <v>38.200000000000003</v>
      </c>
      <c r="G51" s="26">
        <f>+IF(C51="","",(E51*C51)/F51)</f>
        <v>7979.0575916230364</v>
      </c>
    </row>
    <row r="52" spans="2:7" x14ac:dyDescent="0.3">
      <c r="B52" s="27" t="s">
        <v>298</v>
      </c>
      <c r="C52" s="30">
        <v>1</v>
      </c>
      <c r="D52" s="22">
        <f>+IF(B52="","",INDEX(F_PRESTACIONAL,MATCH(B52,L_PERSONAL,)))</f>
        <v>1.6352</v>
      </c>
      <c r="E52" s="23">
        <f>+IF(B52="","",INDEX(V_H_MANODEOBRA,MATCH(B52,L_PERSONAL,0)))</f>
        <v>40136.727272727272</v>
      </c>
      <c r="F52" s="3">
        <f>+$G$20</f>
        <v>38.200000000000003</v>
      </c>
      <c r="G52" s="26">
        <f>+IF(C52="","",(E52*C52)/F52)</f>
        <v>1050.6996668253212</v>
      </c>
    </row>
    <row r="53" spans="2:7" x14ac:dyDescent="0.3">
      <c r="B53" s="27" t="s">
        <v>299</v>
      </c>
      <c r="C53" s="30">
        <v>1</v>
      </c>
      <c r="D53" s="22">
        <f>+IF(B53="","",INDEX(F_PRESTACIONAL,MATCH(B53,L_PERSONAL,)))</f>
        <v>1.6352</v>
      </c>
      <c r="E53" s="23">
        <f>+IF(B53="","",INDEX(V_H_MANODEOBRA,MATCH(B53,L_PERSONAL,0)))</f>
        <v>22298.18181818182</v>
      </c>
      <c r="F53" s="3">
        <f>+$G$20</f>
        <v>38.200000000000003</v>
      </c>
      <c r="G53" s="26">
        <f>+IF(C53="","",(E53*C53)/F53)</f>
        <v>583.72203712517853</v>
      </c>
    </row>
    <row r="54" spans="2:7" x14ac:dyDescent="0.3">
      <c r="B54" s="27"/>
      <c r="C54" s="30"/>
      <c r="D54" s="22" t="str">
        <f>+IF(B54="","",INDEX(F_PRESTACIONAL,MATCH(B54,L_PERSONAL,)))</f>
        <v/>
      </c>
      <c r="E54" s="23" t="str">
        <f>+IF(B54="","",INDEX(V_H_MANODEOBRA,MATCH(B54,L_PERSONAL,0)))</f>
        <v/>
      </c>
      <c r="F54" s="3">
        <f>+$G$20</f>
        <v>38.200000000000003</v>
      </c>
      <c r="G54" s="26" t="str">
        <f>+IF(C54="","",(E54*C54)/F54)</f>
        <v/>
      </c>
    </row>
    <row r="55" spans="2:7" x14ac:dyDescent="0.3">
      <c r="B55" s="9"/>
      <c r="G55" s="26">
        <f>SUM(G50:G54)</f>
        <v>13486.591756306521</v>
      </c>
    </row>
    <row r="56" spans="2:7" ht="17.25" thickBot="1" x14ac:dyDescent="0.35">
      <c r="B56" s="9"/>
      <c r="G56" s="11"/>
    </row>
    <row r="57" spans="2:7" ht="17.25" thickBot="1" x14ac:dyDescent="0.35">
      <c r="B57" s="610" t="s">
        <v>98</v>
      </c>
      <c r="C57" s="611"/>
      <c r="D57" s="611"/>
      <c r="E57" s="611"/>
      <c r="F57" s="612"/>
      <c r="G57" s="66">
        <f>+G55+G47+G39+G28</f>
        <v>69522.301418372212</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8342.6761702046642</v>
      </c>
    </row>
    <row r="61" spans="2:7" x14ac:dyDescent="0.3">
      <c r="B61" s="613" t="s">
        <v>86</v>
      </c>
      <c r="C61" s="614"/>
      <c r="D61" s="614"/>
      <c r="E61" s="614"/>
      <c r="F61" s="22">
        <f>+IMPREVISTOS</f>
        <v>0.03</v>
      </c>
      <c r="G61" s="26">
        <f>+$G$57*F61</f>
        <v>2085.6690425511661</v>
      </c>
    </row>
    <row r="62" spans="2:7" x14ac:dyDescent="0.3">
      <c r="B62" s="613" t="s">
        <v>87</v>
      </c>
      <c r="C62" s="614"/>
      <c r="D62" s="614"/>
      <c r="E62" s="614"/>
      <c r="F62" s="22">
        <f>+UTILIDAD</f>
        <v>0.05</v>
      </c>
      <c r="G62" s="26">
        <f>+$G$57*F62</f>
        <v>3476.1150709186109</v>
      </c>
    </row>
    <row r="63" spans="2:7" x14ac:dyDescent="0.3">
      <c r="B63" s="596" t="s">
        <v>100</v>
      </c>
      <c r="C63" s="597"/>
      <c r="D63" s="597"/>
      <c r="E63" s="597"/>
      <c r="F63" s="597"/>
      <c r="G63" s="53">
        <f>SUM(G60:G62)</f>
        <v>13904.460283674442</v>
      </c>
    </row>
    <row r="64" spans="2:7" ht="17.25" thickBot="1" x14ac:dyDescent="0.35">
      <c r="B64" s="9"/>
      <c r="G64" s="44"/>
    </row>
    <row r="65" spans="2:7" ht="17.25" thickBot="1" x14ac:dyDescent="0.35">
      <c r="B65" s="598" t="s">
        <v>101</v>
      </c>
      <c r="C65" s="599"/>
      <c r="D65" s="599"/>
      <c r="E65" s="599"/>
      <c r="F65" s="600"/>
      <c r="G65" s="65">
        <f>+G63+G57</f>
        <v>83426.761702046657</v>
      </c>
    </row>
    <row r="66" spans="2:7" x14ac:dyDescent="0.3">
      <c r="B66" s="6"/>
      <c r="C66" s="7"/>
      <c r="D66" s="7"/>
      <c r="E66" s="7"/>
      <c r="F66" s="7"/>
      <c r="G66" s="8"/>
    </row>
    <row r="67" spans="2:7" x14ac:dyDescent="0.3">
      <c r="B67" s="9"/>
      <c r="G67" s="11"/>
    </row>
    <row r="68" spans="2:7" x14ac:dyDescent="0.3">
      <c r="B68" s="69" t="s">
        <v>123</v>
      </c>
      <c r="C68" s="67"/>
      <c r="D68" s="67"/>
      <c r="E68" s="67"/>
      <c r="F68" s="67"/>
      <c r="G68" s="70"/>
    </row>
    <row r="69" spans="2:7" x14ac:dyDescent="0.3">
      <c r="B69" s="71"/>
      <c r="C69" s="67"/>
      <c r="D69" s="67"/>
      <c r="E69" s="67"/>
      <c r="F69" s="67"/>
      <c r="G69" s="70"/>
    </row>
    <row r="70" spans="2:7" x14ac:dyDescent="0.3">
      <c r="B70" s="72"/>
      <c r="C70" s="68"/>
      <c r="D70" s="68"/>
      <c r="E70" s="68"/>
      <c r="F70" s="68"/>
      <c r="G70" s="73"/>
    </row>
    <row r="71" spans="2:7" x14ac:dyDescent="0.3">
      <c r="B71" s="71"/>
      <c r="C71" s="67"/>
      <c r="D71" s="67"/>
      <c r="E71" s="67"/>
      <c r="F71" s="67"/>
      <c r="G71" s="70"/>
    </row>
    <row r="72" spans="2:7" ht="17.25" thickBot="1" x14ac:dyDescent="0.35">
      <c r="B72" s="15"/>
      <c r="C72" s="13"/>
      <c r="D72" s="13"/>
      <c r="E72" s="13"/>
      <c r="F72" s="13"/>
      <c r="G72" s="14"/>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disablePrompts="1" count="5">
    <dataValidation type="list" allowBlank="1" showInputMessage="1" showErrorMessage="1" sqref="E102" xr:uid="{A5DC13DB-6465-4B7A-B286-829DC8BE8A81}">
      <formula1>$A$103:$A$105</formula1>
    </dataValidation>
    <dataValidation type="list" allowBlank="1" showInputMessage="1" showErrorMessage="1" sqref="B13" xr:uid="{3E3032F9-6442-4704-A24E-8F31A7C72768}">
      <formula1>ITEM</formula1>
    </dataValidation>
    <dataValidation type="list" allowBlank="1" showInputMessage="1" showErrorMessage="1" sqref="B50:B54" xr:uid="{C0FF91E2-BC74-4C68-B6C9-D53C0F4C0506}">
      <formula1>L_PERSONAL</formula1>
    </dataValidation>
    <dataValidation type="list" allowBlank="1" showInputMessage="1" showErrorMessage="1" sqref="B31:B38" xr:uid="{EEE2F5B9-9E67-45CA-ABBA-8F51FF312467}">
      <formula1>L_MATERIALES</formula1>
    </dataValidation>
    <dataValidation type="list" allowBlank="1" showInputMessage="1" showErrorMessage="1" sqref="B42:B46 B23:B27" xr:uid="{4010F93E-E5C1-4558-9FD3-595B64826A02}">
      <formula1>LISTA_MAQUINARIA</formula1>
    </dataValidation>
  </dataValidations>
  <pageMargins left="1.3779527559055118" right="0.70866141732283472" top="0.74803149606299213" bottom="0.74803149606299213" header="0.31496062992125984" footer="0.31496062992125984"/>
  <pageSetup scale="51" orientation="portrait" r:id="rId1"/>
  <rowBreaks count="1" manualBreakCount="1">
    <brk id="78" max="16383" man="1"/>
  </rowBreaks>
  <colBreaks count="1" manualBreakCount="1">
    <brk id="7" max="1048575" man="1"/>
  </colBreaks>
  <drawing r:id="rId2"/>
  <tableParts count="1">
    <tablePart r:id="rId3"/>
  </tableParts>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C4E6E7-24A7-42FA-A024-CD3AC5063D08}">
  <sheetPr codeName="Hoja79"/>
  <dimension ref="A1:P105"/>
  <sheetViews>
    <sheetView showGridLines="0" view="pageBreakPreview" topLeftCell="A64" zoomScale="60" zoomScaleNormal="60" workbookViewId="0">
      <selection activeCell="J35" sqref="J35"/>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9" width="8.625" customWidth="1"/>
    <col min="10" max="10" width="12" bestFit="1"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68</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18" t="str">
        <f>+IF($B$13="","",INDEX(DESCRIP_ITEM,MATCH($B$13,ITEM,0)))</f>
        <v>Excavación, relleno y compactación de Zanja tipo 2 para MT, sección (bxh) 0,72 m x 1.1 m. Incluye el perfilado del contorno de la zanja con las herramietas adecuadas,  la separación del descapote o capa orgánica con el resto del material excavado y la disposición del material excavado. En cualquier caso solo se permitirá un máximo de 10 cm de material de excavación sobre el nivel del terreno. Inlcuye suministro de cintas de señalización y arena  según las especificaciones del Anexo 005 Especificaciones Técnicas BOS Tepuy - EPM y los documentos de ingeniería (Layout zanjas MT y detalles). La compactación debe realizarse en capas y se deben ejecutar los correspondientes ensayos de densidad.</v>
      </c>
      <c r="C16" s="619"/>
      <c r="D16" s="619"/>
      <c r="E16" s="619"/>
      <c r="F16" s="619"/>
      <c r="G16" s="620"/>
    </row>
    <row r="17" spans="2:16" ht="105" customHeight="1" thickBot="1" x14ac:dyDescent="0.35">
      <c r="B17" s="621"/>
      <c r="C17" s="622"/>
      <c r="D17" s="622"/>
      <c r="E17" s="622"/>
      <c r="F17" s="622"/>
      <c r="G17" s="623"/>
    </row>
    <row r="18" spans="2:16" ht="17.25" thickBot="1" x14ac:dyDescent="0.35">
      <c r="B18" s="591"/>
      <c r="C18" s="579"/>
      <c r="D18" s="579"/>
      <c r="E18" s="579"/>
      <c r="G18" s="11"/>
    </row>
    <row r="19" spans="2:16" ht="17.25" thickBot="1" x14ac:dyDescent="0.35">
      <c r="B19" s="592"/>
      <c r="C19" s="593"/>
      <c r="D19" s="593"/>
      <c r="E19" s="593"/>
      <c r="F19" s="54" t="s">
        <v>89</v>
      </c>
      <c r="G19" s="25" t="str">
        <f>+IF(B13="","",INDEX(U_ITEM,MATCH(B13,ITEM,0)))</f>
        <v>ML</v>
      </c>
      <c r="H19" t="s">
        <v>572</v>
      </c>
      <c r="I19" t="s">
        <v>573</v>
      </c>
      <c r="J19" t="s">
        <v>574</v>
      </c>
    </row>
    <row r="20" spans="2:16" ht="17.25" thickBot="1" x14ac:dyDescent="0.35">
      <c r="B20" s="592"/>
      <c r="C20" s="593"/>
      <c r="D20" s="593"/>
      <c r="E20" s="593"/>
      <c r="F20" s="55" t="s">
        <v>90</v>
      </c>
      <c r="G20" s="56">
        <v>27</v>
      </c>
      <c r="H20">
        <f>0.72*1.1</f>
        <v>0.79200000000000004</v>
      </c>
      <c r="I20">
        <f>1/H20</f>
        <v>1.2626262626262625</v>
      </c>
      <c r="J20" s="294">
        <f>I20*G65</f>
        <v>157036.69552086518</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t="s">
        <v>405</v>
      </c>
      <c r="C23" s="3" t="str">
        <f>+IF(B23="","",INDEX(U_MAQUINARIA,MATCH(B23,LISTA_MAQUINARIA,0)))</f>
        <v>VALOR / HORA</v>
      </c>
      <c r="D23" s="30">
        <v>4</v>
      </c>
      <c r="E23" s="23">
        <f>+IF(B23="","",INDEX(V_MAQUINARIA,MATCH(B23,LISTA_MAQUINARIA,0)))</f>
        <v>134672.72727272729</v>
      </c>
      <c r="F23" s="3">
        <f>$G$20</f>
        <v>27</v>
      </c>
      <c r="G23" s="26">
        <f>+IF(B23="","",(D23*E23)/F23)</f>
        <v>19951.515151515156</v>
      </c>
      <c r="K23" s="9"/>
      <c r="L23" s="23">
        <f>IF(B23="","",INDEX(V_COMBUSTIBLE_H,MATCH(B23,LISTA_MAQUINARIA,0)))</f>
        <v>32400</v>
      </c>
      <c r="M23" s="23">
        <f>+IF(L23="","",(L23*D23)/F23)</f>
        <v>4800</v>
      </c>
      <c r="N23" s="23">
        <f>IF(G23="","",G23-M23)</f>
        <v>15151.515151515156</v>
      </c>
      <c r="P23" s="11"/>
    </row>
    <row r="24" spans="2:16" x14ac:dyDescent="0.3">
      <c r="B24" s="27" t="s">
        <v>449</v>
      </c>
      <c r="C24" s="3">
        <f>+IF(B24="","",INDEX(U_MAQUINARIA,MATCH(B24,LISTA_MAQUINARIA,0)))</f>
        <v>0</v>
      </c>
      <c r="D24" s="30">
        <v>2</v>
      </c>
      <c r="E24" s="23">
        <f>+IF(B24="","",INDEX(V_MAQUINARIA,MATCH(B24,LISTA_MAQUINARIA,0)))</f>
        <v>84381.818181818177</v>
      </c>
      <c r="F24" s="3">
        <f>$G$20</f>
        <v>27</v>
      </c>
      <c r="G24" s="26">
        <f>+IF(B24="","",(D24*E24)/F24)</f>
        <v>6250.5050505050503</v>
      </c>
      <c r="K24" s="9"/>
      <c r="L24" s="3">
        <f>IF(B24="","",INDEX(V_COMBUSTIBLE_H,MATCH(B24,LISTA_MAQUINARIA,0)))</f>
        <v>16200</v>
      </c>
      <c r="M24" s="3">
        <f>+IF(L24="","",(L24*D24)/F24)</f>
        <v>1200</v>
      </c>
      <c r="N24" s="3">
        <f>IF(G24="","",G24-M24)</f>
        <v>5050.5050505050503</v>
      </c>
      <c r="P24" s="11"/>
    </row>
    <row r="25" spans="2:16" x14ac:dyDescent="0.3">
      <c r="B25" s="27" t="s">
        <v>452</v>
      </c>
      <c r="C25" s="3">
        <f>+IF(B25="","",INDEX(U_MAQUINARIA,MATCH(B25,LISTA_MAQUINARIA,0)))</f>
        <v>0</v>
      </c>
      <c r="D25" s="30">
        <v>2</v>
      </c>
      <c r="E25" s="23">
        <f>+IF(B25="","",INDEX(V_MAQUINARIA,MATCH(B25,LISTA_MAQUINARIA,0)))</f>
        <v>33527.272727272728</v>
      </c>
      <c r="F25" s="3">
        <f>$G$20</f>
        <v>27</v>
      </c>
      <c r="G25" s="26">
        <f>+IF(B25="","",(D25*E25)/F25)</f>
        <v>2483.5016835016836</v>
      </c>
      <c r="K25" s="9"/>
      <c r="L25" s="3">
        <f>IF(B25="","",INDEX(V_COMBUSTIBLE_H,MATCH(B25,LISTA_MAQUINARIA,0)))</f>
        <v>10800</v>
      </c>
      <c r="M25" s="3">
        <f>+IF(L25="","",(L25*D25)/F25)</f>
        <v>800</v>
      </c>
      <c r="N25" s="3">
        <f>IF(G25="","",G25-M25)</f>
        <v>1683.5016835016836</v>
      </c>
      <c r="P25" s="11"/>
    </row>
    <row r="26" spans="2:16" x14ac:dyDescent="0.3">
      <c r="B26" s="27" t="s">
        <v>453</v>
      </c>
      <c r="C26" s="3">
        <f>+IF(B26="","",INDEX(U_MAQUINARIA,MATCH(B26,LISTA_MAQUINARIA,0)))</f>
        <v>0</v>
      </c>
      <c r="D26" s="30">
        <v>3</v>
      </c>
      <c r="E26" s="23">
        <f>+IF(B26="","",INDEX(V_MAQUINARIA,MATCH(B26,LISTA_MAQUINARIA,0)))</f>
        <v>27845.454545454544</v>
      </c>
      <c r="F26" s="3">
        <f>$G$20</f>
        <v>27</v>
      </c>
      <c r="G26" s="26">
        <f>+IF(B26="","",(D26*E26)/F26)</f>
        <v>3093.939393939394</v>
      </c>
      <c r="K26" s="9"/>
      <c r="L26" s="3">
        <f>IF(B26="","",INDEX(V_COMBUSTIBLE_H,MATCH(B26,LISTA_MAQUINARIA,0)))</f>
        <v>10800</v>
      </c>
      <c r="M26" s="3">
        <f>+IF(L26="","",(L26*D26)/F26)</f>
        <v>1200</v>
      </c>
      <c r="N26" s="3">
        <f>IF(G26="","",G26-M26)</f>
        <v>1893.939393939394</v>
      </c>
      <c r="P26" s="11"/>
    </row>
    <row r="27" spans="2:16" x14ac:dyDescent="0.3">
      <c r="B27" s="27"/>
      <c r="C27" s="3" t="str">
        <f>+IF(B27="","",INDEX(U_MAQUINARIA,MATCH(B27,LISTA_MAQUINARIA,0)))</f>
        <v/>
      </c>
      <c r="D27" s="30"/>
      <c r="E27" s="23" t="str">
        <f>+IF(B27="","",INDEX(V_MAQUINARIA,MATCH(B27,LISTA_MAQUINARIA,0)))</f>
        <v/>
      </c>
      <c r="F27" s="3">
        <f>$G$20</f>
        <v>27</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31779.461279461284</v>
      </c>
      <c r="K28" s="9"/>
      <c r="M28" s="24">
        <f>SUM(M23:M27)</f>
        <v>8000</v>
      </c>
      <c r="N28" s="24">
        <f>SUM(N23:N27)</f>
        <v>23779.461279461284</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t="s">
        <v>361</v>
      </c>
      <c r="C31" s="3" t="str">
        <f t="shared" ref="C31:C38" si="0">+IF(B31="","",INDEX(U_MATERIAL,MATCH(B31,L_MATERIALES,0)))</f>
        <v>UND</v>
      </c>
      <c r="D31" s="30">
        <v>1</v>
      </c>
      <c r="E31" s="23">
        <f t="shared" ref="E31:E38" si="1">+IF(B31="","",INDEX(V_UNITARIOMATERIAL,MATCH(B31,L_MATERIALES,0)))</f>
        <v>340000</v>
      </c>
      <c r="F31" s="30">
        <v>1000</v>
      </c>
      <c r="G31" s="26">
        <f>IF(D31="","",(E31*D31)/F31)</f>
        <v>340</v>
      </c>
      <c r="K31" s="9"/>
      <c r="L31" t="str">
        <f>+IF(B31="","",B31)</f>
        <v>HERRAMIENTA MENOR---</v>
      </c>
      <c r="M31">
        <f t="shared" ref="M31:M38" si="2">IF(D31="","",(D31/F31)*INDEX(CANT_PROYECTO,MATCH($B$13,ITEM,0)))</f>
        <v>1.2</v>
      </c>
      <c r="N31" s="1"/>
      <c r="P31" s="11"/>
    </row>
    <row r="32" spans="2:16" x14ac:dyDescent="0.3">
      <c r="B32" s="27" t="s">
        <v>411</v>
      </c>
      <c r="C32" s="3" t="str">
        <f t="shared" si="0"/>
        <v>M3</v>
      </c>
      <c r="D32" s="30">
        <f>0.72*0.6*1.3</f>
        <v>0.56159999999999999</v>
      </c>
      <c r="E32" s="23">
        <f t="shared" si="1"/>
        <v>86000</v>
      </c>
      <c r="F32" s="30">
        <v>1</v>
      </c>
      <c r="G32" s="26">
        <f t="shared" ref="G32:G38" si="3">IF(D32="","",(E32*D32)/F32)</f>
        <v>48297.599999999999</v>
      </c>
      <c r="K32" s="9"/>
      <c r="L32" t="str">
        <f t="shared" ref="L32:L38" si="4">+IF(B32="","",B32)</f>
        <v>ARENA ---</v>
      </c>
      <c r="M32">
        <f t="shared" si="2"/>
        <v>673.92</v>
      </c>
      <c r="N32" s="1"/>
      <c r="P32" s="11"/>
    </row>
    <row r="33" spans="2:16" x14ac:dyDescent="0.3">
      <c r="B33" s="27" t="s">
        <v>407</v>
      </c>
      <c r="C33" s="3" t="str">
        <f t="shared" si="0"/>
        <v>ML</v>
      </c>
      <c r="D33" s="30">
        <v>1</v>
      </c>
      <c r="E33" s="23">
        <f t="shared" si="1"/>
        <v>400</v>
      </c>
      <c r="F33" s="30">
        <v>1</v>
      </c>
      <c r="G33" s="26">
        <f t="shared" si="3"/>
        <v>400</v>
      </c>
      <c r="K33" s="9"/>
      <c r="L33" t="str">
        <f t="shared" si="4"/>
        <v>CINTA PRECAUCION ---</v>
      </c>
      <c r="M33">
        <f t="shared" si="2"/>
        <v>1200</v>
      </c>
      <c r="N33" s="1"/>
      <c r="P33" s="11"/>
    </row>
    <row r="34" spans="2:16" x14ac:dyDescent="0.3">
      <c r="B34" s="27"/>
      <c r="C34" s="3" t="str">
        <f t="shared" si="0"/>
        <v/>
      </c>
      <c r="D34" s="30"/>
      <c r="E34" s="23" t="str">
        <f t="shared" si="1"/>
        <v/>
      </c>
      <c r="F34" s="30"/>
      <c r="G34" s="26" t="str">
        <f t="shared" si="3"/>
        <v/>
      </c>
      <c r="K34" s="9"/>
      <c r="L34" t="str">
        <f t="shared" si="4"/>
        <v/>
      </c>
      <c r="M34" t="str">
        <f t="shared" si="2"/>
        <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49037.599999999999</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t="s">
        <v>455</v>
      </c>
      <c r="C42" s="3">
        <f>+IF(B42="","",INDEX(U_MAQUINARIA,MATCH(B42,LISTA_MAQUINARIA,0)))</f>
        <v>0</v>
      </c>
      <c r="D42" s="30">
        <v>1</v>
      </c>
      <c r="E42" s="23">
        <f>+IF(B42="","",INDEX(V_MAQUINARIA,MATCH(B42,LISTA_MAQUINARIA,0)))</f>
        <v>101145.45454545454</v>
      </c>
      <c r="F42" s="3">
        <f>$G$20</f>
        <v>27</v>
      </c>
      <c r="G42" s="26">
        <f>IF(D42="","",(E42*D42)/F42)</f>
        <v>3746.127946127946</v>
      </c>
      <c r="K42" s="9"/>
      <c r="L42" s="23">
        <f>IF(B42="","",INDEX(V_COMBUSTIBLE_H,MATCH(B42,LISTA_MAQUINARIA,0)))</f>
        <v>21600</v>
      </c>
      <c r="M42" s="23">
        <f>+IF(L42="","",(L42*D42)/F42)</f>
        <v>800</v>
      </c>
      <c r="N42" s="23">
        <f>IF(G42="","",G42-M42)</f>
        <v>2946.127946127946</v>
      </c>
      <c r="P42" s="11"/>
    </row>
    <row r="43" spans="2:16" x14ac:dyDescent="0.3">
      <c r="B43" s="27"/>
      <c r="C43" s="3" t="str">
        <f>+IF(B43="","",INDEX(U_MAQUINARIA,MATCH(B43,LISTA_MAQUINARIA,0)))</f>
        <v/>
      </c>
      <c r="D43" s="30"/>
      <c r="E43" s="23" t="str">
        <f>+IF(B43="","",INDEX(V_MAQUINARIA,MATCH(B43,LISTA_MAQUINARIA,0)))</f>
        <v/>
      </c>
      <c r="F43" s="3">
        <f>+$G$20</f>
        <v>27</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27</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27</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27</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3746.127946127946</v>
      </c>
      <c r="K47" s="9"/>
      <c r="M47" s="24">
        <f>SUM(M42:M46)</f>
        <v>800</v>
      </c>
      <c r="N47" s="24">
        <f>SUM(N42:N46)</f>
        <v>2946.127946127946</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t="s">
        <v>304</v>
      </c>
      <c r="C50" s="30">
        <v>6</v>
      </c>
      <c r="D50" s="22">
        <f>+IF(B50="","",INDEX(F_PRESTACIONAL,MATCH(B50,L_PERSONAL,)))</f>
        <v>1.6352</v>
      </c>
      <c r="E50" s="23">
        <f>+IF(B50="","",INDEX(V_H_MANODEOBRA,MATCH(B50,L_PERSONAL,0)))</f>
        <v>24658.815999999999</v>
      </c>
      <c r="F50" s="3">
        <f>+$G$20</f>
        <v>27</v>
      </c>
      <c r="G50" s="26">
        <f>+IF(C50="","",(E50*C50)/F50)</f>
        <v>5479.7368888888896</v>
      </c>
    </row>
    <row r="51" spans="2:7" x14ac:dyDescent="0.3">
      <c r="B51" s="27" t="s">
        <v>305</v>
      </c>
      <c r="C51" s="30">
        <v>6</v>
      </c>
      <c r="D51" s="22">
        <f>+IF(B51="","",INDEX(F_PRESTACIONAL,MATCH(B51,L_PERSONAL,)))</f>
        <v>2.2351999999999999</v>
      </c>
      <c r="E51" s="23">
        <f>+IF(B51="","",INDEX(V_H_MANODEOBRA,MATCH(B51,L_PERSONAL,0)))</f>
        <v>50800</v>
      </c>
      <c r="F51" s="3">
        <f>+$G$20</f>
        <v>27</v>
      </c>
      <c r="G51" s="26">
        <f>+IF(C51="","",(E51*C51)/F51)</f>
        <v>11288.888888888889</v>
      </c>
    </row>
    <row r="52" spans="2:7" x14ac:dyDescent="0.3">
      <c r="B52" s="27" t="s">
        <v>298</v>
      </c>
      <c r="C52" s="30">
        <v>1</v>
      </c>
      <c r="D52" s="22">
        <f>+IF(B52="","",INDEX(F_PRESTACIONAL,MATCH(B52,L_PERSONAL,)))</f>
        <v>1.6352</v>
      </c>
      <c r="E52" s="23">
        <f>+IF(B52="","",INDEX(V_H_MANODEOBRA,MATCH(B52,L_PERSONAL,0)))</f>
        <v>40136.727272727272</v>
      </c>
      <c r="F52" s="3">
        <f>+$G$20</f>
        <v>27</v>
      </c>
      <c r="G52" s="26">
        <f>+IF(C52="","",(E52*C52)/F52)</f>
        <v>1486.5454545454545</v>
      </c>
    </row>
    <row r="53" spans="2:7" x14ac:dyDescent="0.3">
      <c r="B53" s="27" t="s">
        <v>299</v>
      </c>
      <c r="C53" s="30">
        <v>1</v>
      </c>
      <c r="D53" s="22">
        <f>+IF(B53="","",INDEX(F_PRESTACIONAL,MATCH(B53,L_PERSONAL,)))</f>
        <v>1.6352</v>
      </c>
      <c r="E53" s="23">
        <f>+IF(B53="","",INDEX(V_H_MANODEOBRA,MATCH(B53,L_PERSONAL,0)))</f>
        <v>22298.18181818182</v>
      </c>
      <c r="F53" s="3">
        <f>+$G$20</f>
        <v>27</v>
      </c>
      <c r="G53" s="26">
        <f>+IF(C53="","",(E53*C53)/F53)</f>
        <v>825.85858585858591</v>
      </c>
    </row>
    <row r="54" spans="2:7" x14ac:dyDescent="0.3">
      <c r="B54" s="27"/>
      <c r="C54" s="30"/>
      <c r="D54" s="22" t="str">
        <f>+IF(B54="","",INDEX(F_PRESTACIONAL,MATCH(B54,L_PERSONAL,)))</f>
        <v/>
      </c>
      <c r="E54" s="23" t="str">
        <f>+IF(B54="","",INDEX(V_H_MANODEOBRA,MATCH(B54,L_PERSONAL,0)))</f>
        <v/>
      </c>
      <c r="F54" s="3">
        <f>+$G$20</f>
        <v>27</v>
      </c>
      <c r="G54" s="26" t="str">
        <f>+IF(C54="","",(E54*C54)/F54)</f>
        <v/>
      </c>
    </row>
    <row r="55" spans="2:7" x14ac:dyDescent="0.3">
      <c r="B55" s="9"/>
      <c r="G55" s="26">
        <f>SUM(G50:G54)</f>
        <v>19081.029818181822</v>
      </c>
    </row>
    <row r="56" spans="2:7" ht="17.25" thickBot="1" x14ac:dyDescent="0.35">
      <c r="B56" s="9"/>
      <c r="G56" s="11"/>
    </row>
    <row r="57" spans="2:7" ht="17.25" thickBot="1" x14ac:dyDescent="0.35">
      <c r="B57" s="610" t="s">
        <v>98</v>
      </c>
      <c r="C57" s="611"/>
      <c r="D57" s="611"/>
      <c r="E57" s="611"/>
      <c r="F57" s="612"/>
      <c r="G57" s="66">
        <f>+G55+G47+G39+G28</f>
        <v>103644.21904377104</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12437.306285252524</v>
      </c>
    </row>
    <row r="61" spans="2:7" x14ac:dyDescent="0.3">
      <c r="B61" s="613" t="s">
        <v>86</v>
      </c>
      <c r="C61" s="614"/>
      <c r="D61" s="614"/>
      <c r="E61" s="614"/>
      <c r="F61" s="22">
        <f>+IMPREVISTOS</f>
        <v>0.03</v>
      </c>
      <c r="G61" s="26">
        <f>+$G$57*F61</f>
        <v>3109.3265713131309</v>
      </c>
    </row>
    <row r="62" spans="2:7" x14ac:dyDescent="0.3">
      <c r="B62" s="613" t="s">
        <v>87</v>
      </c>
      <c r="C62" s="614"/>
      <c r="D62" s="614"/>
      <c r="E62" s="614"/>
      <c r="F62" s="22">
        <f>+UTILIDAD</f>
        <v>0.05</v>
      </c>
      <c r="G62" s="26">
        <f>+$G$57*F62</f>
        <v>5182.2109521885523</v>
      </c>
    </row>
    <row r="63" spans="2:7" x14ac:dyDescent="0.3">
      <c r="B63" s="596" t="s">
        <v>100</v>
      </c>
      <c r="C63" s="597"/>
      <c r="D63" s="597"/>
      <c r="E63" s="597"/>
      <c r="F63" s="597"/>
      <c r="G63" s="53">
        <f>SUM(G60:G62)</f>
        <v>20728.843808754209</v>
      </c>
    </row>
    <row r="64" spans="2:7" ht="17.25" thickBot="1" x14ac:dyDescent="0.35">
      <c r="B64" s="9"/>
      <c r="G64" s="44"/>
    </row>
    <row r="65" spans="2:7" ht="17.25" thickBot="1" x14ac:dyDescent="0.35">
      <c r="B65" s="598" t="s">
        <v>101</v>
      </c>
      <c r="C65" s="599"/>
      <c r="D65" s="599"/>
      <c r="E65" s="599"/>
      <c r="F65" s="600"/>
      <c r="G65" s="65">
        <f>+G63+G57</f>
        <v>124373.06285252524</v>
      </c>
    </row>
    <row r="66" spans="2:7" x14ac:dyDescent="0.3">
      <c r="B66" s="6"/>
      <c r="C66" s="7"/>
      <c r="D66" s="7"/>
      <c r="E66" s="7"/>
      <c r="F66" s="7"/>
      <c r="G66" s="8"/>
    </row>
    <row r="67" spans="2:7" x14ac:dyDescent="0.3">
      <c r="B67" s="9"/>
      <c r="G67" s="11"/>
    </row>
    <row r="68" spans="2:7" x14ac:dyDescent="0.3">
      <c r="B68" s="69" t="s">
        <v>123</v>
      </c>
      <c r="C68" s="67"/>
      <c r="D68" s="67"/>
      <c r="E68" s="67"/>
      <c r="F68" s="67"/>
      <c r="G68" s="70"/>
    </row>
    <row r="69" spans="2:7" x14ac:dyDescent="0.3">
      <c r="B69" s="71"/>
      <c r="C69" s="67"/>
      <c r="D69" s="67"/>
      <c r="E69" s="67"/>
      <c r="F69" s="67"/>
      <c r="G69" s="70"/>
    </row>
    <row r="70" spans="2:7" x14ac:dyDescent="0.3">
      <c r="B70" s="72"/>
      <c r="C70" s="68"/>
      <c r="D70" s="68"/>
      <c r="E70" s="68"/>
      <c r="F70" s="68"/>
      <c r="G70" s="73"/>
    </row>
    <row r="71" spans="2:7" x14ac:dyDescent="0.3">
      <c r="B71" s="71"/>
      <c r="C71" s="67"/>
      <c r="D71" s="67"/>
      <c r="E71" s="67"/>
      <c r="F71" s="67"/>
      <c r="G71" s="70"/>
    </row>
    <row r="72" spans="2:7" ht="17.25" thickBot="1" x14ac:dyDescent="0.35">
      <c r="B72" s="15"/>
      <c r="C72" s="13"/>
      <c r="D72" s="13"/>
      <c r="E72" s="13"/>
      <c r="F72" s="13"/>
      <c r="G72" s="14"/>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count="5">
    <dataValidation type="list" allowBlank="1" showInputMessage="1" showErrorMessage="1" sqref="E102" xr:uid="{6C6E8F23-988E-42C8-BCCB-B47EB09786B3}">
      <formula1>$A$103:$A$105</formula1>
    </dataValidation>
    <dataValidation type="list" allowBlank="1" showInputMessage="1" showErrorMessage="1" sqref="B13" xr:uid="{003F0A43-B504-4237-B549-DEBCC9CF3C6D}">
      <formula1>ITEM</formula1>
    </dataValidation>
    <dataValidation type="list" allowBlank="1" showInputMessage="1" showErrorMessage="1" sqref="B50:B54" xr:uid="{6D28B487-F1C2-45C5-8F6C-1970F6F84945}">
      <formula1>L_PERSONAL</formula1>
    </dataValidation>
    <dataValidation type="list" allowBlank="1" showInputMessage="1" showErrorMessage="1" sqref="B31:B38" xr:uid="{2FDE66FA-9EB9-49B2-BE6D-316829C870E0}">
      <formula1>L_MATERIALES</formula1>
    </dataValidation>
    <dataValidation type="list" allowBlank="1" showInputMessage="1" showErrorMessage="1" sqref="B42:B46 B23:B27" xr:uid="{27C88385-C3CF-4D1B-B51C-DDE323622CB9}">
      <formula1>LISTA_MAQUINARIA</formula1>
    </dataValidation>
  </dataValidations>
  <pageMargins left="1.3779527559055118" right="0.70866141732283472" top="0.74803149606299213" bottom="0.74803149606299213" header="0.31496062992125984" footer="0.31496062992125984"/>
  <pageSetup scale="51" orientation="portrait" r:id="rId1"/>
  <rowBreaks count="1" manualBreakCount="1">
    <brk id="78" max="16383" man="1"/>
  </rowBreaks>
  <colBreaks count="1" manualBreakCount="1">
    <brk id="7" max="1048575" man="1"/>
  </colBreaks>
  <drawing r:id="rId2"/>
  <tableParts count="1">
    <tablePart r:id="rId3"/>
  </tableParts>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3024B5-7DF7-4DB4-8F7F-F1E20C33F7FD}">
  <sheetPr codeName="Hoja80"/>
  <dimension ref="A1:P105"/>
  <sheetViews>
    <sheetView showGridLines="0" view="pageBreakPreview" topLeftCell="A56" zoomScale="60" zoomScaleNormal="60" workbookViewId="0">
      <selection activeCell="J35" sqref="J35"/>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9" width="17.125" bestFit="1" customWidth="1"/>
    <col min="10" max="10" width="12.375" bestFit="1"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69</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18" t="str">
        <f>+IF($B$13="","",INDEX(DESCRIP_ITEM,MATCH($B$13,ITEM,0)))</f>
        <v>Excavación, relleno y compactación de Zanja tipo 3 para MT, sección (bxh) 0,72 m x 1.36 m. Incluye el perfilado del contorno de la zanja con las herramietas adecuadas,  la separación del descapote o capa orgánica con el resto del material excavado y la disposición del material excavado. En cualquier caso solo se permitirá un máximo de 10 cm de material de excavación sobre el nivel del terreno. Inlcuye suministro de cintas de señalización y arena  según las especificaciones del Anexo 005 Especificaciones Técnicas BOS Tepuy - EPM y los documentos de ingeniería (Layout zanjas MT y detalles). La compactación debe realizarse en capas y se deben ejecutar los correspondientes ensayos de densidad.</v>
      </c>
      <c r="C16" s="619"/>
      <c r="D16" s="619"/>
      <c r="E16" s="619"/>
      <c r="F16" s="619"/>
      <c r="G16" s="620"/>
    </row>
    <row r="17" spans="2:16" ht="102" customHeight="1" thickBot="1" x14ac:dyDescent="0.35">
      <c r="B17" s="621"/>
      <c r="C17" s="622"/>
      <c r="D17" s="622"/>
      <c r="E17" s="622"/>
      <c r="F17" s="622"/>
      <c r="G17" s="623"/>
    </row>
    <row r="18" spans="2:16" ht="17.25" thickBot="1" x14ac:dyDescent="0.35">
      <c r="B18" s="591"/>
      <c r="C18" s="579"/>
      <c r="D18" s="579"/>
      <c r="E18" s="579"/>
      <c r="G18" s="11"/>
    </row>
    <row r="19" spans="2:16" ht="17.25" thickBot="1" x14ac:dyDescent="0.35">
      <c r="B19" s="592"/>
      <c r="C19" s="593"/>
      <c r="D19" s="593"/>
      <c r="E19" s="593"/>
      <c r="F19" s="54" t="s">
        <v>89</v>
      </c>
      <c r="G19" s="25" t="str">
        <f>+IF(B13="","",INDEX(U_ITEM,MATCH(B13,ITEM,0)))</f>
        <v>ML</v>
      </c>
      <c r="H19" t="s">
        <v>572</v>
      </c>
      <c r="I19" t="s">
        <v>573</v>
      </c>
      <c r="J19" t="s">
        <v>574</v>
      </c>
    </row>
    <row r="20" spans="2:16" ht="17.25" thickBot="1" x14ac:dyDescent="0.35">
      <c r="B20" s="592"/>
      <c r="C20" s="593"/>
      <c r="D20" s="593"/>
      <c r="E20" s="593"/>
      <c r="F20" s="55" t="s">
        <v>90</v>
      </c>
      <c r="G20" s="56">
        <v>19.399999999999999</v>
      </c>
      <c r="H20">
        <f>0.72*1.36</f>
        <v>0.97920000000000007</v>
      </c>
      <c r="I20">
        <f>1/H20</f>
        <v>1.0212418300653594</v>
      </c>
      <c r="J20" s="294">
        <f>I20*G65</f>
        <v>153231.00832460445</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t="s">
        <v>405</v>
      </c>
      <c r="C23" s="3" t="str">
        <f>+IF(B23="","",INDEX(U_MAQUINARIA,MATCH(B23,LISTA_MAQUINARIA,0)))</f>
        <v>VALOR / HORA</v>
      </c>
      <c r="D23" s="30">
        <v>4</v>
      </c>
      <c r="E23" s="23">
        <f>+IF(B23="","",INDEX(V_MAQUINARIA,MATCH(B23,LISTA_MAQUINARIA,0)))</f>
        <v>134672.72727272729</v>
      </c>
      <c r="F23" s="3">
        <f>$G$20</f>
        <v>19.399999999999999</v>
      </c>
      <c r="G23" s="26">
        <f>+IF(B23="","",(D23*E23)/F23)</f>
        <v>27767.572633552023</v>
      </c>
      <c r="K23" s="9"/>
      <c r="L23" s="23">
        <f>IF(B23="","",INDEX(V_COMBUSTIBLE_H,MATCH(B23,LISTA_MAQUINARIA,0)))</f>
        <v>32400</v>
      </c>
      <c r="M23" s="23">
        <f>+IF(L23="","",(L23*D23)/F23)</f>
        <v>6680.4123711340208</v>
      </c>
      <c r="N23" s="23">
        <f>IF(G23="","",G23-M23)</f>
        <v>21087.160262418001</v>
      </c>
      <c r="P23" s="11"/>
    </row>
    <row r="24" spans="2:16" x14ac:dyDescent="0.3">
      <c r="B24" s="27" t="s">
        <v>449</v>
      </c>
      <c r="C24" s="3">
        <f>+IF(B24="","",INDEX(U_MAQUINARIA,MATCH(B24,LISTA_MAQUINARIA,0)))</f>
        <v>0</v>
      </c>
      <c r="D24" s="30">
        <v>2</v>
      </c>
      <c r="E24" s="23">
        <f>+IF(B24="","",INDEX(V_MAQUINARIA,MATCH(B24,LISTA_MAQUINARIA,0)))</f>
        <v>84381.818181818177</v>
      </c>
      <c r="F24" s="3">
        <f>$G$20</f>
        <v>19.399999999999999</v>
      </c>
      <c r="G24" s="26">
        <f>+IF(B24="","",(D24*E24)/F24)</f>
        <v>8699.1565135895034</v>
      </c>
      <c r="K24" s="9"/>
      <c r="L24" s="3">
        <f>IF(B24="","",INDEX(V_COMBUSTIBLE_H,MATCH(B24,LISTA_MAQUINARIA,0)))</f>
        <v>16200</v>
      </c>
      <c r="M24" s="3">
        <f>+IF(L24="","",(L24*D24)/F24)</f>
        <v>1670.1030927835052</v>
      </c>
      <c r="N24" s="3">
        <f>IF(G24="","",G24-M24)</f>
        <v>7029.053420805998</v>
      </c>
      <c r="P24" s="11"/>
    </row>
    <row r="25" spans="2:16" x14ac:dyDescent="0.3">
      <c r="B25" s="27" t="s">
        <v>452</v>
      </c>
      <c r="C25" s="3">
        <f>+IF(B25="","",INDEX(U_MAQUINARIA,MATCH(B25,LISTA_MAQUINARIA,0)))</f>
        <v>0</v>
      </c>
      <c r="D25" s="30">
        <v>2</v>
      </c>
      <c r="E25" s="23">
        <f>+IF(B25="","",INDEX(V_MAQUINARIA,MATCH(B25,LISTA_MAQUINARIA,0)))</f>
        <v>33527.272727272728</v>
      </c>
      <c r="F25" s="3">
        <f>$G$20</f>
        <v>19.399999999999999</v>
      </c>
      <c r="G25" s="26">
        <f>+IF(B25="","",(D25*E25)/F25)</f>
        <v>3456.419868791003</v>
      </c>
      <c r="K25" s="9"/>
      <c r="L25" s="3">
        <f>IF(B25="","",INDEX(V_COMBUSTIBLE_H,MATCH(B25,LISTA_MAQUINARIA,0)))</f>
        <v>10800</v>
      </c>
      <c r="M25" s="3">
        <f>+IF(L25="","",(L25*D25)/F25)</f>
        <v>1113.4020618556701</v>
      </c>
      <c r="N25" s="3">
        <f>IF(G25="","",G25-M25)</f>
        <v>2343.0178069353328</v>
      </c>
      <c r="P25" s="11"/>
    </row>
    <row r="26" spans="2:16" x14ac:dyDescent="0.3">
      <c r="B26" s="27" t="s">
        <v>453</v>
      </c>
      <c r="C26" s="3">
        <f>+IF(B26="","",INDEX(U_MAQUINARIA,MATCH(B26,LISTA_MAQUINARIA,0)))</f>
        <v>0</v>
      </c>
      <c r="D26" s="30">
        <v>3</v>
      </c>
      <c r="E26" s="23">
        <f>+IF(B26="","",INDEX(V_MAQUINARIA,MATCH(B26,LISTA_MAQUINARIA,0)))</f>
        <v>27845.454545454544</v>
      </c>
      <c r="F26" s="3">
        <f>$G$20</f>
        <v>19.399999999999999</v>
      </c>
      <c r="G26" s="26">
        <f>+IF(B26="","",(D26*E26)/F26)</f>
        <v>4305.9981255857547</v>
      </c>
      <c r="K26" s="9"/>
      <c r="L26" s="3">
        <f>IF(B26="","",INDEX(V_COMBUSTIBLE_H,MATCH(B26,LISTA_MAQUINARIA,0)))</f>
        <v>10800</v>
      </c>
      <c r="M26" s="3">
        <f>+IF(L26="","",(L26*D26)/F26)</f>
        <v>1670.1030927835052</v>
      </c>
      <c r="N26" s="3">
        <f>IF(G26="","",G26-M26)</f>
        <v>2635.8950328022493</v>
      </c>
      <c r="P26" s="11"/>
    </row>
    <row r="27" spans="2:16" x14ac:dyDescent="0.3">
      <c r="B27" s="27"/>
      <c r="C27" s="3" t="str">
        <f>+IF(B27="","",INDEX(U_MAQUINARIA,MATCH(B27,LISTA_MAQUINARIA,0)))</f>
        <v/>
      </c>
      <c r="D27" s="30"/>
      <c r="E27" s="23" t="str">
        <f>+IF(B27="","",INDEX(V_MAQUINARIA,MATCH(B27,LISTA_MAQUINARIA,0)))</f>
        <v/>
      </c>
      <c r="F27" s="3">
        <f>$G$20</f>
        <v>19.399999999999999</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44229.147141518282</v>
      </c>
      <c r="K28" s="9"/>
      <c r="M28" s="24">
        <f>SUM(M23:M27)</f>
        <v>11134.0206185567</v>
      </c>
      <c r="N28" s="24">
        <f>SUM(N23:N27)</f>
        <v>33095.126522961582</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t="s">
        <v>361</v>
      </c>
      <c r="C31" s="3" t="str">
        <f t="shared" ref="C31:C38" si="0">+IF(B31="","",INDEX(U_MATERIAL,MATCH(B31,L_MATERIALES,0)))</f>
        <v>UND</v>
      </c>
      <c r="D31" s="30">
        <v>1</v>
      </c>
      <c r="E31" s="23">
        <f t="shared" ref="E31:E38" si="1">+IF(B31="","",INDEX(V_UNITARIOMATERIAL,MATCH(B31,L_MATERIALES,0)))</f>
        <v>340000</v>
      </c>
      <c r="F31" s="30">
        <v>1000</v>
      </c>
      <c r="G31" s="26">
        <f>IF(D31="","",(E31*D31)/F31)</f>
        <v>340</v>
      </c>
      <c r="K31" s="9"/>
      <c r="L31" t="str">
        <f>+IF(B31="","",B31)</f>
        <v>HERRAMIENTA MENOR---</v>
      </c>
      <c r="M31">
        <f t="shared" ref="M31:M38" si="2">IF(D31="","",(D31/F31)*INDEX(CANT_PROYECTO,MATCH($B$13,ITEM,0)))</f>
        <v>0.91500000000000004</v>
      </c>
      <c r="N31" s="1"/>
      <c r="P31" s="11"/>
    </row>
    <row r="32" spans="2:16" x14ac:dyDescent="0.3">
      <c r="B32" s="27" t="s">
        <v>411</v>
      </c>
      <c r="C32" s="3" t="str">
        <f t="shared" si="0"/>
        <v>M3</v>
      </c>
      <c r="D32" s="30">
        <f>0.72*0.6*1.3</f>
        <v>0.56159999999999999</v>
      </c>
      <c r="E32" s="23">
        <f t="shared" si="1"/>
        <v>86000</v>
      </c>
      <c r="F32" s="30">
        <v>1</v>
      </c>
      <c r="G32" s="26">
        <f t="shared" ref="G32:G38" si="3">IF(D32="","",(E32*D32)/F32)</f>
        <v>48297.599999999999</v>
      </c>
      <c r="K32" s="9"/>
      <c r="L32" t="str">
        <f t="shared" ref="L32:L38" si="4">+IF(B32="","",B32)</f>
        <v>ARENA ---</v>
      </c>
      <c r="M32">
        <f t="shared" si="2"/>
        <v>513.86400000000003</v>
      </c>
      <c r="N32" s="1"/>
      <c r="P32" s="11"/>
    </row>
    <row r="33" spans="2:16" x14ac:dyDescent="0.3">
      <c r="B33" s="27" t="s">
        <v>407</v>
      </c>
      <c r="C33" s="3" t="str">
        <f t="shared" si="0"/>
        <v>ML</v>
      </c>
      <c r="D33" s="30">
        <v>1</v>
      </c>
      <c r="E33" s="23">
        <f t="shared" si="1"/>
        <v>400</v>
      </c>
      <c r="F33" s="30">
        <v>1</v>
      </c>
      <c r="G33" s="26">
        <f t="shared" si="3"/>
        <v>400</v>
      </c>
      <c r="K33" s="9"/>
      <c r="L33" t="str">
        <f t="shared" si="4"/>
        <v>CINTA PRECAUCION ---</v>
      </c>
      <c r="M33">
        <f t="shared" si="2"/>
        <v>915</v>
      </c>
      <c r="N33" s="1"/>
      <c r="P33" s="11"/>
    </row>
    <row r="34" spans="2:16" x14ac:dyDescent="0.3">
      <c r="B34" s="27"/>
      <c r="C34" s="3" t="str">
        <f t="shared" si="0"/>
        <v/>
      </c>
      <c r="D34" s="30"/>
      <c r="E34" s="23" t="str">
        <f t="shared" si="1"/>
        <v/>
      </c>
      <c r="F34" s="30"/>
      <c r="G34" s="26" t="str">
        <f t="shared" si="3"/>
        <v/>
      </c>
      <c r="K34" s="9"/>
      <c r="L34" t="str">
        <f t="shared" si="4"/>
        <v/>
      </c>
      <c r="M34" t="str">
        <f t="shared" si="2"/>
        <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49037.599999999999</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t="s">
        <v>455</v>
      </c>
      <c r="C42" s="3">
        <f>+IF(B42="","",INDEX(U_MAQUINARIA,MATCH(B42,LISTA_MAQUINARIA,0)))</f>
        <v>0</v>
      </c>
      <c r="D42" s="30">
        <v>1</v>
      </c>
      <c r="E42" s="23">
        <f>+IF(B42="","",INDEX(V_MAQUINARIA,MATCH(B42,LISTA_MAQUINARIA,0)))</f>
        <v>101145.45454545454</v>
      </c>
      <c r="F42" s="3">
        <f>$G$20</f>
        <v>19.399999999999999</v>
      </c>
      <c r="G42" s="26">
        <f>IF(D42="","",(E42*D42)/F42)</f>
        <v>5213.6832239925025</v>
      </c>
      <c r="K42" s="9"/>
      <c r="L42" s="23">
        <f>IF(B42="","",INDEX(V_COMBUSTIBLE_H,MATCH(B42,LISTA_MAQUINARIA,0)))</f>
        <v>21600</v>
      </c>
      <c r="M42" s="23">
        <f>+IF(L42="","",(L42*D42)/F42)</f>
        <v>1113.4020618556701</v>
      </c>
      <c r="N42" s="23">
        <f>IF(G42="","",G42-M42)</f>
        <v>4100.2811621368328</v>
      </c>
      <c r="P42" s="11"/>
    </row>
    <row r="43" spans="2:16" x14ac:dyDescent="0.3">
      <c r="B43" s="27"/>
      <c r="C43" s="3" t="str">
        <f>+IF(B43="","",INDEX(U_MAQUINARIA,MATCH(B43,LISTA_MAQUINARIA,0)))</f>
        <v/>
      </c>
      <c r="D43" s="30"/>
      <c r="E43" s="23" t="str">
        <f>+IF(B43="","",INDEX(V_MAQUINARIA,MATCH(B43,LISTA_MAQUINARIA,0)))</f>
        <v/>
      </c>
      <c r="F43" s="3">
        <f>+$G$20</f>
        <v>19.399999999999999</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19.399999999999999</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19.399999999999999</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19.399999999999999</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5213.6832239925025</v>
      </c>
      <c r="K47" s="9"/>
      <c r="M47" s="24">
        <f>SUM(M42:M46)</f>
        <v>1113.4020618556701</v>
      </c>
      <c r="N47" s="24">
        <f>SUM(N42:N46)</f>
        <v>4100.2811621368328</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t="s">
        <v>304</v>
      </c>
      <c r="C50" s="30">
        <v>6</v>
      </c>
      <c r="D50" s="22">
        <f>+IF(B50="","",INDEX(F_PRESTACIONAL,MATCH(B50,L_PERSONAL,)))</f>
        <v>1.6352</v>
      </c>
      <c r="E50" s="23">
        <f>+IF(B50="","",INDEX(V_H_MANODEOBRA,MATCH(B50,L_PERSONAL,0)))</f>
        <v>24658.815999999999</v>
      </c>
      <c r="F50" s="3">
        <f>+$G$20</f>
        <v>19.399999999999999</v>
      </c>
      <c r="G50" s="26">
        <f>+IF(C50="","",(E50*C50)/F50)</f>
        <v>7626.4379381443305</v>
      </c>
    </row>
    <row r="51" spans="2:7" x14ac:dyDescent="0.3">
      <c r="B51" s="27" t="s">
        <v>305</v>
      </c>
      <c r="C51" s="30">
        <v>6</v>
      </c>
      <c r="D51" s="22">
        <f>+IF(B51="","",INDEX(F_PRESTACIONAL,MATCH(B51,L_PERSONAL,)))</f>
        <v>2.2351999999999999</v>
      </c>
      <c r="E51" s="23">
        <f>+IF(B51="","",INDEX(V_H_MANODEOBRA,MATCH(B51,L_PERSONAL,0)))</f>
        <v>50800</v>
      </c>
      <c r="F51" s="3">
        <f>+$G$20</f>
        <v>19.399999999999999</v>
      </c>
      <c r="G51" s="26">
        <f>+IF(C51="","",(E51*C51)/F51)</f>
        <v>15711.340206185569</v>
      </c>
    </row>
    <row r="52" spans="2:7" x14ac:dyDescent="0.3">
      <c r="B52" s="27" t="s">
        <v>298</v>
      </c>
      <c r="C52" s="30">
        <v>1</v>
      </c>
      <c r="D52" s="22">
        <f>+IF(B52="","",INDEX(F_PRESTACIONAL,MATCH(B52,L_PERSONAL,)))</f>
        <v>1.6352</v>
      </c>
      <c r="E52" s="23">
        <f>+IF(B52="","",INDEX(V_H_MANODEOBRA,MATCH(B52,L_PERSONAL,0)))</f>
        <v>40136.727272727272</v>
      </c>
      <c r="F52" s="3">
        <f>+$G$20</f>
        <v>19.399999999999999</v>
      </c>
      <c r="G52" s="26">
        <f>+IF(C52="","",(E52*C52)/F52)</f>
        <v>2068.9034676663546</v>
      </c>
    </row>
    <row r="53" spans="2:7" x14ac:dyDescent="0.3">
      <c r="B53" s="27" t="s">
        <v>299</v>
      </c>
      <c r="C53" s="30">
        <v>1</v>
      </c>
      <c r="D53" s="22">
        <f>+IF(B53="","",INDEX(F_PRESTACIONAL,MATCH(B53,L_PERSONAL,)))</f>
        <v>1.6352</v>
      </c>
      <c r="E53" s="23">
        <f>+IF(B53="","",INDEX(V_H_MANODEOBRA,MATCH(B53,L_PERSONAL,0)))</f>
        <v>22298.18181818182</v>
      </c>
      <c r="F53" s="3">
        <f>+$G$20</f>
        <v>19.399999999999999</v>
      </c>
      <c r="G53" s="26">
        <f>+IF(C53="","",(E53*C53)/F53)</f>
        <v>1149.3908153701971</v>
      </c>
    </row>
    <row r="54" spans="2:7" x14ac:dyDescent="0.3">
      <c r="B54" s="27"/>
      <c r="C54" s="30"/>
      <c r="D54" s="22" t="str">
        <f>+IF(B54="","",INDEX(F_PRESTACIONAL,MATCH(B54,L_PERSONAL,)))</f>
        <v/>
      </c>
      <c r="E54" s="23" t="str">
        <f>+IF(B54="","",INDEX(V_H_MANODEOBRA,MATCH(B54,L_PERSONAL,0)))</f>
        <v/>
      </c>
      <c r="F54" s="3">
        <f>+$G$20</f>
        <v>19.399999999999999</v>
      </c>
      <c r="G54" s="26" t="str">
        <f>+IF(C54="","",(E54*C54)/F54)</f>
        <v/>
      </c>
    </row>
    <row r="55" spans="2:7" x14ac:dyDescent="0.3">
      <c r="B55" s="9"/>
      <c r="G55" s="26">
        <f>SUM(G50:G54)</f>
        <v>26556.072427366449</v>
      </c>
    </row>
    <row r="56" spans="2:7" ht="17.25" thickBot="1" x14ac:dyDescent="0.35">
      <c r="B56" s="9"/>
      <c r="G56" s="11"/>
    </row>
    <row r="57" spans="2:7" ht="17.25" thickBot="1" x14ac:dyDescent="0.35">
      <c r="B57" s="610" t="s">
        <v>98</v>
      </c>
      <c r="C57" s="611"/>
      <c r="D57" s="611"/>
      <c r="E57" s="611"/>
      <c r="F57" s="612"/>
      <c r="G57" s="66">
        <f>+G55+G47+G39+G28</f>
        <v>125036.50279287723</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15004.380335145268</v>
      </c>
    </row>
    <row r="61" spans="2:7" x14ac:dyDescent="0.3">
      <c r="B61" s="613" t="s">
        <v>86</v>
      </c>
      <c r="C61" s="614"/>
      <c r="D61" s="614"/>
      <c r="E61" s="614"/>
      <c r="F61" s="22">
        <f>+IMPREVISTOS</f>
        <v>0.03</v>
      </c>
      <c r="G61" s="26">
        <f>+$G$57*F61</f>
        <v>3751.095083786317</v>
      </c>
    </row>
    <row r="62" spans="2:7" x14ac:dyDescent="0.3">
      <c r="B62" s="613" t="s">
        <v>87</v>
      </c>
      <c r="C62" s="614"/>
      <c r="D62" s="614"/>
      <c r="E62" s="614"/>
      <c r="F62" s="22">
        <f>+UTILIDAD</f>
        <v>0.05</v>
      </c>
      <c r="G62" s="26">
        <f>+$G$57*F62</f>
        <v>6251.8251396438618</v>
      </c>
    </row>
    <row r="63" spans="2:7" x14ac:dyDescent="0.3">
      <c r="B63" s="596" t="s">
        <v>100</v>
      </c>
      <c r="C63" s="597"/>
      <c r="D63" s="597"/>
      <c r="E63" s="597"/>
      <c r="F63" s="597"/>
      <c r="G63" s="53">
        <f>SUM(G60:G62)</f>
        <v>25007.300558575447</v>
      </c>
    </row>
    <row r="64" spans="2:7" ht="17.25" thickBot="1" x14ac:dyDescent="0.35">
      <c r="B64" s="9"/>
      <c r="G64" s="44"/>
    </row>
    <row r="65" spans="2:7" ht="17.25" thickBot="1" x14ac:dyDescent="0.35">
      <c r="B65" s="598" t="s">
        <v>101</v>
      </c>
      <c r="C65" s="599"/>
      <c r="D65" s="599"/>
      <c r="E65" s="599"/>
      <c r="F65" s="600"/>
      <c r="G65" s="65">
        <f>+G63+G57</f>
        <v>150043.80335145269</v>
      </c>
    </row>
    <row r="66" spans="2:7" x14ac:dyDescent="0.3">
      <c r="B66" s="6"/>
      <c r="C66" s="7"/>
      <c r="D66" s="7"/>
      <c r="E66" s="7"/>
      <c r="F66" s="7"/>
      <c r="G66" s="8"/>
    </row>
    <row r="67" spans="2:7" x14ac:dyDescent="0.3">
      <c r="B67" s="9"/>
      <c r="G67" s="11"/>
    </row>
    <row r="68" spans="2:7" x14ac:dyDescent="0.3">
      <c r="B68" s="69" t="s">
        <v>123</v>
      </c>
      <c r="C68" s="67"/>
      <c r="D68" s="67"/>
      <c r="E68" s="67"/>
      <c r="F68" s="67"/>
      <c r="G68" s="70"/>
    </row>
    <row r="69" spans="2:7" x14ac:dyDescent="0.3">
      <c r="B69" s="71"/>
      <c r="C69" s="67"/>
      <c r="D69" s="67"/>
      <c r="E69" s="67"/>
      <c r="F69" s="67"/>
      <c r="G69" s="70"/>
    </row>
    <row r="70" spans="2:7" x14ac:dyDescent="0.3">
      <c r="B70" s="72"/>
      <c r="C70" s="68"/>
      <c r="D70" s="68"/>
      <c r="E70" s="68"/>
      <c r="F70" s="68"/>
      <c r="G70" s="73"/>
    </row>
    <row r="71" spans="2:7" x14ac:dyDescent="0.3">
      <c r="B71" s="71"/>
      <c r="C71" s="67"/>
      <c r="D71" s="67"/>
      <c r="E71" s="67"/>
      <c r="F71" s="67"/>
      <c r="G71" s="70"/>
    </row>
    <row r="72" spans="2:7" ht="17.25" thickBot="1" x14ac:dyDescent="0.35">
      <c r="B72" s="15"/>
      <c r="C72" s="13"/>
      <c r="D72" s="13"/>
      <c r="E72" s="13"/>
      <c r="F72" s="13"/>
      <c r="G72" s="14"/>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count="5">
    <dataValidation type="list" allowBlank="1" showInputMessage="1" showErrorMessage="1" sqref="E102" xr:uid="{E2F02C19-EA6A-48C6-885E-72901E4F7296}">
      <formula1>$A$103:$A$105</formula1>
    </dataValidation>
    <dataValidation type="list" allowBlank="1" showInputMessage="1" showErrorMessage="1" sqref="B13" xr:uid="{8A26E405-9D40-4FFE-9F7D-FBDCCA097E27}">
      <formula1>ITEM</formula1>
    </dataValidation>
    <dataValidation type="list" allowBlank="1" showInputMessage="1" showErrorMessage="1" sqref="B50:B54" xr:uid="{59CD9073-8BD9-479D-961F-FDBC6C5A61A2}">
      <formula1>L_PERSONAL</formula1>
    </dataValidation>
    <dataValidation type="list" allowBlank="1" showInputMessage="1" showErrorMessage="1" sqref="B31:B38" xr:uid="{7474122A-DC17-46BD-8D95-5F1DC2F00FDF}">
      <formula1>L_MATERIALES</formula1>
    </dataValidation>
    <dataValidation type="list" allowBlank="1" showInputMessage="1" showErrorMessage="1" sqref="B42:B46 B23:B27" xr:uid="{E75A07AC-EE61-4B1C-99A2-108AA0BDBA1F}">
      <formula1>LISTA_MAQUINARIA</formula1>
    </dataValidation>
  </dataValidations>
  <pageMargins left="1.3779527559055118" right="0.70866141732283472" top="0.74803149606299213" bottom="0.74803149606299213" header="0.31496062992125984" footer="0.31496062992125984"/>
  <pageSetup scale="51" orientation="portrait" r:id="rId1"/>
  <rowBreaks count="1" manualBreakCount="1">
    <brk id="78" max="16383" man="1"/>
  </rowBreaks>
  <colBreaks count="1" manualBreakCount="1">
    <brk id="7" max="1048575" man="1"/>
  </colBreaks>
  <drawing r:id="rId2"/>
  <tableParts count="1">
    <tablePart r:id="rId3"/>
  </tableParts>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0B26B-BB54-4A19-B690-65216D90E75F}">
  <sheetPr codeName="Hoja81"/>
  <dimension ref="A1:P105"/>
  <sheetViews>
    <sheetView showGridLines="0" zoomScale="60" zoomScaleNormal="60" workbookViewId="0">
      <selection activeCell="E43" sqref="E43"/>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70</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04">
        <f>+IF($B$13="","",INDEX(DESCRIP_ITEM,MATCH($B$13,ITEM,0)))</f>
        <v>0</v>
      </c>
      <c r="C16" s="605"/>
      <c r="D16" s="605"/>
      <c r="E16" s="605"/>
      <c r="F16" s="605"/>
      <c r="G16" s="606"/>
    </row>
    <row r="17" spans="2:16" ht="44.25" customHeight="1" thickBot="1" x14ac:dyDescent="0.35">
      <c r="B17" s="607"/>
      <c r="C17" s="608"/>
      <c r="D17" s="608"/>
      <c r="E17" s="608"/>
      <c r="F17" s="608"/>
      <c r="G17" s="609"/>
    </row>
    <row r="18" spans="2:16" ht="17.25" thickBot="1" x14ac:dyDescent="0.35">
      <c r="B18" s="591"/>
      <c r="C18" s="579"/>
      <c r="D18" s="579"/>
      <c r="E18" s="579"/>
      <c r="G18" s="11"/>
    </row>
    <row r="19" spans="2:16" ht="17.25" thickBot="1" x14ac:dyDescent="0.35">
      <c r="B19" s="592"/>
      <c r="C19" s="593"/>
      <c r="D19" s="593"/>
      <c r="E19" s="593"/>
      <c r="F19" s="54" t="s">
        <v>89</v>
      </c>
      <c r="G19" s="25">
        <f>+IF(B13="","",INDEX(U_ITEM,MATCH(B13,ITEM,0)))</f>
        <v>0</v>
      </c>
    </row>
    <row r="20" spans="2:16" ht="17.25" thickBot="1" x14ac:dyDescent="0.35">
      <c r="B20" s="592"/>
      <c r="C20" s="593"/>
      <c r="D20" s="593"/>
      <c r="E20" s="593"/>
      <c r="F20" s="55" t="s">
        <v>90</v>
      </c>
      <c r="G20" s="56">
        <v>0</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c r="C23" s="3" t="str">
        <f>+IF(B23="","",INDEX(U_MAQUINARIA,MATCH(B23,LISTA_MAQUINARIA,0)))</f>
        <v/>
      </c>
      <c r="D23" s="30"/>
      <c r="E23" s="23" t="str">
        <f>+IF(B23="","",INDEX(V_MAQUINARIA,MATCH(B23,LISTA_MAQUINARIA,0)))</f>
        <v/>
      </c>
      <c r="F23" s="3">
        <f>$G$20</f>
        <v>0</v>
      </c>
      <c r="G23" s="26" t="str">
        <f>+IF(B23="","",(D23*E23)/F23)</f>
        <v/>
      </c>
      <c r="K23" s="9"/>
      <c r="L23" s="23" t="str">
        <f>IF(B23="","",INDEX(V_COMBUSTIBLE_H,MATCH(B23,LISTA_MAQUINARIA,0)))</f>
        <v/>
      </c>
      <c r="M23" s="23" t="str">
        <f>+IF(L23="","",(L23*D23)/F23)</f>
        <v/>
      </c>
      <c r="N23" s="23" t="str">
        <f>IF(G23="","",G23-M23)</f>
        <v/>
      </c>
      <c r="P23" s="11"/>
    </row>
    <row r="24" spans="2:16" x14ac:dyDescent="0.3">
      <c r="B24" s="27"/>
      <c r="C24" s="3" t="str">
        <f>+IF(B24="","",INDEX(U_MAQUINARIA,MATCH(B24,LISTA_MAQUINARIA,0)))</f>
        <v/>
      </c>
      <c r="D24" s="30"/>
      <c r="E24" s="23" t="str">
        <f>+IF(B24="","",INDEX(V_MAQUINARIA,MATCH(B24,LISTA_MAQUINARIA,0)))</f>
        <v/>
      </c>
      <c r="F24" s="3">
        <f>$G$20</f>
        <v>0</v>
      </c>
      <c r="G24" s="26" t="str">
        <f>+IF(B24="","",(D24*E24)/F24)</f>
        <v/>
      </c>
      <c r="K24" s="9"/>
      <c r="L24" s="3" t="str">
        <f>IF(B24="","",INDEX(V_COMBUSTIBLE_H,MATCH(B24,LISTA_MAQUINARIA,0)))</f>
        <v/>
      </c>
      <c r="M24" s="3" t="str">
        <f>+IF(L24="","",(L24*D24)/F24)</f>
        <v/>
      </c>
      <c r="N24" s="3" t="str">
        <f>IF(G24="","",G24-M24)</f>
        <v/>
      </c>
      <c r="P24" s="11"/>
    </row>
    <row r="25" spans="2:16" x14ac:dyDescent="0.3">
      <c r="B25" s="27"/>
      <c r="C25" s="3" t="str">
        <f>+IF(B25="","",INDEX(U_MAQUINARIA,MATCH(B25,LISTA_MAQUINARIA,0)))</f>
        <v/>
      </c>
      <c r="D25" s="30"/>
      <c r="E25" s="23" t="str">
        <f>+IF(B25="","",INDEX(V_MAQUINARIA,MATCH(B25,LISTA_MAQUINARIA,0)))</f>
        <v/>
      </c>
      <c r="F25" s="3">
        <f>$G$20</f>
        <v>0</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0</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0</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0</v>
      </c>
      <c r="K28" s="9"/>
      <c r="M28" s="24">
        <f>SUM(M23:M27)</f>
        <v>0</v>
      </c>
      <c r="N28" s="24">
        <f>SUM(N23:N27)</f>
        <v>0</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c r="C31" s="3" t="str">
        <f t="shared" ref="C31:C38" si="0">+IF(B31="","",INDEX(U_MATERIAL,MATCH(B31,L_MATERIALES,0)))</f>
        <v/>
      </c>
      <c r="D31" s="30"/>
      <c r="E31" s="23" t="str">
        <f t="shared" ref="E31:E38" si="1">+IF(B31="","",INDEX(V_UNITARIOMATERIAL,MATCH(B31,L_MATERIALES,0)))</f>
        <v/>
      </c>
      <c r="F31" s="30"/>
      <c r="G31" s="26" t="str">
        <f>IF(D31="","",(E31*D31)/F31)</f>
        <v/>
      </c>
      <c r="K31" s="9"/>
      <c r="L31" t="str">
        <f>+IF(B31="","",B31)</f>
        <v/>
      </c>
      <c r="M31" t="str">
        <f t="shared" ref="M31:M38" si="2">IF(D31="","",(D31/F31)*INDEX(CANT_PROYECTO,MATCH($B$13,ITEM,0)))</f>
        <v/>
      </c>
      <c r="N31" s="1"/>
      <c r="P31" s="11"/>
    </row>
    <row r="32" spans="2:16" x14ac:dyDescent="0.3">
      <c r="B32" s="27"/>
      <c r="C32" s="3" t="str">
        <f t="shared" si="0"/>
        <v/>
      </c>
      <c r="D32" s="30"/>
      <c r="E32" s="23" t="str">
        <f t="shared" si="1"/>
        <v/>
      </c>
      <c r="F32" s="30"/>
      <c r="G32" s="26" t="str">
        <f t="shared" ref="G32:G38" si="3">IF(D32="","",(E32*D32)/F32)</f>
        <v/>
      </c>
      <c r="K32" s="9"/>
      <c r="L32" t="str">
        <f t="shared" ref="L32:L38" si="4">+IF(B32="","",B32)</f>
        <v/>
      </c>
      <c r="M32" t="str">
        <f t="shared" si="2"/>
        <v/>
      </c>
      <c r="N32" s="1"/>
      <c r="P32" s="11"/>
    </row>
    <row r="33" spans="2:16" x14ac:dyDescent="0.3">
      <c r="B33" s="27"/>
      <c r="C33" s="3" t="str">
        <f t="shared" si="0"/>
        <v/>
      </c>
      <c r="D33" s="30"/>
      <c r="E33" s="23" t="str">
        <f t="shared" si="1"/>
        <v/>
      </c>
      <c r="F33" s="30"/>
      <c r="G33" s="26" t="str">
        <f t="shared" si="3"/>
        <v/>
      </c>
      <c r="K33" s="9"/>
      <c r="L33" t="str">
        <f t="shared" si="4"/>
        <v/>
      </c>
      <c r="M33" t="str">
        <f t="shared" si="2"/>
        <v/>
      </c>
      <c r="N33" s="1"/>
      <c r="P33" s="11"/>
    </row>
    <row r="34" spans="2:16" x14ac:dyDescent="0.3">
      <c r="B34" s="27"/>
      <c r="C34" s="3" t="str">
        <f t="shared" si="0"/>
        <v/>
      </c>
      <c r="D34" s="30"/>
      <c r="E34" s="23" t="str">
        <f t="shared" si="1"/>
        <v/>
      </c>
      <c r="F34" s="30"/>
      <c r="G34" s="26" t="str">
        <f t="shared" si="3"/>
        <v/>
      </c>
      <c r="K34" s="9"/>
      <c r="L34" t="str">
        <f t="shared" si="4"/>
        <v/>
      </c>
      <c r="M34" t="str">
        <f t="shared" si="2"/>
        <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0</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c r="C42" s="3" t="str">
        <f>+IF(B42="","",INDEX(U_MAQUINARIA,MATCH(B42,LISTA_MAQUINARIA,0)))</f>
        <v/>
      </c>
      <c r="D42" s="30"/>
      <c r="E42" s="23" t="str">
        <f>+IF(B42="","",INDEX(V_MAQUINARIA,MATCH(B42,LISTA_MAQUINARIA,0)))</f>
        <v/>
      </c>
      <c r="F42" s="3">
        <f>$G$20</f>
        <v>0</v>
      </c>
      <c r="G42" s="26" t="str">
        <f>IF(D42="","",(E42*D42)/F42)</f>
        <v/>
      </c>
      <c r="K42" s="9"/>
      <c r="L42" s="23" t="str">
        <f>IF(B42="","",INDEX(V_COMBUSTIBLE_H,MATCH(B42,LISTA_MAQUINARIA,0)))</f>
        <v/>
      </c>
      <c r="M42" s="23" t="str">
        <f>+IF(L42="","",(L42*D42)/F42)</f>
        <v/>
      </c>
      <c r="N42" s="23" t="str">
        <f>IF(G42="","",G42-M42)</f>
        <v/>
      </c>
      <c r="P42" s="11"/>
    </row>
    <row r="43" spans="2:16" x14ac:dyDescent="0.3">
      <c r="B43" s="27"/>
      <c r="C43" s="3" t="str">
        <f>+IF(B43="","",INDEX(U_MAQUINARIA,MATCH(B43,LISTA_MAQUINARIA,0)))</f>
        <v/>
      </c>
      <c r="D43" s="30"/>
      <c r="E43" s="23" t="str">
        <f>+IF(B43="","",INDEX(V_MAQUINARIA,MATCH(B43,LISTA_MAQUINARIA,0)))</f>
        <v/>
      </c>
      <c r="F43" s="3">
        <f>+$G$20</f>
        <v>0</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0</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0</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0</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0</v>
      </c>
      <c r="K47" s="9"/>
      <c r="M47" s="24">
        <f>SUM(M42:M46)</f>
        <v>0</v>
      </c>
      <c r="N47" s="24">
        <f>SUM(N42:N46)</f>
        <v>0</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c r="C50" s="30"/>
      <c r="D50" s="22" t="str">
        <f>+IF(B50="","",INDEX(F_PRESTACIONAL,MATCH(B50,L_PERSONAL,)))</f>
        <v/>
      </c>
      <c r="E50" s="23" t="str">
        <f>+IF(B50="","",INDEX(V_H_MANODEOBRA,MATCH(B50,L_PERSONAL,0)))</f>
        <v/>
      </c>
      <c r="F50" s="3">
        <f>+$G$20</f>
        <v>0</v>
      </c>
      <c r="G50" s="26" t="str">
        <f>+IF(C50="","",(E50*C50)/F50)</f>
        <v/>
      </c>
    </row>
    <row r="51" spans="2:7" x14ac:dyDescent="0.3">
      <c r="B51" s="27"/>
      <c r="C51" s="30"/>
      <c r="D51" s="22" t="str">
        <f>+IF(B51="","",INDEX(F_PRESTACIONAL,MATCH(B51,L_PERSONAL,)))</f>
        <v/>
      </c>
      <c r="E51" s="23" t="str">
        <f>+IF(B51="","",INDEX(V_H_MANODEOBRA,MATCH(B51,L_PERSONAL,0)))</f>
        <v/>
      </c>
      <c r="F51" s="3">
        <f>+$G$20</f>
        <v>0</v>
      </c>
      <c r="G51" s="26" t="str">
        <f>+IF(C51="","",(E51*C51)/F51)</f>
        <v/>
      </c>
    </row>
    <row r="52" spans="2:7" x14ac:dyDescent="0.3">
      <c r="B52" s="27"/>
      <c r="C52" s="30"/>
      <c r="D52" s="22" t="str">
        <f>+IF(B52="","",INDEX(F_PRESTACIONAL,MATCH(B52,L_PERSONAL,)))</f>
        <v/>
      </c>
      <c r="E52" s="23" t="str">
        <f>+IF(B52="","",INDEX(V_H_MANODEOBRA,MATCH(B52,L_PERSONAL,0)))</f>
        <v/>
      </c>
      <c r="F52" s="3">
        <f>+$G$20</f>
        <v>0</v>
      </c>
      <c r="G52" s="26" t="str">
        <f>+IF(C52="","",(E52*C52)/F52)</f>
        <v/>
      </c>
    </row>
    <row r="53" spans="2:7" x14ac:dyDescent="0.3">
      <c r="B53" s="27"/>
      <c r="C53" s="30"/>
      <c r="D53" s="22" t="str">
        <f>+IF(B53="","",INDEX(F_PRESTACIONAL,MATCH(B53,L_PERSONAL,)))</f>
        <v/>
      </c>
      <c r="E53" s="23" t="str">
        <f>+IF(B53="","",INDEX(V_H_MANODEOBRA,MATCH(B53,L_PERSONAL,0)))</f>
        <v/>
      </c>
      <c r="F53" s="3">
        <f>+$G$20</f>
        <v>0</v>
      </c>
      <c r="G53" s="26" t="str">
        <f>+IF(C53="","",(E53*C53)/F53)</f>
        <v/>
      </c>
    </row>
    <row r="54" spans="2:7" x14ac:dyDescent="0.3">
      <c r="B54" s="27"/>
      <c r="C54" s="30"/>
      <c r="D54" s="22" t="str">
        <f>+IF(B54="","",INDEX(F_PRESTACIONAL,MATCH(B54,L_PERSONAL,)))</f>
        <v/>
      </c>
      <c r="E54" s="23" t="str">
        <f>+IF(B54="","",INDEX(V_H_MANODEOBRA,MATCH(B54,L_PERSONAL,0)))</f>
        <v/>
      </c>
      <c r="F54" s="3">
        <f>+$G$20</f>
        <v>0</v>
      </c>
      <c r="G54" s="26" t="str">
        <f>+IF(C54="","",(E54*C54)/F54)</f>
        <v/>
      </c>
    </row>
    <row r="55" spans="2:7" x14ac:dyDescent="0.3">
      <c r="B55" s="9"/>
      <c r="G55" s="26">
        <f>SUM(G50:G54)</f>
        <v>0</v>
      </c>
    </row>
    <row r="56" spans="2:7" ht="17.25" thickBot="1" x14ac:dyDescent="0.35">
      <c r="B56" s="9"/>
      <c r="G56" s="11"/>
    </row>
    <row r="57" spans="2:7" ht="17.25" thickBot="1" x14ac:dyDescent="0.35">
      <c r="B57" s="610" t="s">
        <v>98</v>
      </c>
      <c r="C57" s="611"/>
      <c r="D57" s="611"/>
      <c r="E57" s="611"/>
      <c r="F57" s="612"/>
      <c r="G57" s="66">
        <f>+G55+G47+G39+G28</f>
        <v>0</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0</v>
      </c>
    </row>
    <row r="61" spans="2:7" x14ac:dyDescent="0.3">
      <c r="B61" s="613" t="s">
        <v>86</v>
      </c>
      <c r="C61" s="614"/>
      <c r="D61" s="614"/>
      <c r="E61" s="614"/>
      <c r="F61" s="22">
        <f>+IMPREVISTOS</f>
        <v>0.03</v>
      </c>
      <c r="G61" s="26">
        <f>+$G$57*F61</f>
        <v>0</v>
      </c>
    </row>
    <row r="62" spans="2:7" x14ac:dyDescent="0.3">
      <c r="B62" s="613" t="s">
        <v>87</v>
      </c>
      <c r="C62" s="614"/>
      <c r="D62" s="614"/>
      <c r="E62" s="614"/>
      <c r="F62" s="22">
        <f>+UTILIDAD</f>
        <v>0.05</v>
      </c>
      <c r="G62" s="26">
        <f>+$G$57*F62</f>
        <v>0</v>
      </c>
    </row>
    <row r="63" spans="2:7" x14ac:dyDescent="0.3">
      <c r="B63" s="596" t="s">
        <v>100</v>
      </c>
      <c r="C63" s="597"/>
      <c r="D63" s="597"/>
      <c r="E63" s="597"/>
      <c r="F63" s="597"/>
      <c r="G63" s="53">
        <f>SUM(G60:G62)</f>
        <v>0</v>
      </c>
    </row>
    <row r="64" spans="2:7" ht="17.25" thickBot="1" x14ac:dyDescent="0.35">
      <c r="B64" s="9"/>
      <c r="G64" s="44"/>
    </row>
    <row r="65" spans="2:7" ht="17.25" thickBot="1" x14ac:dyDescent="0.35">
      <c r="B65" s="598" t="s">
        <v>101</v>
      </c>
      <c r="C65" s="599"/>
      <c r="D65" s="599"/>
      <c r="E65" s="599"/>
      <c r="F65" s="600"/>
      <c r="G65" s="65">
        <f>+G63+G57</f>
        <v>0</v>
      </c>
    </row>
    <row r="66" spans="2:7" x14ac:dyDescent="0.3">
      <c r="B66" s="6"/>
      <c r="C66" s="7"/>
      <c r="D66" s="7"/>
      <c r="E66" s="7"/>
      <c r="F66" s="7"/>
      <c r="G66" s="8"/>
    </row>
    <row r="67" spans="2:7" x14ac:dyDescent="0.3">
      <c r="B67" s="9"/>
      <c r="G67" s="11"/>
    </row>
    <row r="68" spans="2:7" x14ac:dyDescent="0.3">
      <c r="B68" s="69" t="s">
        <v>123</v>
      </c>
      <c r="C68" s="67"/>
      <c r="D68" s="67"/>
      <c r="E68" s="67"/>
      <c r="F68" s="67"/>
      <c r="G68" s="70"/>
    </row>
    <row r="69" spans="2:7" x14ac:dyDescent="0.3">
      <c r="B69" s="71"/>
      <c r="C69" s="67"/>
      <c r="D69" s="67"/>
      <c r="E69" s="67"/>
      <c r="F69" s="67"/>
      <c r="G69" s="70"/>
    </row>
    <row r="70" spans="2:7" x14ac:dyDescent="0.3">
      <c r="B70" s="72"/>
      <c r="C70" s="68"/>
      <c r="D70" s="68"/>
      <c r="E70" s="68"/>
      <c r="F70" s="68"/>
      <c r="G70" s="73"/>
    </row>
    <row r="71" spans="2:7" x14ac:dyDescent="0.3">
      <c r="B71" s="71"/>
      <c r="C71" s="67"/>
      <c r="D71" s="67"/>
      <c r="E71" s="67"/>
      <c r="F71" s="67"/>
      <c r="G71" s="70"/>
    </row>
    <row r="72" spans="2:7" ht="17.25" thickBot="1" x14ac:dyDescent="0.35">
      <c r="B72" s="15"/>
      <c r="C72" s="13"/>
      <c r="D72" s="13"/>
      <c r="E72" s="13"/>
      <c r="F72" s="13"/>
      <c r="G72" s="14"/>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count="5">
    <dataValidation type="list" allowBlank="1" showInputMessage="1" showErrorMessage="1" sqref="E102" xr:uid="{453BA1E8-7C18-4DC5-AF84-D4B35A7570AF}">
      <formula1>$A$103:$A$105</formula1>
    </dataValidation>
    <dataValidation type="list" allowBlank="1" showInputMessage="1" showErrorMessage="1" sqref="B13" xr:uid="{B941B215-DD1A-403C-A037-F1CD8C6DF7D0}">
      <formula1>ITEM</formula1>
    </dataValidation>
    <dataValidation type="list" allowBlank="1" showInputMessage="1" showErrorMessage="1" sqref="B50:B54" xr:uid="{AA484638-B890-4E61-9DE6-A0D85E45CE92}">
      <formula1>L_PERSONAL</formula1>
    </dataValidation>
    <dataValidation type="list" allowBlank="1" showInputMessage="1" showErrorMessage="1" sqref="B31:B38" xr:uid="{B71D5FCE-3718-476A-8CED-EA8F1B969B17}">
      <formula1>L_MATERIALES</formula1>
    </dataValidation>
    <dataValidation type="list" allowBlank="1" showInputMessage="1" showErrorMessage="1" sqref="B23:B27 B42:B46" xr:uid="{C8D5BDE4-1E31-43EB-B710-5024ACAF9A61}">
      <formula1>LISTA_MAQUINARIA</formula1>
    </dataValidation>
  </dataValidations>
  <pageMargins left="0.7" right="0.7" top="0.75" bottom="0.75" header="0.3" footer="0.3"/>
  <drawing r:id="rId1"/>
  <tableParts count="1">
    <tablePart r:id="rId2"/>
  </tableParts>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FEF6F1-B245-4247-BD0D-92C37E9A6565}">
  <sheetPr codeName="Hoja82"/>
  <dimension ref="A1:P105"/>
  <sheetViews>
    <sheetView showGridLines="0" topLeftCell="E1" zoomScale="60" zoomScaleNormal="60" workbookViewId="0">
      <selection activeCell="E46" sqref="E46"/>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71</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04">
        <f>+IF($B$13="","",INDEX(DESCRIP_ITEM,MATCH($B$13,ITEM,0)))</f>
        <v>0</v>
      </c>
      <c r="C16" s="605"/>
      <c r="D16" s="605"/>
      <c r="E16" s="605"/>
      <c r="F16" s="605"/>
      <c r="G16" s="606"/>
    </row>
    <row r="17" spans="2:16" ht="44.25" customHeight="1" thickBot="1" x14ac:dyDescent="0.35">
      <c r="B17" s="607"/>
      <c r="C17" s="608"/>
      <c r="D17" s="608"/>
      <c r="E17" s="608"/>
      <c r="F17" s="608"/>
      <c r="G17" s="609"/>
    </row>
    <row r="18" spans="2:16" ht="17.25" thickBot="1" x14ac:dyDescent="0.35">
      <c r="B18" s="591"/>
      <c r="C18" s="579"/>
      <c r="D18" s="579"/>
      <c r="E18" s="579"/>
      <c r="G18" s="11"/>
    </row>
    <row r="19" spans="2:16" ht="17.25" thickBot="1" x14ac:dyDescent="0.35">
      <c r="B19" s="592"/>
      <c r="C19" s="593"/>
      <c r="D19" s="593"/>
      <c r="E19" s="593"/>
      <c r="F19" s="54" t="s">
        <v>89</v>
      </c>
      <c r="G19" s="25">
        <f>+IF(B13="","",INDEX(U_ITEM,MATCH(B13,ITEM,0)))</f>
        <v>0</v>
      </c>
    </row>
    <row r="20" spans="2:16" ht="17.25" thickBot="1" x14ac:dyDescent="0.35">
      <c r="B20" s="592"/>
      <c r="C20" s="593"/>
      <c r="D20" s="593"/>
      <c r="E20" s="593"/>
      <c r="F20" s="55" t="s">
        <v>90</v>
      </c>
      <c r="G20" s="56">
        <v>0</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c r="C23" s="3" t="str">
        <f>+IF(B23="","",INDEX(U_MAQUINARIA,MATCH(B23,LISTA_MAQUINARIA,0)))</f>
        <v/>
      </c>
      <c r="D23" s="30"/>
      <c r="E23" s="23" t="str">
        <f>+IF(B23="","",INDEX(V_MAQUINARIA,MATCH(B23,LISTA_MAQUINARIA,0)))</f>
        <v/>
      </c>
      <c r="F23" s="3">
        <f>$G$20</f>
        <v>0</v>
      </c>
      <c r="G23" s="26" t="str">
        <f>+IF(B23="","",(D23*E23)/F23)</f>
        <v/>
      </c>
      <c r="K23" s="9"/>
      <c r="L23" s="23" t="str">
        <f>IF(B23="","",INDEX(V_COMBUSTIBLE_H,MATCH(B23,LISTA_MAQUINARIA,0)))</f>
        <v/>
      </c>
      <c r="M23" s="23" t="str">
        <f>+IF(L23="","",(L23*D23)/F23)</f>
        <v/>
      </c>
      <c r="N23" s="23" t="str">
        <f>IF(G23="","",G23-M23)</f>
        <v/>
      </c>
      <c r="P23" s="11"/>
    </row>
    <row r="24" spans="2:16" x14ac:dyDescent="0.3">
      <c r="B24" s="27"/>
      <c r="C24" s="3" t="str">
        <f>+IF(B24="","",INDEX(U_MAQUINARIA,MATCH(B24,LISTA_MAQUINARIA,0)))</f>
        <v/>
      </c>
      <c r="D24" s="30"/>
      <c r="E24" s="23" t="str">
        <f>+IF(B24="","",INDEX(V_MAQUINARIA,MATCH(B24,LISTA_MAQUINARIA,0)))</f>
        <v/>
      </c>
      <c r="F24" s="3">
        <f>$G$20</f>
        <v>0</v>
      </c>
      <c r="G24" s="26" t="str">
        <f>+IF(B24="","",(D24*E24)/F24)</f>
        <v/>
      </c>
      <c r="K24" s="9"/>
      <c r="L24" s="3" t="str">
        <f>IF(B24="","",INDEX(V_COMBUSTIBLE_H,MATCH(B24,LISTA_MAQUINARIA,0)))</f>
        <v/>
      </c>
      <c r="M24" s="3" t="str">
        <f>+IF(L24="","",(L24*D24)/F24)</f>
        <v/>
      </c>
      <c r="N24" s="3" t="str">
        <f>IF(G24="","",G24-M24)</f>
        <v/>
      </c>
      <c r="P24" s="11"/>
    </row>
    <row r="25" spans="2:16" x14ac:dyDescent="0.3">
      <c r="B25" s="27"/>
      <c r="C25" s="3" t="str">
        <f>+IF(B25="","",INDEX(U_MAQUINARIA,MATCH(B25,LISTA_MAQUINARIA,0)))</f>
        <v/>
      </c>
      <c r="D25" s="30"/>
      <c r="E25" s="23" t="str">
        <f>+IF(B25="","",INDEX(V_MAQUINARIA,MATCH(B25,LISTA_MAQUINARIA,0)))</f>
        <v/>
      </c>
      <c r="F25" s="3">
        <f>$G$20</f>
        <v>0</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0</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0</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0</v>
      </c>
      <c r="K28" s="9"/>
      <c r="M28" s="24">
        <f>SUM(M23:M27)</f>
        <v>0</v>
      </c>
      <c r="N28" s="24">
        <f>SUM(N23:N27)</f>
        <v>0</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c r="C31" s="3" t="str">
        <f t="shared" ref="C31:C38" si="0">+IF(B31="","",INDEX(U_MATERIAL,MATCH(B31,L_MATERIALES,0)))</f>
        <v/>
      </c>
      <c r="D31" s="30"/>
      <c r="E31" s="23" t="str">
        <f t="shared" ref="E31:E38" si="1">+IF(B31="","",INDEX(V_UNITARIOMATERIAL,MATCH(B31,L_MATERIALES,0)))</f>
        <v/>
      </c>
      <c r="F31" s="30"/>
      <c r="G31" s="26" t="str">
        <f>IF(D31="","",(E31*D31)/F31)</f>
        <v/>
      </c>
      <c r="K31" s="9"/>
      <c r="L31" t="str">
        <f>+IF(B31="","",B31)</f>
        <v/>
      </c>
      <c r="M31" t="str">
        <f t="shared" ref="M31:M38" si="2">IF(D31="","",(D31/F31)*INDEX(CANT_PROYECTO,MATCH($B$13,ITEM,0)))</f>
        <v/>
      </c>
      <c r="N31" s="1"/>
      <c r="P31" s="11"/>
    </row>
    <row r="32" spans="2:16" x14ac:dyDescent="0.3">
      <c r="B32" s="27"/>
      <c r="C32" s="3" t="str">
        <f t="shared" si="0"/>
        <v/>
      </c>
      <c r="D32" s="30"/>
      <c r="E32" s="23" t="str">
        <f t="shared" si="1"/>
        <v/>
      </c>
      <c r="F32" s="30"/>
      <c r="G32" s="26" t="str">
        <f t="shared" ref="G32:G38" si="3">IF(D32="","",(E32*D32)/F32)</f>
        <v/>
      </c>
      <c r="K32" s="9"/>
      <c r="L32" t="str">
        <f t="shared" ref="L32:L38" si="4">+IF(B32="","",B32)</f>
        <v/>
      </c>
      <c r="M32" t="str">
        <f t="shared" si="2"/>
        <v/>
      </c>
      <c r="N32" s="1"/>
      <c r="P32" s="11"/>
    </row>
    <row r="33" spans="2:16" x14ac:dyDescent="0.3">
      <c r="B33" s="27"/>
      <c r="C33" s="3" t="str">
        <f t="shared" si="0"/>
        <v/>
      </c>
      <c r="D33" s="30"/>
      <c r="E33" s="23" t="str">
        <f t="shared" si="1"/>
        <v/>
      </c>
      <c r="F33" s="30"/>
      <c r="G33" s="26" t="str">
        <f t="shared" si="3"/>
        <v/>
      </c>
      <c r="K33" s="9"/>
      <c r="L33" t="str">
        <f t="shared" si="4"/>
        <v/>
      </c>
      <c r="M33" t="str">
        <f t="shared" si="2"/>
        <v/>
      </c>
      <c r="N33" s="1"/>
      <c r="P33" s="11"/>
    </row>
    <row r="34" spans="2:16" x14ac:dyDescent="0.3">
      <c r="B34" s="27"/>
      <c r="C34" s="3" t="str">
        <f t="shared" si="0"/>
        <v/>
      </c>
      <c r="D34" s="30"/>
      <c r="E34" s="23" t="str">
        <f t="shared" si="1"/>
        <v/>
      </c>
      <c r="F34" s="30"/>
      <c r="G34" s="26" t="str">
        <f t="shared" si="3"/>
        <v/>
      </c>
      <c r="K34" s="9"/>
      <c r="L34" t="str">
        <f t="shared" si="4"/>
        <v/>
      </c>
      <c r="M34" t="str">
        <f t="shared" si="2"/>
        <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0</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c r="C42" s="3" t="str">
        <f>+IF(B42="","",INDEX(U_MAQUINARIA,MATCH(B42,LISTA_MAQUINARIA,0)))</f>
        <v/>
      </c>
      <c r="D42" s="30"/>
      <c r="E42" s="23" t="str">
        <f>+IF(B42="","",INDEX(V_MAQUINARIA,MATCH(B42,LISTA_MAQUINARIA,0)))</f>
        <v/>
      </c>
      <c r="F42" s="3">
        <f>$G$20</f>
        <v>0</v>
      </c>
      <c r="G42" s="26" t="str">
        <f>IF(D42="","",(E42*D42)/F42)</f>
        <v/>
      </c>
      <c r="K42" s="9"/>
      <c r="L42" s="23" t="str">
        <f>IF(B42="","",INDEX(V_COMBUSTIBLE_H,MATCH(B42,LISTA_MAQUINARIA,0)))</f>
        <v/>
      </c>
      <c r="M42" s="23" t="str">
        <f>+IF(L42="","",(L42*D42)/F42)</f>
        <v/>
      </c>
      <c r="N42" s="23" t="str">
        <f>IF(G42="","",G42-M42)</f>
        <v/>
      </c>
      <c r="P42" s="11"/>
    </row>
    <row r="43" spans="2:16" x14ac:dyDescent="0.3">
      <c r="B43" s="27"/>
      <c r="C43" s="3" t="str">
        <f>+IF(B43="","",INDEX(U_MAQUINARIA,MATCH(B43,LISTA_MAQUINARIA,0)))</f>
        <v/>
      </c>
      <c r="D43" s="30"/>
      <c r="E43" s="23" t="str">
        <f>+IF(B43="","",INDEX(V_MAQUINARIA,MATCH(B43,LISTA_MAQUINARIA,0)))</f>
        <v/>
      </c>
      <c r="F43" s="3">
        <f>+$G$20</f>
        <v>0</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0</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0</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0</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0</v>
      </c>
      <c r="K47" s="9"/>
      <c r="M47" s="24">
        <f>SUM(M42:M46)</f>
        <v>0</v>
      </c>
      <c r="N47" s="24">
        <f>SUM(N42:N46)</f>
        <v>0</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c r="C50" s="30"/>
      <c r="D50" s="22" t="str">
        <f>+IF(B50="","",INDEX(F_PRESTACIONAL,MATCH(B50,L_PERSONAL,)))</f>
        <v/>
      </c>
      <c r="E50" s="23" t="str">
        <f>+IF(B50="","",INDEX(V_H_MANODEOBRA,MATCH(B50,L_PERSONAL,0)))</f>
        <v/>
      </c>
      <c r="F50" s="3">
        <f>+$G$20</f>
        <v>0</v>
      </c>
      <c r="G50" s="26" t="str">
        <f>+IF(C50="","",(E50*C50)/F50)</f>
        <v/>
      </c>
    </row>
    <row r="51" spans="2:7" x14ac:dyDescent="0.3">
      <c r="B51" s="27"/>
      <c r="C51" s="30"/>
      <c r="D51" s="22" t="str">
        <f>+IF(B51="","",INDEX(F_PRESTACIONAL,MATCH(B51,L_PERSONAL,)))</f>
        <v/>
      </c>
      <c r="E51" s="23" t="str">
        <f>+IF(B51="","",INDEX(V_H_MANODEOBRA,MATCH(B51,L_PERSONAL,0)))</f>
        <v/>
      </c>
      <c r="F51" s="3">
        <f>+$G$20</f>
        <v>0</v>
      </c>
      <c r="G51" s="26" t="str">
        <f>+IF(C51="","",(E51*C51)/F51)</f>
        <v/>
      </c>
    </row>
    <row r="52" spans="2:7" x14ac:dyDescent="0.3">
      <c r="B52" s="27"/>
      <c r="C52" s="30"/>
      <c r="D52" s="22" t="str">
        <f>+IF(B52="","",INDEX(F_PRESTACIONAL,MATCH(B52,L_PERSONAL,)))</f>
        <v/>
      </c>
      <c r="E52" s="23" t="str">
        <f>+IF(B52="","",INDEX(V_H_MANODEOBRA,MATCH(B52,L_PERSONAL,0)))</f>
        <v/>
      </c>
      <c r="F52" s="3">
        <f>+$G$20</f>
        <v>0</v>
      </c>
      <c r="G52" s="26" t="str">
        <f>+IF(C52="","",(E52*C52)/F52)</f>
        <v/>
      </c>
    </row>
    <row r="53" spans="2:7" x14ac:dyDescent="0.3">
      <c r="B53" s="27"/>
      <c r="C53" s="30"/>
      <c r="D53" s="22" t="str">
        <f>+IF(B53="","",INDEX(F_PRESTACIONAL,MATCH(B53,L_PERSONAL,)))</f>
        <v/>
      </c>
      <c r="E53" s="23" t="str">
        <f>+IF(B53="","",INDEX(V_H_MANODEOBRA,MATCH(B53,L_PERSONAL,0)))</f>
        <v/>
      </c>
      <c r="F53" s="3">
        <f>+$G$20</f>
        <v>0</v>
      </c>
      <c r="G53" s="26" t="str">
        <f>+IF(C53="","",(E53*C53)/F53)</f>
        <v/>
      </c>
    </row>
    <row r="54" spans="2:7" x14ac:dyDescent="0.3">
      <c r="B54" s="27"/>
      <c r="C54" s="30"/>
      <c r="D54" s="22" t="str">
        <f>+IF(B54="","",INDEX(F_PRESTACIONAL,MATCH(B54,L_PERSONAL,)))</f>
        <v/>
      </c>
      <c r="E54" s="23" t="str">
        <f>+IF(B54="","",INDEX(V_H_MANODEOBRA,MATCH(B54,L_PERSONAL,0)))</f>
        <v/>
      </c>
      <c r="F54" s="3">
        <f>+$G$20</f>
        <v>0</v>
      </c>
      <c r="G54" s="26" t="str">
        <f>+IF(C54="","",(E54*C54)/F54)</f>
        <v/>
      </c>
    </row>
    <row r="55" spans="2:7" x14ac:dyDescent="0.3">
      <c r="B55" s="9"/>
      <c r="G55" s="26">
        <f>SUM(G50:G54)</f>
        <v>0</v>
      </c>
    </row>
    <row r="56" spans="2:7" ht="17.25" thickBot="1" x14ac:dyDescent="0.35">
      <c r="B56" s="9"/>
      <c r="G56" s="11"/>
    </row>
    <row r="57" spans="2:7" ht="17.25" thickBot="1" x14ac:dyDescent="0.35">
      <c r="B57" s="610" t="s">
        <v>98</v>
      </c>
      <c r="C57" s="611"/>
      <c r="D57" s="611"/>
      <c r="E57" s="611"/>
      <c r="F57" s="612"/>
      <c r="G57" s="66">
        <f>+G55+G47+G39+G28</f>
        <v>0</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0</v>
      </c>
    </row>
    <row r="61" spans="2:7" x14ac:dyDescent="0.3">
      <c r="B61" s="613" t="s">
        <v>86</v>
      </c>
      <c r="C61" s="614"/>
      <c r="D61" s="614"/>
      <c r="E61" s="614"/>
      <c r="F61" s="22">
        <f>+IMPREVISTOS</f>
        <v>0.03</v>
      </c>
      <c r="G61" s="26">
        <f>+$G$57*F61</f>
        <v>0</v>
      </c>
    </row>
    <row r="62" spans="2:7" x14ac:dyDescent="0.3">
      <c r="B62" s="613" t="s">
        <v>87</v>
      </c>
      <c r="C62" s="614"/>
      <c r="D62" s="614"/>
      <c r="E62" s="614"/>
      <c r="F62" s="22">
        <f>+UTILIDAD</f>
        <v>0.05</v>
      </c>
      <c r="G62" s="26">
        <f>+$G$57*F62</f>
        <v>0</v>
      </c>
    </row>
    <row r="63" spans="2:7" x14ac:dyDescent="0.3">
      <c r="B63" s="596" t="s">
        <v>100</v>
      </c>
      <c r="C63" s="597"/>
      <c r="D63" s="597"/>
      <c r="E63" s="597"/>
      <c r="F63" s="597"/>
      <c r="G63" s="53">
        <f>SUM(G60:G62)</f>
        <v>0</v>
      </c>
    </row>
    <row r="64" spans="2:7" ht="17.25" thickBot="1" x14ac:dyDescent="0.35">
      <c r="B64" s="9"/>
      <c r="G64" s="44"/>
    </row>
    <row r="65" spans="2:7" ht="17.25" thickBot="1" x14ac:dyDescent="0.35">
      <c r="B65" s="598" t="s">
        <v>101</v>
      </c>
      <c r="C65" s="599"/>
      <c r="D65" s="599"/>
      <c r="E65" s="599"/>
      <c r="F65" s="600"/>
      <c r="G65" s="65">
        <f>+G63+G57</f>
        <v>0</v>
      </c>
    </row>
    <row r="66" spans="2:7" x14ac:dyDescent="0.3">
      <c r="B66" s="6"/>
      <c r="C66" s="7"/>
      <c r="D66" s="7"/>
      <c r="E66" s="7"/>
      <c r="F66" s="7"/>
      <c r="G66" s="8"/>
    </row>
    <row r="67" spans="2:7" x14ac:dyDescent="0.3">
      <c r="B67" s="9"/>
      <c r="G67" s="11"/>
    </row>
    <row r="68" spans="2:7" x14ac:dyDescent="0.3">
      <c r="B68" s="69" t="s">
        <v>123</v>
      </c>
      <c r="C68" s="67"/>
      <c r="D68" s="67"/>
      <c r="E68" s="67"/>
      <c r="F68" s="67"/>
      <c r="G68" s="70"/>
    </row>
    <row r="69" spans="2:7" x14ac:dyDescent="0.3">
      <c r="B69" s="71"/>
      <c r="C69" s="67"/>
      <c r="D69" s="67"/>
      <c r="E69" s="67"/>
      <c r="F69" s="67"/>
      <c r="G69" s="70"/>
    </row>
    <row r="70" spans="2:7" x14ac:dyDescent="0.3">
      <c r="B70" s="72"/>
      <c r="C70" s="68"/>
      <c r="D70" s="68"/>
      <c r="E70" s="68"/>
      <c r="F70" s="68"/>
      <c r="G70" s="73"/>
    </row>
    <row r="71" spans="2:7" x14ac:dyDescent="0.3">
      <c r="B71" s="71"/>
      <c r="C71" s="67"/>
      <c r="D71" s="67"/>
      <c r="E71" s="67"/>
      <c r="F71" s="67"/>
      <c r="G71" s="70"/>
    </row>
    <row r="72" spans="2:7" ht="17.25" thickBot="1" x14ac:dyDescent="0.35">
      <c r="B72" s="15"/>
      <c r="C72" s="13"/>
      <c r="D72" s="13"/>
      <c r="E72" s="13"/>
      <c r="F72" s="13"/>
      <c r="G72" s="14"/>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count="5">
    <dataValidation type="list" allowBlank="1" showInputMessage="1" showErrorMessage="1" sqref="E102" xr:uid="{AF56DA6B-15CE-41C5-9E8E-395A568D945C}">
      <formula1>$A$103:$A$105</formula1>
    </dataValidation>
    <dataValidation type="list" allowBlank="1" showInputMessage="1" showErrorMessage="1" sqref="B13" xr:uid="{7A5EF6FD-5139-4C63-98C5-C5F2A0A24A49}">
      <formula1>ITEM</formula1>
    </dataValidation>
    <dataValidation type="list" allowBlank="1" showInputMessage="1" showErrorMessage="1" sqref="B50:B54" xr:uid="{4714F135-96B5-4966-B5AF-FADC28CDF46E}">
      <formula1>L_PERSONAL</formula1>
    </dataValidation>
    <dataValidation type="list" allowBlank="1" showInputMessage="1" showErrorMessage="1" sqref="B31:B38" xr:uid="{CAF87792-5F53-4312-96FF-B4F2B4F6D98A}">
      <formula1>L_MATERIALES</formula1>
    </dataValidation>
    <dataValidation type="list" allowBlank="1" showInputMessage="1" showErrorMessage="1" sqref="B23:B27 B42:B46" xr:uid="{821203DE-ED4F-40CD-839C-6AA139C9BCEB}">
      <formula1>LISTA_MAQUINARIA</formula1>
    </dataValidation>
  </dataValidations>
  <pageMargins left="0.7" right="0.7" top="0.75" bottom="0.75" header="0.3" footer="0.3"/>
  <drawing r:id="rId1"/>
  <tableParts count="1">
    <tablePart r:id="rId2"/>
  </tableParts>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D1B9F-7306-4BF8-A570-E2B8A2750A57}">
  <sheetPr codeName="Hoja83"/>
  <dimension ref="A1:P105"/>
  <sheetViews>
    <sheetView showGridLines="0" topLeftCell="A25" zoomScale="60" zoomScaleNormal="60" workbookViewId="0">
      <selection activeCell="E43" sqref="E43"/>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72</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04">
        <f>+IF($B$13="","",INDEX(DESCRIP_ITEM,MATCH($B$13,ITEM,0)))</f>
        <v>0</v>
      </c>
      <c r="C16" s="605"/>
      <c r="D16" s="605"/>
      <c r="E16" s="605"/>
      <c r="F16" s="605"/>
      <c r="G16" s="606"/>
    </row>
    <row r="17" spans="2:16" ht="44.25" customHeight="1" thickBot="1" x14ac:dyDescent="0.35">
      <c r="B17" s="607"/>
      <c r="C17" s="608"/>
      <c r="D17" s="608"/>
      <c r="E17" s="608"/>
      <c r="F17" s="608"/>
      <c r="G17" s="609"/>
    </row>
    <row r="18" spans="2:16" ht="17.25" thickBot="1" x14ac:dyDescent="0.35">
      <c r="B18" s="591"/>
      <c r="C18" s="579"/>
      <c r="D18" s="579"/>
      <c r="E18" s="579"/>
      <c r="G18" s="11"/>
    </row>
    <row r="19" spans="2:16" ht="17.25" thickBot="1" x14ac:dyDescent="0.35">
      <c r="B19" s="592"/>
      <c r="C19" s="593"/>
      <c r="D19" s="593"/>
      <c r="E19" s="593"/>
      <c r="F19" s="54" t="s">
        <v>89</v>
      </c>
      <c r="G19" s="25">
        <f>+IF(B13="","",INDEX(U_ITEM,MATCH(B13,ITEM,0)))</f>
        <v>0</v>
      </c>
    </row>
    <row r="20" spans="2:16" ht="17.25" thickBot="1" x14ac:dyDescent="0.35">
      <c r="B20" s="592"/>
      <c r="C20" s="593"/>
      <c r="D20" s="593"/>
      <c r="E20" s="593"/>
      <c r="F20" s="55" t="s">
        <v>90</v>
      </c>
      <c r="G20" s="56">
        <v>0</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c r="C23" s="3" t="str">
        <f>+IF(B23="","",INDEX(U_MAQUINARIA,MATCH(B23,LISTA_MAQUINARIA,0)))</f>
        <v/>
      </c>
      <c r="D23" s="30"/>
      <c r="E23" s="23" t="str">
        <f>+IF(B23="","",INDEX(V_MAQUINARIA,MATCH(B23,LISTA_MAQUINARIA,0)))</f>
        <v/>
      </c>
      <c r="F23" s="3">
        <f>$G$20</f>
        <v>0</v>
      </c>
      <c r="G23" s="26" t="str">
        <f>+IF(B23="","",(D23*E23)/F23)</f>
        <v/>
      </c>
      <c r="K23" s="9"/>
      <c r="L23" s="23" t="str">
        <f>IF(B23="","",INDEX(V_COMBUSTIBLE_H,MATCH(B23,LISTA_MAQUINARIA,0)))</f>
        <v/>
      </c>
      <c r="M23" s="23" t="str">
        <f>+IF(L23="","",(L23*D23)/F23)</f>
        <v/>
      </c>
      <c r="N23" s="23" t="str">
        <f>IF(G23="","",G23-M23)</f>
        <v/>
      </c>
      <c r="P23" s="11"/>
    </row>
    <row r="24" spans="2:16" x14ac:dyDescent="0.3">
      <c r="B24" s="27"/>
      <c r="C24" s="3" t="str">
        <f>+IF(B24="","",INDEX(U_MAQUINARIA,MATCH(B24,LISTA_MAQUINARIA,0)))</f>
        <v/>
      </c>
      <c r="D24" s="30"/>
      <c r="E24" s="23" t="str">
        <f>+IF(B24="","",INDEX(V_MAQUINARIA,MATCH(B24,LISTA_MAQUINARIA,0)))</f>
        <v/>
      </c>
      <c r="F24" s="3">
        <f>$G$20</f>
        <v>0</v>
      </c>
      <c r="G24" s="26" t="str">
        <f>+IF(B24="","",(D24*E24)/F24)</f>
        <v/>
      </c>
      <c r="K24" s="9"/>
      <c r="L24" s="3" t="str">
        <f>IF(B24="","",INDEX(V_COMBUSTIBLE_H,MATCH(B24,LISTA_MAQUINARIA,0)))</f>
        <v/>
      </c>
      <c r="M24" s="3" t="str">
        <f>+IF(L24="","",(L24*D24)/F24)</f>
        <v/>
      </c>
      <c r="N24" s="3" t="str">
        <f>IF(G24="","",G24-M24)</f>
        <v/>
      </c>
      <c r="P24" s="11"/>
    </row>
    <row r="25" spans="2:16" x14ac:dyDescent="0.3">
      <c r="B25" s="27"/>
      <c r="C25" s="3" t="str">
        <f>+IF(B25="","",INDEX(U_MAQUINARIA,MATCH(B25,LISTA_MAQUINARIA,0)))</f>
        <v/>
      </c>
      <c r="D25" s="30"/>
      <c r="E25" s="23" t="str">
        <f>+IF(B25="","",INDEX(V_MAQUINARIA,MATCH(B25,LISTA_MAQUINARIA,0)))</f>
        <v/>
      </c>
      <c r="F25" s="3">
        <f>$G$20</f>
        <v>0</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0</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0</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0</v>
      </c>
      <c r="K28" s="9"/>
      <c r="M28" s="24">
        <f>SUM(M23:M27)</f>
        <v>0</v>
      </c>
      <c r="N28" s="24">
        <f>SUM(N23:N27)</f>
        <v>0</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c r="C31" s="3" t="str">
        <f t="shared" ref="C31:C38" si="0">+IF(B31="","",INDEX(U_MATERIAL,MATCH(B31,L_MATERIALES,0)))</f>
        <v/>
      </c>
      <c r="D31" s="30"/>
      <c r="E31" s="23" t="str">
        <f t="shared" ref="E31:E38" si="1">+IF(B31="","",INDEX(V_UNITARIOMATERIAL,MATCH(B31,L_MATERIALES,0)))</f>
        <v/>
      </c>
      <c r="F31" s="30"/>
      <c r="G31" s="26" t="str">
        <f>IF(D31="","",(E31*D31)/F31)</f>
        <v/>
      </c>
      <c r="K31" s="9"/>
      <c r="L31" t="str">
        <f>+IF(B31="","",B31)</f>
        <v/>
      </c>
      <c r="M31" t="str">
        <f t="shared" ref="M31:M38" si="2">IF(D31="","",(D31/F31)*INDEX(CANT_PROYECTO,MATCH($B$13,ITEM,0)))</f>
        <v/>
      </c>
      <c r="N31" s="1"/>
      <c r="P31" s="11"/>
    </row>
    <row r="32" spans="2:16" x14ac:dyDescent="0.3">
      <c r="B32" s="27"/>
      <c r="C32" s="3" t="str">
        <f t="shared" si="0"/>
        <v/>
      </c>
      <c r="D32" s="30"/>
      <c r="E32" s="23" t="str">
        <f t="shared" si="1"/>
        <v/>
      </c>
      <c r="F32" s="30"/>
      <c r="G32" s="26" t="str">
        <f t="shared" ref="G32:G38" si="3">IF(D32="","",(E32*D32)/F32)</f>
        <v/>
      </c>
      <c r="K32" s="9"/>
      <c r="L32" t="str">
        <f t="shared" ref="L32:L38" si="4">+IF(B32="","",B32)</f>
        <v/>
      </c>
      <c r="M32" t="str">
        <f t="shared" si="2"/>
        <v/>
      </c>
      <c r="N32" s="1"/>
      <c r="P32" s="11"/>
    </row>
    <row r="33" spans="2:16" x14ac:dyDescent="0.3">
      <c r="B33" s="27"/>
      <c r="C33" s="3" t="str">
        <f t="shared" si="0"/>
        <v/>
      </c>
      <c r="D33" s="30"/>
      <c r="E33" s="23" t="str">
        <f t="shared" si="1"/>
        <v/>
      </c>
      <c r="F33" s="30"/>
      <c r="G33" s="26" t="str">
        <f t="shared" si="3"/>
        <v/>
      </c>
      <c r="K33" s="9"/>
      <c r="L33" t="str">
        <f t="shared" si="4"/>
        <v/>
      </c>
      <c r="M33" t="str">
        <f t="shared" si="2"/>
        <v/>
      </c>
      <c r="N33" s="1"/>
      <c r="P33" s="11"/>
    </row>
    <row r="34" spans="2:16" x14ac:dyDescent="0.3">
      <c r="B34" s="27"/>
      <c r="C34" s="3" t="str">
        <f t="shared" si="0"/>
        <v/>
      </c>
      <c r="D34" s="30"/>
      <c r="E34" s="23" t="str">
        <f t="shared" si="1"/>
        <v/>
      </c>
      <c r="F34" s="30"/>
      <c r="G34" s="26" t="str">
        <f t="shared" si="3"/>
        <v/>
      </c>
      <c r="K34" s="9"/>
      <c r="L34" t="str">
        <f t="shared" si="4"/>
        <v/>
      </c>
      <c r="M34" t="str">
        <f t="shared" si="2"/>
        <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0</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c r="C42" s="3" t="str">
        <f>+IF(B42="","",INDEX(U_MAQUINARIA,MATCH(B42,LISTA_MAQUINARIA,0)))</f>
        <v/>
      </c>
      <c r="D42" s="30"/>
      <c r="E42" s="23" t="str">
        <f>+IF(B42="","",INDEX(V_MAQUINARIA,MATCH(B42,LISTA_MAQUINARIA,0)))</f>
        <v/>
      </c>
      <c r="F42" s="3">
        <f>$G$20</f>
        <v>0</v>
      </c>
      <c r="G42" s="26" t="str">
        <f>IF(D42="","",(E42*D42)/F42)</f>
        <v/>
      </c>
      <c r="K42" s="9"/>
      <c r="L42" s="23" t="str">
        <f>IF(B42="","",INDEX(V_COMBUSTIBLE_H,MATCH(B42,LISTA_MAQUINARIA,0)))</f>
        <v/>
      </c>
      <c r="M42" s="23" t="str">
        <f>+IF(L42="","",(L42*D42)/F42)</f>
        <v/>
      </c>
      <c r="N42" s="23" t="str">
        <f>IF(G42="","",G42-M42)</f>
        <v/>
      </c>
      <c r="P42" s="11"/>
    </row>
    <row r="43" spans="2:16" x14ac:dyDescent="0.3">
      <c r="B43" s="27"/>
      <c r="C43" s="3" t="str">
        <f>+IF(B43="","",INDEX(U_MAQUINARIA,MATCH(B43,LISTA_MAQUINARIA,0)))</f>
        <v/>
      </c>
      <c r="D43" s="30"/>
      <c r="E43" s="23" t="str">
        <f>+IF(B43="","",INDEX(V_MAQUINARIA,MATCH(B43,LISTA_MAQUINARIA,0)))</f>
        <v/>
      </c>
      <c r="F43" s="3">
        <f>+$G$20</f>
        <v>0</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0</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0</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0</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0</v>
      </c>
      <c r="K47" s="9"/>
      <c r="M47" s="24">
        <f>SUM(M42:M46)</f>
        <v>0</v>
      </c>
      <c r="N47" s="24">
        <f>SUM(N42:N46)</f>
        <v>0</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c r="C50" s="30"/>
      <c r="D50" s="22" t="str">
        <f>+IF(B50="","",INDEX(F_PRESTACIONAL,MATCH(B50,L_PERSONAL,)))</f>
        <v/>
      </c>
      <c r="E50" s="23" t="str">
        <f>+IF(B50="","",INDEX(V_H_MANODEOBRA,MATCH(B50,L_PERSONAL,0)))</f>
        <v/>
      </c>
      <c r="F50" s="3">
        <f>+$G$20</f>
        <v>0</v>
      </c>
      <c r="G50" s="26" t="str">
        <f>+IF(C50="","",(E50*C50)/F50)</f>
        <v/>
      </c>
    </row>
    <row r="51" spans="2:7" x14ac:dyDescent="0.3">
      <c r="B51" s="27"/>
      <c r="C51" s="30"/>
      <c r="D51" s="22" t="str">
        <f>+IF(B51="","",INDEX(F_PRESTACIONAL,MATCH(B51,L_PERSONAL,)))</f>
        <v/>
      </c>
      <c r="E51" s="23" t="str">
        <f>+IF(B51="","",INDEX(V_H_MANODEOBRA,MATCH(B51,L_PERSONAL,0)))</f>
        <v/>
      </c>
      <c r="F51" s="3">
        <f>+$G$20</f>
        <v>0</v>
      </c>
      <c r="G51" s="26" t="str">
        <f>+IF(C51="","",(E51*C51)/F51)</f>
        <v/>
      </c>
    </row>
    <row r="52" spans="2:7" x14ac:dyDescent="0.3">
      <c r="B52" s="27"/>
      <c r="C52" s="30"/>
      <c r="D52" s="22" t="str">
        <f>+IF(B52="","",INDEX(F_PRESTACIONAL,MATCH(B52,L_PERSONAL,)))</f>
        <v/>
      </c>
      <c r="E52" s="23" t="str">
        <f>+IF(B52="","",INDEX(V_H_MANODEOBRA,MATCH(B52,L_PERSONAL,0)))</f>
        <v/>
      </c>
      <c r="F52" s="3">
        <f>+$G$20</f>
        <v>0</v>
      </c>
      <c r="G52" s="26" t="str">
        <f>+IF(C52="","",(E52*C52)/F52)</f>
        <v/>
      </c>
    </row>
    <row r="53" spans="2:7" x14ac:dyDescent="0.3">
      <c r="B53" s="27"/>
      <c r="C53" s="30"/>
      <c r="D53" s="22" t="str">
        <f>+IF(B53="","",INDEX(F_PRESTACIONAL,MATCH(B53,L_PERSONAL,)))</f>
        <v/>
      </c>
      <c r="E53" s="23" t="str">
        <f>+IF(B53="","",INDEX(V_H_MANODEOBRA,MATCH(B53,L_PERSONAL,0)))</f>
        <v/>
      </c>
      <c r="F53" s="3">
        <f>+$G$20</f>
        <v>0</v>
      </c>
      <c r="G53" s="26" t="str">
        <f>+IF(C53="","",(E53*C53)/F53)</f>
        <v/>
      </c>
    </row>
    <row r="54" spans="2:7" x14ac:dyDescent="0.3">
      <c r="B54" s="27"/>
      <c r="C54" s="30"/>
      <c r="D54" s="22" t="str">
        <f>+IF(B54="","",INDEX(F_PRESTACIONAL,MATCH(B54,L_PERSONAL,)))</f>
        <v/>
      </c>
      <c r="E54" s="23" t="str">
        <f>+IF(B54="","",INDEX(V_H_MANODEOBRA,MATCH(B54,L_PERSONAL,0)))</f>
        <v/>
      </c>
      <c r="F54" s="3">
        <f>+$G$20</f>
        <v>0</v>
      </c>
      <c r="G54" s="26" t="str">
        <f>+IF(C54="","",(E54*C54)/F54)</f>
        <v/>
      </c>
    </row>
    <row r="55" spans="2:7" x14ac:dyDescent="0.3">
      <c r="B55" s="9"/>
      <c r="G55" s="26">
        <f>SUM(G50:G54)</f>
        <v>0</v>
      </c>
    </row>
    <row r="56" spans="2:7" ht="17.25" thickBot="1" x14ac:dyDescent="0.35">
      <c r="B56" s="9"/>
      <c r="G56" s="11"/>
    </row>
    <row r="57" spans="2:7" ht="17.25" thickBot="1" x14ac:dyDescent="0.35">
      <c r="B57" s="610" t="s">
        <v>98</v>
      </c>
      <c r="C57" s="611"/>
      <c r="D57" s="611"/>
      <c r="E57" s="611"/>
      <c r="F57" s="612"/>
      <c r="G57" s="66">
        <f>+G55+G47+G39+G28</f>
        <v>0</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0</v>
      </c>
    </row>
    <row r="61" spans="2:7" x14ac:dyDescent="0.3">
      <c r="B61" s="613" t="s">
        <v>86</v>
      </c>
      <c r="C61" s="614"/>
      <c r="D61" s="614"/>
      <c r="E61" s="614"/>
      <c r="F61" s="22">
        <f>+IMPREVISTOS</f>
        <v>0.03</v>
      </c>
      <c r="G61" s="26">
        <f>+$G$57*F61</f>
        <v>0</v>
      </c>
    </row>
    <row r="62" spans="2:7" x14ac:dyDescent="0.3">
      <c r="B62" s="613" t="s">
        <v>87</v>
      </c>
      <c r="C62" s="614"/>
      <c r="D62" s="614"/>
      <c r="E62" s="614"/>
      <c r="F62" s="22">
        <f>+UTILIDAD</f>
        <v>0.05</v>
      </c>
      <c r="G62" s="26">
        <f>+$G$57*F62</f>
        <v>0</v>
      </c>
    </row>
    <row r="63" spans="2:7" x14ac:dyDescent="0.3">
      <c r="B63" s="596" t="s">
        <v>100</v>
      </c>
      <c r="C63" s="597"/>
      <c r="D63" s="597"/>
      <c r="E63" s="597"/>
      <c r="F63" s="597"/>
      <c r="G63" s="53">
        <f>SUM(G60:G62)</f>
        <v>0</v>
      </c>
    </row>
    <row r="64" spans="2:7" ht="17.25" thickBot="1" x14ac:dyDescent="0.35">
      <c r="B64" s="9"/>
      <c r="G64" s="44"/>
    </row>
    <row r="65" spans="2:7" ht="17.25" thickBot="1" x14ac:dyDescent="0.35">
      <c r="B65" s="598" t="s">
        <v>101</v>
      </c>
      <c r="C65" s="599"/>
      <c r="D65" s="599"/>
      <c r="E65" s="599"/>
      <c r="F65" s="600"/>
      <c r="G65" s="65">
        <f>+G63+G57</f>
        <v>0</v>
      </c>
    </row>
    <row r="66" spans="2:7" x14ac:dyDescent="0.3">
      <c r="B66" s="6"/>
      <c r="C66" s="7"/>
      <c r="D66" s="7"/>
      <c r="E66" s="7"/>
      <c r="F66" s="7"/>
      <c r="G66" s="8"/>
    </row>
    <row r="67" spans="2:7" x14ac:dyDescent="0.3">
      <c r="B67" s="9"/>
      <c r="G67" s="11"/>
    </row>
    <row r="68" spans="2:7" x14ac:dyDescent="0.3">
      <c r="B68" s="69" t="s">
        <v>123</v>
      </c>
      <c r="C68" s="67"/>
      <c r="D68" s="67"/>
      <c r="E68" s="67"/>
      <c r="F68" s="67"/>
      <c r="G68" s="70"/>
    </row>
    <row r="69" spans="2:7" x14ac:dyDescent="0.3">
      <c r="B69" s="71"/>
      <c r="C69" s="67"/>
      <c r="D69" s="67"/>
      <c r="E69" s="67"/>
      <c r="F69" s="67"/>
      <c r="G69" s="70"/>
    </row>
    <row r="70" spans="2:7" x14ac:dyDescent="0.3">
      <c r="B70" s="72"/>
      <c r="C70" s="68"/>
      <c r="D70" s="68"/>
      <c r="E70" s="68"/>
      <c r="F70" s="68"/>
      <c r="G70" s="73"/>
    </row>
    <row r="71" spans="2:7" x14ac:dyDescent="0.3">
      <c r="B71" s="71"/>
      <c r="C71" s="67"/>
      <c r="D71" s="67"/>
      <c r="E71" s="67"/>
      <c r="F71" s="67"/>
      <c r="G71" s="70"/>
    </row>
    <row r="72" spans="2:7" ht="17.25" thickBot="1" x14ac:dyDescent="0.35">
      <c r="B72" s="15"/>
      <c r="C72" s="13"/>
      <c r="D72" s="13"/>
      <c r="E72" s="13"/>
      <c r="F72" s="13"/>
      <c r="G72" s="14"/>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disablePrompts="1" count="5">
    <dataValidation type="list" allowBlank="1" showInputMessage="1" showErrorMessage="1" sqref="E102" xr:uid="{494AE265-241C-48EF-837B-DA967E25A00D}">
      <formula1>$A$103:$A$105</formula1>
    </dataValidation>
    <dataValidation type="list" allowBlank="1" showInputMessage="1" showErrorMessage="1" sqref="B13" xr:uid="{EE5FE9D7-466A-4B97-B1BD-A405A1E4328E}">
      <formula1>ITEM</formula1>
    </dataValidation>
    <dataValidation type="list" allowBlank="1" showInputMessage="1" showErrorMessage="1" sqref="B50:B54" xr:uid="{B4FBCFF8-4A5C-4073-B38B-7A82E43F53DE}">
      <formula1>L_PERSONAL</formula1>
    </dataValidation>
    <dataValidation type="list" allowBlank="1" showInputMessage="1" showErrorMessage="1" sqref="B31:B38" xr:uid="{8B0714F3-386F-416A-8BC1-B6D846B31BD9}">
      <formula1>L_MATERIALES</formula1>
    </dataValidation>
    <dataValidation type="list" allowBlank="1" showInputMessage="1" showErrorMessage="1" sqref="B23:B27 B42:B46" xr:uid="{852CB834-A0F8-4CB8-9B39-D9127ABDB34D}">
      <formula1>LISTA_MAQUINARIA</formula1>
    </dataValidation>
  </dataValidations>
  <pageMargins left="0.7" right="0.7" top="0.75" bottom="0.75" header="0.3" footer="0.3"/>
  <drawing r:id="rId1"/>
  <tableParts count="1">
    <tablePart r:id="rId2"/>
  </tableParts>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49AD8F-89EA-4AF9-AECA-97512B4268C1}">
  <sheetPr codeName="Hoja84"/>
  <dimension ref="A1:P105"/>
  <sheetViews>
    <sheetView showGridLines="0" topLeftCell="A25" zoomScale="60" zoomScaleNormal="60" workbookViewId="0">
      <selection activeCell="E46" sqref="E46"/>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73</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04">
        <f>+IF($B$13="","",INDEX(DESCRIP_ITEM,MATCH($B$13,ITEM,0)))</f>
        <v>0</v>
      </c>
      <c r="C16" s="605"/>
      <c r="D16" s="605"/>
      <c r="E16" s="605"/>
      <c r="F16" s="605"/>
      <c r="G16" s="606"/>
    </row>
    <row r="17" spans="2:16" ht="44.25" customHeight="1" thickBot="1" x14ac:dyDescent="0.35">
      <c r="B17" s="607"/>
      <c r="C17" s="608"/>
      <c r="D17" s="608"/>
      <c r="E17" s="608"/>
      <c r="F17" s="608"/>
      <c r="G17" s="609"/>
    </row>
    <row r="18" spans="2:16" ht="17.25" thickBot="1" x14ac:dyDescent="0.35">
      <c r="B18" s="591"/>
      <c r="C18" s="579"/>
      <c r="D18" s="579"/>
      <c r="E18" s="579"/>
      <c r="G18" s="11"/>
    </row>
    <row r="19" spans="2:16" ht="17.25" thickBot="1" x14ac:dyDescent="0.35">
      <c r="B19" s="592"/>
      <c r="C19" s="593"/>
      <c r="D19" s="593"/>
      <c r="E19" s="593"/>
      <c r="F19" s="54" t="s">
        <v>89</v>
      </c>
      <c r="G19" s="25">
        <f>+IF(B13="","",INDEX(U_ITEM,MATCH(B13,ITEM,0)))</f>
        <v>0</v>
      </c>
    </row>
    <row r="20" spans="2:16" ht="17.25" thickBot="1" x14ac:dyDescent="0.35">
      <c r="B20" s="592"/>
      <c r="C20" s="593"/>
      <c r="D20" s="593"/>
      <c r="E20" s="593"/>
      <c r="F20" s="55" t="s">
        <v>90</v>
      </c>
      <c r="G20" s="56">
        <v>0</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c r="C23" s="3" t="str">
        <f>+IF(B23="","",INDEX(U_MAQUINARIA,MATCH(B23,LISTA_MAQUINARIA,0)))</f>
        <v/>
      </c>
      <c r="D23" s="30"/>
      <c r="E23" s="23" t="str">
        <f>+IF(B23="","",INDEX(V_MAQUINARIA,MATCH(B23,LISTA_MAQUINARIA,0)))</f>
        <v/>
      </c>
      <c r="F23" s="3">
        <f>$G$20</f>
        <v>0</v>
      </c>
      <c r="G23" s="26" t="str">
        <f>+IF(B23="","",(D23*E23)/F23)</f>
        <v/>
      </c>
      <c r="K23" s="9"/>
      <c r="L23" s="23" t="str">
        <f>IF(B23="","",INDEX(V_COMBUSTIBLE_H,MATCH(B23,LISTA_MAQUINARIA,0)))</f>
        <v/>
      </c>
      <c r="M23" s="23" t="str">
        <f>+IF(L23="","",(L23*D23)/F23)</f>
        <v/>
      </c>
      <c r="N23" s="23" t="str">
        <f>IF(G23="","",G23-M23)</f>
        <v/>
      </c>
      <c r="P23" s="11"/>
    </row>
    <row r="24" spans="2:16" x14ac:dyDescent="0.3">
      <c r="B24" s="27"/>
      <c r="C24" s="3" t="str">
        <f>+IF(B24="","",INDEX(U_MAQUINARIA,MATCH(B24,LISTA_MAQUINARIA,0)))</f>
        <v/>
      </c>
      <c r="D24" s="30"/>
      <c r="E24" s="23" t="str">
        <f>+IF(B24="","",INDEX(V_MAQUINARIA,MATCH(B24,LISTA_MAQUINARIA,0)))</f>
        <v/>
      </c>
      <c r="F24" s="3">
        <f>$G$20</f>
        <v>0</v>
      </c>
      <c r="G24" s="26" t="str">
        <f>+IF(B24="","",(D24*E24)/F24)</f>
        <v/>
      </c>
      <c r="K24" s="9"/>
      <c r="L24" s="3" t="str">
        <f>IF(B24="","",INDEX(V_COMBUSTIBLE_H,MATCH(B24,LISTA_MAQUINARIA,0)))</f>
        <v/>
      </c>
      <c r="M24" s="3" t="str">
        <f>+IF(L24="","",(L24*D24)/F24)</f>
        <v/>
      </c>
      <c r="N24" s="3" t="str">
        <f>IF(G24="","",G24-M24)</f>
        <v/>
      </c>
      <c r="P24" s="11"/>
    </row>
    <row r="25" spans="2:16" x14ac:dyDescent="0.3">
      <c r="B25" s="27"/>
      <c r="C25" s="3" t="str">
        <f>+IF(B25="","",INDEX(U_MAQUINARIA,MATCH(B25,LISTA_MAQUINARIA,0)))</f>
        <v/>
      </c>
      <c r="D25" s="30"/>
      <c r="E25" s="23" t="str">
        <f>+IF(B25="","",INDEX(V_MAQUINARIA,MATCH(B25,LISTA_MAQUINARIA,0)))</f>
        <v/>
      </c>
      <c r="F25" s="3">
        <f>$G$20</f>
        <v>0</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0</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0</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0</v>
      </c>
      <c r="K28" s="9"/>
      <c r="M28" s="24">
        <f>SUM(M23:M27)</f>
        <v>0</v>
      </c>
      <c r="N28" s="24">
        <f>SUM(N23:N27)</f>
        <v>0</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c r="C31" s="3" t="str">
        <f t="shared" ref="C31:C38" si="0">+IF(B31="","",INDEX(U_MATERIAL,MATCH(B31,L_MATERIALES,0)))</f>
        <v/>
      </c>
      <c r="D31" s="30"/>
      <c r="E31" s="23" t="str">
        <f t="shared" ref="E31:E38" si="1">+IF(B31="","",INDEX(V_UNITARIOMATERIAL,MATCH(B31,L_MATERIALES,0)))</f>
        <v/>
      </c>
      <c r="F31" s="30"/>
      <c r="G31" s="26" t="str">
        <f>IF(D31="","",(E31*D31)/F31)</f>
        <v/>
      </c>
      <c r="K31" s="9"/>
      <c r="L31" t="str">
        <f>+IF(B31="","",B31)</f>
        <v/>
      </c>
      <c r="M31" t="str">
        <f t="shared" ref="M31:M38" si="2">IF(D31="","",(D31/F31)*INDEX(CANT_PROYECTO,MATCH($B$13,ITEM,0)))</f>
        <v/>
      </c>
      <c r="N31" s="1"/>
      <c r="P31" s="11"/>
    </row>
    <row r="32" spans="2:16" x14ac:dyDescent="0.3">
      <c r="B32" s="27"/>
      <c r="C32" s="3" t="str">
        <f t="shared" si="0"/>
        <v/>
      </c>
      <c r="D32" s="30"/>
      <c r="E32" s="23" t="str">
        <f t="shared" si="1"/>
        <v/>
      </c>
      <c r="F32" s="30"/>
      <c r="G32" s="26" t="str">
        <f t="shared" ref="G32:G38" si="3">IF(D32="","",(E32*D32)/F32)</f>
        <v/>
      </c>
      <c r="K32" s="9"/>
      <c r="L32" t="str">
        <f t="shared" ref="L32:L38" si="4">+IF(B32="","",B32)</f>
        <v/>
      </c>
      <c r="M32" t="str">
        <f t="shared" si="2"/>
        <v/>
      </c>
      <c r="N32" s="1"/>
      <c r="P32" s="11"/>
    </row>
    <row r="33" spans="2:16" x14ac:dyDescent="0.3">
      <c r="B33" s="27"/>
      <c r="C33" s="3" t="str">
        <f t="shared" si="0"/>
        <v/>
      </c>
      <c r="D33" s="30"/>
      <c r="E33" s="23" t="str">
        <f t="shared" si="1"/>
        <v/>
      </c>
      <c r="F33" s="30"/>
      <c r="G33" s="26" t="str">
        <f t="shared" si="3"/>
        <v/>
      </c>
      <c r="K33" s="9"/>
      <c r="L33" t="str">
        <f t="shared" si="4"/>
        <v/>
      </c>
      <c r="M33" t="str">
        <f t="shared" si="2"/>
        <v/>
      </c>
      <c r="N33" s="1"/>
      <c r="P33" s="11"/>
    </row>
    <row r="34" spans="2:16" x14ac:dyDescent="0.3">
      <c r="B34" s="27"/>
      <c r="C34" s="3" t="str">
        <f t="shared" si="0"/>
        <v/>
      </c>
      <c r="D34" s="30"/>
      <c r="E34" s="23" t="str">
        <f t="shared" si="1"/>
        <v/>
      </c>
      <c r="F34" s="30"/>
      <c r="G34" s="26" t="str">
        <f t="shared" si="3"/>
        <v/>
      </c>
      <c r="K34" s="9"/>
      <c r="L34" t="str">
        <f t="shared" si="4"/>
        <v/>
      </c>
      <c r="M34" t="str">
        <f t="shared" si="2"/>
        <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0</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c r="C42" s="3" t="str">
        <f>+IF(B42="","",INDEX(U_MAQUINARIA,MATCH(B42,LISTA_MAQUINARIA,0)))</f>
        <v/>
      </c>
      <c r="D42" s="30"/>
      <c r="E42" s="23" t="str">
        <f>+IF(B42="","",INDEX(V_MAQUINARIA,MATCH(B42,LISTA_MAQUINARIA,0)))</f>
        <v/>
      </c>
      <c r="F42" s="3">
        <f>$G$20</f>
        <v>0</v>
      </c>
      <c r="G42" s="26" t="str">
        <f>IF(D42="","",(E42*D42)/F42)</f>
        <v/>
      </c>
      <c r="K42" s="9"/>
      <c r="L42" s="23" t="str">
        <f>IF(B42="","",INDEX(V_COMBUSTIBLE_H,MATCH(B42,LISTA_MAQUINARIA,0)))</f>
        <v/>
      </c>
      <c r="M42" s="23" t="str">
        <f>+IF(L42="","",(L42*D42)/F42)</f>
        <v/>
      </c>
      <c r="N42" s="23" t="str">
        <f>IF(G42="","",G42-M42)</f>
        <v/>
      </c>
      <c r="P42" s="11"/>
    </row>
    <row r="43" spans="2:16" x14ac:dyDescent="0.3">
      <c r="B43" s="27"/>
      <c r="C43" s="3" t="str">
        <f>+IF(B43="","",INDEX(U_MAQUINARIA,MATCH(B43,LISTA_MAQUINARIA,0)))</f>
        <v/>
      </c>
      <c r="D43" s="30"/>
      <c r="E43" s="23" t="str">
        <f>+IF(B43="","",INDEX(V_MAQUINARIA,MATCH(B43,LISTA_MAQUINARIA,0)))</f>
        <v/>
      </c>
      <c r="F43" s="3">
        <f>+$G$20</f>
        <v>0</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0</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0</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0</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0</v>
      </c>
      <c r="K47" s="9"/>
      <c r="M47" s="24">
        <f>SUM(M42:M46)</f>
        <v>0</v>
      </c>
      <c r="N47" s="24">
        <f>SUM(N42:N46)</f>
        <v>0</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c r="C50" s="30"/>
      <c r="D50" s="22" t="str">
        <f>+IF(B50="","",INDEX(F_PRESTACIONAL,MATCH(B50,L_PERSONAL,)))</f>
        <v/>
      </c>
      <c r="E50" s="23" t="str">
        <f>+IF(B50="","",INDEX(V_H_MANODEOBRA,MATCH(B50,L_PERSONAL,0)))</f>
        <v/>
      </c>
      <c r="F50" s="3">
        <f>+$G$20</f>
        <v>0</v>
      </c>
      <c r="G50" s="26" t="str">
        <f>+IF(C50="","",(E50*C50)/F50)</f>
        <v/>
      </c>
    </row>
    <row r="51" spans="2:7" x14ac:dyDescent="0.3">
      <c r="B51" s="27"/>
      <c r="C51" s="30"/>
      <c r="D51" s="22" t="str">
        <f>+IF(B51="","",INDEX(F_PRESTACIONAL,MATCH(B51,L_PERSONAL,)))</f>
        <v/>
      </c>
      <c r="E51" s="23" t="str">
        <f>+IF(B51="","",INDEX(V_H_MANODEOBRA,MATCH(B51,L_PERSONAL,0)))</f>
        <v/>
      </c>
      <c r="F51" s="3">
        <f>+$G$20</f>
        <v>0</v>
      </c>
      <c r="G51" s="26" t="str">
        <f>+IF(C51="","",(E51*C51)/F51)</f>
        <v/>
      </c>
    </row>
    <row r="52" spans="2:7" x14ac:dyDescent="0.3">
      <c r="B52" s="27"/>
      <c r="C52" s="30"/>
      <c r="D52" s="22" t="str">
        <f>+IF(B52="","",INDEX(F_PRESTACIONAL,MATCH(B52,L_PERSONAL,)))</f>
        <v/>
      </c>
      <c r="E52" s="23" t="str">
        <f>+IF(B52="","",INDEX(V_H_MANODEOBRA,MATCH(B52,L_PERSONAL,0)))</f>
        <v/>
      </c>
      <c r="F52" s="3">
        <f>+$G$20</f>
        <v>0</v>
      </c>
      <c r="G52" s="26" t="str">
        <f>+IF(C52="","",(E52*C52)/F52)</f>
        <v/>
      </c>
    </row>
    <row r="53" spans="2:7" x14ac:dyDescent="0.3">
      <c r="B53" s="27"/>
      <c r="C53" s="30"/>
      <c r="D53" s="22" t="str">
        <f>+IF(B53="","",INDEX(F_PRESTACIONAL,MATCH(B53,L_PERSONAL,)))</f>
        <v/>
      </c>
      <c r="E53" s="23" t="str">
        <f>+IF(B53="","",INDEX(V_H_MANODEOBRA,MATCH(B53,L_PERSONAL,0)))</f>
        <v/>
      </c>
      <c r="F53" s="3">
        <f>+$G$20</f>
        <v>0</v>
      </c>
      <c r="G53" s="26" t="str">
        <f>+IF(C53="","",(E53*C53)/F53)</f>
        <v/>
      </c>
    </row>
    <row r="54" spans="2:7" x14ac:dyDescent="0.3">
      <c r="B54" s="27"/>
      <c r="C54" s="30"/>
      <c r="D54" s="22" t="str">
        <f>+IF(B54="","",INDEX(F_PRESTACIONAL,MATCH(B54,L_PERSONAL,)))</f>
        <v/>
      </c>
      <c r="E54" s="23" t="str">
        <f>+IF(B54="","",INDEX(V_H_MANODEOBRA,MATCH(B54,L_PERSONAL,0)))</f>
        <v/>
      </c>
      <c r="F54" s="3">
        <f>+$G$20</f>
        <v>0</v>
      </c>
      <c r="G54" s="26" t="str">
        <f>+IF(C54="","",(E54*C54)/F54)</f>
        <v/>
      </c>
    </row>
    <row r="55" spans="2:7" x14ac:dyDescent="0.3">
      <c r="B55" s="9"/>
      <c r="G55" s="26">
        <f>SUM(G50:G54)</f>
        <v>0</v>
      </c>
    </row>
    <row r="56" spans="2:7" ht="17.25" thickBot="1" x14ac:dyDescent="0.35">
      <c r="B56" s="9"/>
      <c r="G56" s="11"/>
    </row>
    <row r="57" spans="2:7" ht="17.25" thickBot="1" x14ac:dyDescent="0.35">
      <c r="B57" s="610" t="s">
        <v>98</v>
      </c>
      <c r="C57" s="611"/>
      <c r="D57" s="611"/>
      <c r="E57" s="611"/>
      <c r="F57" s="612"/>
      <c r="G57" s="66">
        <f>+G55+G47+G39+G28</f>
        <v>0</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0</v>
      </c>
    </row>
    <row r="61" spans="2:7" x14ac:dyDescent="0.3">
      <c r="B61" s="613" t="s">
        <v>86</v>
      </c>
      <c r="C61" s="614"/>
      <c r="D61" s="614"/>
      <c r="E61" s="614"/>
      <c r="F61" s="22">
        <f>+IMPREVISTOS</f>
        <v>0.03</v>
      </c>
      <c r="G61" s="26">
        <f>+$G$57*F61</f>
        <v>0</v>
      </c>
    </row>
    <row r="62" spans="2:7" x14ac:dyDescent="0.3">
      <c r="B62" s="613" t="s">
        <v>87</v>
      </c>
      <c r="C62" s="614"/>
      <c r="D62" s="614"/>
      <c r="E62" s="614"/>
      <c r="F62" s="22">
        <f>+UTILIDAD</f>
        <v>0.05</v>
      </c>
      <c r="G62" s="26">
        <f>+$G$57*F62</f>
        <v>0</v>
      </c>
    </row>
    <row r="63" spans="2:7" x14ac:dyDescent="0.3">
      <c r="B63" s="596" t="s">
        <v>100</v>
      </c>
      <c r="C63" s="597"/>
      <c r="D63" s="597"/>
      <c r="E63" s="597"/>
      <c r="F63" s="597"/>
      <c r="G63" s="53">
        <f>SUM(G60:G62)</f>
        <v>0</v>
      </c>
    </row>
    <row r="64" spans="2:7" ht="17.25" thickBot="1" x14ac:dyDescent="0.35">
      <c r="B64" s="9"/>
      <c r="G64" s="44"/>
    </row>
    <row r="65" spans="2:7" ht="17.25" thickBot="1" x14ac:dyDescent="0.35">
      <c r="B65" s="598" t="s">
        <v>101</v>
      </c>
      <c r="C65" s="599"/>
      <c r="D65" s="599"/>
      <c r="E65" s="599"/>
      <c r="F65" s="600"/>
      <c r="G65" s="65">
        <f>+G63+G57</f>
        <v>0</v>
      </c>
    </row>
    <row r="66" spans="2:7" x14ac:dyDescent="0.3">
      <c r="B66" s="6"/>
      <c r="C66" s="7"/>
      <c r="D66" s="7"/>
      <c r="E66" s="7"/>
      <c r="F66" s="7"/>
      <c r="G66" s="8"/>
    </row>
    <row r="67" spans="2:7" x14ac:dyDescent="0.3">
      <c r="B67" s="9"/>
      <c r="G67" s="11"/>
    </row>
    <row r="68" spans="2:7" x14ac:dyDescent="0.3">
      <c r="B68" s="69" t="s">
        <v>123</v>
      </c>
      <c r="C68" s="67"/>
      <c r="D68" s="67"/>
      <c r="E68" s="67"/>
      <c r="F68" s="67"/>
      <c r="G68" s="70"/>
    </row>
    <row r="69" spans="2:7" x14ac:dyDescent="0.3">
      <c r="B69" s="71"/>
      <c r="C69" s="67"/>
      <c r="D69" s="67"/>
      <c r="E69" s="67"/>
      <c r="F69" s="67"/>
      <c r="G69" s="70"/>
    </row>
    <row r="70" spans="2:7" x14ac:dyDescent="0.3">
      <c r="B70" s="72"/>
      <c r="C70" s="68"/>
      <c r="D70" s="68"/>
      <c r="E70" s="68"/>
      <c r="F70" s="68"/>
      <c r="G70" s="73"/>
    </row>
    <row r="71" spans="2:7" x14ac:dyDescent="0.3">
      <c r="B71" s="71"/>
      <c r="C71" s="67"/>
      <c r="D71" s="67"/>
      <c r="E71" s="67"/>
      <c r="F71" s="67"/>
      <c r="G71" s="70"/>
    </row>
    <row r="72" spans="2:7" ht="17.25" thickBot="1" x14ac:dyDescent="0.35">
      <c r="B72" s="15"/>
      <c r="C72" s="13"/>
      <c r="D72" s="13"/>
      <c r="E72" s="13"/>
      <c r="F72" s="13"/>
      <c r="G72" s="14"/>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count="5">
    <dataValidation type="list" allowBlank="1" showInputMessage="1" showErrorMessage="1" sqref="E102" xr:uid="{ABB9F08E-B843-49D9-A7C9-2E3873F8A271}">
      <formula1>$A$103:$A$105</formula1>
    </dataValidation>
    <dataValidation type="list" allowBlank="1" showInputMessage="1" showErrorMessage="1" sqref="B13" xr:uid="{371BBFC6-3B7B-466F-AD9C-1164BD218860}">
      <formula1>ITEM</formula1>
    </dataValidation>
    <dataValidation type="list" allowBlank="1" showInputMessage="1" showErrorMessage="1" sqref="B50:B54" xr:uid="{9CAAE40F-F12A-4988-BDB9-3D841B6E9D32}">
      <formula1>L_PERSONAL</formula1>
    </dataValidation>
    <dataValidation type="list" allowBlank="1" showInputMessage="1" showErrorMessage="1" sqref="B31:B38" xr:uid="{AD1D99BF-363E-4264-B7FC-9141EAC9742B}">
      <formula1>L_MATERIALES</formula1>
    </dataValidation>
    <dataValidation type="list" allowBlank="1" showInputMessage="1" showErrorMessage="1" sqref="B23:B27 B42:B46" xr:uid="{D36A8DF0-C42C-431F-ABC4-2A4EECD9550A}">
      <formula1>LISTA_MAQUINARIA</formula1>
    </dataValidation>
  </dataValidations>
  <pageMargins left="0.7" right="0.7" top="0.75" bottom="0.75" header="0.3" footer="0.3"/>
  <drawing r:id="rId1"/>
  <tableParts count="1">
    <tablePart r:id="rId2"/>
  </tableParts>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7A1F97-EC66-497C-8F3B-82B8EC1E23FB}">
  <sheetPr codeName="Hoja85"/>
  <dimension ref="A1:P105"/>
  <sheetViews>
    <sheetView showGridLines="0" topLeftCell="A22" zoomScale="60" zoomScaleNormal="60" workbookViewId="0">
      <selection activeCell="D41" sqref="D41"/>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74</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04">
        <f>+IF($B$13="","",INDEX(DESCRIP_ITEM,MATCH($B$13,ITEM,0)))</f>
        <v>0</v>
      </c>
      <c r="C16" s="605"/>
      <c r="D16" s="605"/>
      <c r="E16" s="605"/>
      <c r="F16" s="605"/>
      <c r="G16" s="606"/>
    </row>
    <row r="17" spans="2:16" ht="44.25" customHeight="1" thickBot="1" x14ac:dyDescent="0.35">
      <c r="B17" s="607"/>
      <c r="C17" s="608"/>
      <c r="D17" s="608"/>
      <c r="E17" s="608"/>
      <c r="F17" s="608"/>
      <c r="G17" s="609"/>
    </row>
    <row r="18" spans="2:16" ht="17.25" thickBot="1" x14ac:dyDescent="0.35">
      <c r="B18" s="591"/>
      <c r="C18" s="579"/>
      <c r="D18" s="579"/>
      <c r="E18" s="579"/>
      <c r="G18" s="11"/>
    </row>
    <row r="19" spans="2:16" ht="17.25" thickBot="1" x14ac:dyDescent="0.35">
      <c r="B19" s="592"/>
      <c r="C19" s="593"/>
      <c r="D19" s="593"/>
      <c r="E19" s="593"/>
      <c r="F19" s="54" t="s">
        <v>89</v>
      </c>
      <c r="G19" s="25">
        <f>+IF(B13="","",INDEX(U_ITEM,MATCH(B13,ITEM,0)))</f>
        <v>0</v>
      </c>
    </row>
    <row r="20" spans="2:16" ht="17.25" thickBot="1" x14ac:dyDescent="0.35">
      <c r="B20" s="592"/>
      <c r="C20" s="593"/>
      <c r="D20" s="593"/>
      <c r="E20" s="593"/>
      <c r="F20" s="55" t="s">
        <v>90</v>
      </c>
      <c r="G20" s="56">
        <v>0</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c r="C23" s="3" t="str">
        <f>+IF(B23="","",INDEX(U_MAQUINARIA,MATCH(B23,LISTA_MAQUINARIA,0)))</f>
        <v/>
      </c>
      <c r="D23" s="30"/>
      <c r="E23" s="23" t="str">
        <f>+IF(B23="","",INDEX(V_MAQUINARIA,MATCH(B23,LISTA_MAQUINARIA,0)))</f>
        <v/>
      </c>
      <c r="F23" s="3">
        <f>$G$20</f>
        <v>0</v>
      </c>
      <c r="G23" s="26" t="str">
        <f>+IF(B23="","",(D23*E23)/F23)</f>
        <v/>
      </c>
      <c r="K23" s="9"/>
      <c r="L23" s="23" t="str">
        <f>IF(B23="","",INDEX(V_COMBUSTIBLE_H,MATCH(B23,LISTA_MAQUINARIA,0)))</f>
        <v/>
      </c>
      <c r="M23" s="23" t="str">
        <f>+IF(L23="","",(L23*D23)/F23)</f>
        <v/>
      </c>
      <c r="N23" s="23" t="str">
        <f>IF(G23="","",G23-M23)</f>
        <v/>
      </c>
      <c r="P23" s="11"/>
    </row>
    <row r="24" spans="2:16" x14ac:dyDescent="0.3">
      <c r="B24" s="27"/>
      <c r="C24" s="3" t="str">
        <f>+IF(B24="","",INDEX(U_MAQUINARIA,MATCH(B24,LISTA_MAQUINARIA,0)))</f>
        <v/>
      </c>
      <c r="D24" s="30"/>
      <c r="E24" s="23" t="str">
        <f>+IF(B24="","",INDEX(V_MAQUINARIA,MATCH(B24,LISTA_MAQUINARIA,0)))</f>
        <v/>
      </c>
      <c r="F24" s="3">
        <f>$G$20</f>
        <v>0</v>
      </c>
      <c r="G24" s="26" t="str">
        <f>+IF(B24="","",(D24*E24)/F24)</f>
        <v/>
      </c>
      <c r="K24" s="9"/>
      <c r="L24" s="3" t="str">
        <f>IF(B24="","",INDEX(V_COMBUSTIBLE_H,MATCH(B24,LISTA_MAQUINARIA,0)))</f>
        <v/>
      </c>
      <c r="M24" s="3" t="str">
        <f>+IF(L24="","",(L24*D24)/F24)</f>
        <v/>
      </c>
      <c r="N24" s="3" t="str">
        <f>IF(G24="","",G24-M24)</f>
        <v/>
      </c>
      <c r="P24" s="11"/>
    </row>
    <row r="25" spans="2:16" x14ac:dyDescent="0.3">
      <c r="B25" s="27"/>
      <c r="C25" s="3" t="str">
        <f>+IF(B25="","",INDEX(U_MAQUINARIA,MATCH(B25,LISTA_MAQUINARIA,0)))</f>
        <v/>
      </c>
      <c r="D25" s="30"/>
      <c r="E25" s="23" t="str">
        <f>+IF(B25="","",INDEX(V_MAQUINARIA,MATCH(B25,LISTA_MAQUINARIA,0)))</f>
        <v/>
      </c>
      <c r="F25" s="3">
        <f>$G$20</f>
        <v>0</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0</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0</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0</v>
      </c>
      <c r="K28" s="9"/>
      <c r="M28" s="24">
        <f>SUM(M23:M27)</f>
        <v>0</v>
      </c>
      <c r="N28" s="24">
        <f>SUM(N23:N27)</f>
        <v>0</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c r="C31" s="3" t="str">
        <f t="shared" ref="C31:C38" si="0">+IF(B31="","",INDEX(U_MATERIAL,MATCH(B31,L_MATERIALES,0)))</f>
        <v/>
      </c>
      <c r="D31" s="30"/>
      <c r="E31" s="23" t="str">
        <f t="shared" ref="E31:E38" si="1">+IF(B31="","",INDEX(V_UNITARIOMATERIAL,MATCH(B31,L_MATERIALES,0)))</f>
        <v/>
      </c>
      <c r="F31" s="30"/>
      <c r="G31" s="26" t="str">
        <f>IF(D31="","",(E31*D31)/F31)</f>
        <v/>
      </c>
      <c r="K31" s="9"/>
      <c r="L31" t="str">
        <f>+IF(B31="","",B31)</f>
        <v/>
      </c>
      <c r="M31" t="str">
        <f t="shared" ref="M31:M38" si="2">IF(D31="","",(D31/F31)*INDEX(CANT_PROYECTO,MATCH($B$13,ITEM,0)))</f>
        <v/>
      </c>
      <c r="N31" s="1"/>
      <c r="P31" s="11"/>
    </row>
    <row r="32" spans="2:16" x14ac:dyDescent="0.3">
      <c r="B32" s="27"/>
      <c r="C32" s="3" t="str">
        <f t="shared" si="0"/>
        <v/>
      </c>
      <c r="D32" s="30"/>
      <c r="E32" s="23" t="str">
        <f t="shared" si="1"/>
        <v/>
      </c>
      <c r="F32" s="30"/>
      <c r="G32" s="26" t="str">
        <f t="shared" ref="G32:G38" si="3">IF(D32="","",(E32*D32)/F32)</f>
        <v/>
      </c>
      <c r="K32" s="9"/>
      <c r="L32" t="str">
        <f t="shared" ref="L32:L38" si="4">+IF(B32="","",B32)</f>
        <v/>
      </c>
      <c r="M32" t="str">
        <f t="shared" si="2"/>
        <v/>
      </c>
      <c r="N32" s="1"/>
      <c r="P32" s="11"/>
    </row>
    <row r="33" spans="2:16" x14ac:dyDescent="0.3">
      <c r="B33" s="27"/>
      <c r="C33" s="3" t="str">
        <f t="shared" si="0"/>
        <v/>
      </c>
      <c r="D33" s="30"/>
      <c r="E33" s="23" t="str">
        <f t="shared" si="1"/>
        <v/>
      </c>
      <c r="F33" s="30"/>
      <c r="G33" s="26" t="str">
        <f t="shared" si="3"/>
        <v/>
      </c>
      <c r="K33" s="9"/>
      <c r="L33" t="str">
        <f t="shared" si="4"/>
        <v/>
      </c>
      <c r="M33" t="str">
        <f t="shared" si="2"/>
        <v/>
      </c>
      <c r="N33" s="1"/>
      <c r="P33" s="11"/>
    </row>
    <row r="34" spans="2:16" x14ac:dyDescent="0.3">
      <c r="B34" s="27"/>
      <c r="C34" s="3" t="str">
        <f t="shared" si="0"/>
        <v/>
      </c>
      <c r="D34" s="30"/>
      <c r="E34" s="23" t="str">
        <f t="shared" si="1"/>
        <v/>
      </c>
      <c r="F34" s="30"/>
      <c r="G34" s="26" t="str">
        <f t="shared" si="3"/>
        <v/>
      </c>
      <c r="K34" s="9"/>
      <c r="L34" t="str">
        <f t="shared" si="4"/>
        <v/>
      </c>
      <c r="M34" t="str">
        <f t="shared" si="2"/>
        <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0</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c r="C42" s="3" t="str">
        <f>+IF(B42="","",INDEX(U_MAQUINARIA,MATCH(B42,LISTA_MAQUINARIA,0)))</f>
        <v/>
      </c>
      <c r="D42" s="30"/>
      <c r="E42" s="23" t="str">
        <f>+IF(B42="","",INDEX(V_MAQUINARIA,MATCH(B42,LISTA_MAQUINARIA,0)))</f>
        <v/>
      </c>
      <c r="F42" s="3">
        <f>$G$20</f>
        <v>0</v>
      </c>
      <c r="G42" s="26" t="str">
        <f>IF(D42="","",(E42*D42)/F42)</f>
        <v/>
      </c>
      <c r="K42" s="9"/>
      <c r="L42" s="23" t="str">
        <f>IF(B42="","",INDEX(V_COMBUSTIBLE_H,MATCH(B42,LISTA_MAQUINARIA,0)))</f>
        <v/>
      </c>
      <c r="M42" s="23" t="str">
        <f>+IF(L42="","",(L42*D42)/F42)</f>
        <v/>
      </c>
      <c r="N42" s="23" t="str">
        <f>IF(G42="","",G42-M42)</f>
        <v/>
      </c>
      <c r="P42" s="11"/>
    </row>
    <row r="43" spans="2:16" x14ac:dyDescent="0.3">
      <c r="B43" s="27"/>
      <c r="C43" s="3" t="str">
        <f>+IF(B43="","",INDEX(U_MAQUINARIA,MATCH(B43,LISTA_MAQUINARIA,0)))</f>
        <v/>
      </c>
      <c r="D43" s="30"/>
      <c r="E43" s="23" t="str">
        <f>+IF(B43="","",INDEX(V_MAQUINARIA,MATCH(B43,LISTA_MAQUINARIA,0)))</f>
        <v/>
      </c>
      <c r="F43" s="3">
        <f>+$G$20</f>
        <v>0</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0</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0</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0</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0</v>
      </c>
      <c r="K47" s="9"/>
      <c r="M47" s="24">
        <f>SUM(M42:M46)</f>
        <v>0</v>
      </c>
      <c r="N47" s="24">
        <f>SUM(N42:N46)</f>
        <v>0</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c r="C50" s="30"/>
      <c r="D50" s="22" t="str">
        <f>+IF(B50="","",INDEX(F_PRESTACIONAL,MATCH(B50,L_PERSONAL,)))</f>
        <v/>
      </c>
      <c r="E50" s="23" t="str">
        <f>+IF(B50="","",INDEX(V_H_MANODEOBRA,MATCH(B50,L_PERSONAL,0)))</f>
        <v/>
      </c>
      <c r="F50" s="3">
        <f>+$G$20</f>
        <v>0</v>
      </c>
      <c r="G50" s="26" t="str">
        <f>+IF(C50="","",(E50*C50)/F50)</f>
        <v/>
      </c>
    </row>
    <row r="51" spans="2:7" x14ac:dyDescent="0.3">
      <c r="B51" s="27"/>
      <c r="C51" s="30"/>
      <c r="D51" s="22" t="str">
        <f>+IF(B51="","",INDEX(F_PRESTACIONAL,MATCH(B51,L_PERSONAL,)))</f>
        <v/>
      </c>
      <c r="E51" s="23" t="str">
        <f>+IF(B51="","",INDEX(V_H_MANODEOBRA,MATCH(B51,L_PERSONAL,0)))</f>
        <v/>
      </c>
      <c r="F51" s="3">
        <f>+$G$20</f>
        <v>0</v>
      </c>
      <c r="G51" s="26" t="str">
        <f>+IF(C51="","",(E51*C51)/F51)</f>
        <v/>
      </c>
    </row>
    <row r="52" spans="2:7" x14ac:dyDescent="0.3">
      <c r="B52" s="27"/>
      <c r="C52" s="30"/>
      <c r="D52" s="22" t="str">
        <f>+IF(B52="","",INDEX(F_PRESTACIONAL,MATCH(B52,L_PERSONAL,)))</f>
        <v/>
      </c>
      <c r="E52" s="23" t="str">
        <f>+IF(B52="","",INDEX(V_H_MANODEOBRA,MATCH(B52,L_PERSONAL,0)))</f>
        <v/>
      </c>
      <c r="F52" s="3">
        <f>+$G$20</f>
        <v>0</v>
      </c>
      <c r="G52" s="26" t="str">
        <f>+IF(C52="","",(E52*C52)/F52)</f>
        <v/>
      </c>
    </row>
    <row r="53" spans="2:7" x14ac:dyDescent="0.3">
      <c r="B53" s="27"/>
      <c r="C53" s="30"/>
      <c r="D53" s="22" t="str">
        <f>+IF(B53="","",INDEX(F_PRESTACIONAL,MATCH(B53,L_PERSONAL,)))</f>
        <v/>
      </c>
      <c r="E53" s="23" t="str">
        <f>+IF(B53="","",INDEX(V_H_MANODEOBRA,MATCH(B53,L_PERSONAL,0)))</f>
        <v/>
      </c>
      <c r="F53" s="3">
        <f>+$G$20</f>
        <v>0</v>
      </c>
      <c r="G53" s="26" t="str">
        <f>+IF(C53="","",(E53*C53)/F53)</f>
        <v/>
      </c>
    </row>
    <row r="54" spans="2:7" x14ac:dyDescent="0.3">
      <c r="B54" s="27"/>
      <c r="C54" s="30"/>
      <c r="D54" s="22" t="str">
        <f>+IF(B54="","",INDEX(F_PRESTACIONAL,MATCH(B54,L_PERSONAL,)))</f>
        <v/>
      </c>
      <c r="E54" s="23" t="str">
        <f>+IF(B54="","",INDEX(V_H_MANODEOBRA,MATCH(B54,L_PERSONAL,0)))</f>
        <v/>
      </c>
      <c r="F54" s="3">
        <f>+$G$20</f>
        <v>0</v>
      </c>
      <c r="G54" s="26" t="str">
        <f>+IF(C54="","",(E54*C54)/F54)</f>
        <v/>
      </c>
    </row>
    <row r="55" spans="2:7" x14ac:dyDescent="0.3">
      <c r="B55" s="9"/>
      <c r="G55" s="26">
        <f>SUM(G50:G54)</f>
        <v>0</v>
      </c>
    </row>
    <row r="56" spans="2:7" ht="17.25" thickBot="1" x14ac:dyDescent="0.35">
      <c r="B56" s="9"/>
      <c r="G56" s="11"/>
    </row>
    <row r="57" spans="2:7" ht="17.25" thickBot="1" x14ac:dyDescent="0.35">
      <c r="B57" s="610" t="s">
        <v>98</v>
      </c>
      <c r="C57" s="611"/>
      <c r="D57" s="611"/>
      <c r="E57" s="611"/>
      <c r="F57" s="612"/>
      <c r="G57" s="66">
        <f>+G55+G47+G39+G28</f>
        <v>0</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0</v>
      </c>
    </row>
    <row r="61" spans="2:7" x14ac:dyDescent="0.3">
      <c r="B61" s="613" t="s">
        <v>86</v>
      </c>
      <c r="C61" s="614"/>
      <c r="D61" s="614"/>
      <c r="E61" s="614"/>
      <c r="F61" s="22">
        <f>+IMPREVISTOS</f>
        <v>0.03</v>
      </c>
      <c r="G61" s="26">
        <f>+$G$57*F61</f>
        <v>0</v>
      </c>
    </row>
    <row r="62" spans="2:7" x14ac:dyDescent="0.3">
      <c r="B62" s="613" t="s">
        <v>87</v>
      </c>
      <c r="C62" s="614"/>
      <c r="D62" s="614"/>
      <c r="E62" s="614"/>
      <c r="F62" s="22">
        <f>+UTILIDAD</f>
        <v>0.05</v>
      </c>
      <c r="G62" s="26">
        <f>+$G$57*F62</f>
        <v>0</v>
      </c>
    </row>
    <row r="63" spans="2:7" x14ac:dyDescent="0.3">
      <c r="B63" s="596" t="s">
        <v>100</v>
      </c>
      <c r="C63" s="597"/>
      <c r="D63" s="597"/>
      <c r="E63" s="597"/>
      <c r="F63" s="597"/>
      <c r="G63" s="53">
        <f>SUM(G60:G62)</f>
        <v>0</v>
      </c>
    </row>
    <row r="64" spans="2:7" ht="17.25" thickBot="1" x14ac:dyDescent="0.35">
      <c r="B64" s="9"/>
      <c r="G64" s="44"/>
    </row>
    <row r="65" spans="2:7" ht="17.25" thickBot="1" x14ac:dyDescent="0.35">
      <c r="B65" s="598" t="s">
        <v>101</v>
      </c>
      <c r="C65" s="599"/>
      <c r="D65" s="599"/>
      <c r="E65" s="599"/>
      <c r="F65" s="600"/>
      <c r="G65" s="65">
        <f>+G63+G57</f>
        <v>0</v>
      </c>
    </row>
    <row r="66" spans="2:7" x14ac:dyDescent="0.3">
      <c r="B66" s="6"/>
      <c r="C66" s="7"/>
      <c r="D66" s="7"/>
      <c r="E66" s="7"/>
      <c r="F66" s="7"/>
      <c r="G66" s="8"/>
    </row>
    <row r="67" spans="2:7" x14ac:dyDescent="0.3">
      <c r="B67" s="9"/>
      <c r="G67" s="11"/>
    </row>
    <row r="68" spans="2:7" x14ac:dyDescent="0.3">
      <c r="B68" s="69" t="s">
        <v>123</v>
      </c>
      <c r="C68" s="67"/>
      <c r="D68" s="67"/>
      <c r="E68" s="67"/>
      <c r="F68" s="67"/>
      <c r="G68" s="70"/>
    </row>
    <row r="69" spans="2:7" x14ac:dyDescent="0.3">
      <c r="B69" s="71"/>
      <c r="C69" s="67"/>
      <c r="D69" s="67"/>
      <c r="E69" s="67"/>
      <c r="F69" s="67"/>
      <c r="G69" s="70"/>
    </row>
    <row r="70" spans="2:7" x14ac:dyDescent="0.3">
      <c r="B70" s="72"/>
      <c r="C70" s="68"/>
      <c r="D70" s="68"/>
      <c r="E70" s="68"/>
      <c r="F70" s="68"/>
      <c r="G70" s="73"/>
    </row>
    <row r="71" spans="2:7" x14ac:dyDescent="0.3">
      <c r="B71" s="71"/>
      <c r="C71" s="67"/>
      <c r="D71" s="67"/>
      <c r="E71" s="67"/>
      <c r="F71" s="67"/>
      <c r="G71" s="70"/>
    </row>
    <row r="72" spans="2:7" ht="17.25" thickBot="1" x14ac:dyDescent="0.35">
      <c r="B72" s="15"/>
      <c r="C72" s="13"/>
      <c r="D72" s="13"/>
      <c r="E72" s="13"/>
      <c r="F72" s="13"/>
      <c r="G72" s="14"/>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count="5">
    <dataValidation type="list" allowBlank="1" showInputMessage="1" showErrorMessage="1" sqref="E102" xr:uid="{FBDD6223-5D6B-4D08-A088-7DDBDC8545A1}">
      <formula1>$A$103:$A$105</formula1>
    </dataValidation>
    <dataValidation type="list" allowBlank="1" showInputMessage="1" showErrorMessage="1" sqref="B13" xr:uid="{78221B40-3EB7-43AD-9B57-0E0184340CB1}">
      <formula1>ITEM</formula1>
    </dataValidation>
    <dataValidation type="list" allowBlank="1" showInputMessage="1" showErrorMessage="1" sqref="B50:B54" xr:uid="{7C210970-71C4-4F7C-8535-3F12AAB0FFD5}">
      <formula1>L_PERSONAL</formula1>
    </dataValidation>
    <dataValidation type="list" allowBlank="1" showInputMessage="1" showErrorMessage="1" sqref="B31:B38" xr:uid="{C7C0B0A1-FF17-48F1-975E-4176BC59D072}">
      <formula1>L_MATERIALES</formula1>
    </dataValidation>
    <dataValidation type="list" allowBlank="1" showInputMessage="1" showErrorMessage="1" sqref="B23:B27 B42:B46" xr:uid="{7333445E-32D1-4A24-ABEE-585A1D080570}">
      <formula1>LISTA_MAQUINARIA</formula1>
    </dataValidation>
  </dataValidations>
  <pageMargins left="0.7" right="0.7" top="0.75" bottom="0.75" header="0.3" footer="0.3"/>
  <drawing r:id="rId1"/>
  <tableParts count="1">
    <tablePart r:id="rId2"/>
  </tableParts>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336C27-58BE-4032-A40C-EEDE5A0B92AF}">
  <sheetPr codeName="Hoja86"/>
  <dimension ref="A1:P105"/>
  <sheetViews>
    <sheetView showGridLines="0" topLeftCell="A28" zoomScale="60" zoomScaleNormal="60" workbookViewId="0">
      <selection activeCell="D42" sqref="D42"/>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75</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04">
        <f>+IF($B$13="","",INDEX(DESCRIP_ITEM,MATCH($B$13,ITEM,0)))</f>
        <v>0</v>
      </c>
      <c r="C16" s="605"/>
      <c r="D16" s="605"/>
      <c r="E16" s="605"/>
      <c r="F16" s="605"/>
      <c r="G16" s="606"/>
    </row>
    <row r="17" spans="2:16" ht="44.25" customHeight="1" thickBot="1" x14ac:dyDescent="0.35">
      <c r="B17" s="607"/>
      <c r="C17" s="608"/>
      <c r="D17" s="608"/>
      <c r="E17" s="608"/>
      <c r="F17" s="608"/>
      <c r="G17" s="609"/>
    </row>
    <row r="18" spans="2:16" ht="17.25" thickBot="1" x14ac:dyDescent="0.35">
      <c r="B18" s="591"/>
      <c r="C18" s="579"/>
      <c r="D18" s="579"/>
      <c r="E18" s="579"/>
      <c r="G18" s="11"/>
    </row>
    <row r="19" spans="2:16" ht="17.25" thickBot="1" x14ac:dyDescent="0.35">
      <c r="B19" s="592"/>
      <c r="C19" s="593"/>
      <c r="D19" s="593"/>
      <c r="E19" s="593"/>
      <c r="F19" s="54" t="s">
        <v>89</v>
      </c>
      <c r="G19" s="25">
        <f>+IF(B13="","",INDEX(U_ITEM,MATCH(B13,ITEM,0)))</f>
        <v>0</v>
      </c>
    </row>
    <row r="20" spans="2:16" ht="17.25" thickBot="1" x14ac:dyDescent="0.35">
      <c r="B20" s="592"/>
      <c r="C20" s="593"/>
      <c r="D20" s="593"/>
      <c r="E20" s="593"/>
      <c r="F20" s="55" t="s">
        <v>90</v>
      </c>
      <c r="G20" s="56">
        <v>0</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c r="C23" s="3" t="str">
        <f>+IF(B23="","",INDEX(U_MAQUINARIA,MATCH(B23,LISTA_MAQUINARIA,0)))</f>
        <v/>
      </c>
      <c r="D23" s="30"/>
      <c r="E23" s="23" t="str">
        <f>+IF(B23="","",INDEX(V_MAQUINARIA,MATCH(B23,LISTA_MAQUINARIA,0)))</f>
        <v/>
      </c>
      <c r="F23" s="3">
        <f>$G$20</f>
        <v>0</v>
      </c>
      <c r="G23" s="26" t="str">
        <f>+IF(B23="","",(D23*E23)/F23)</f>
        <v/>
      </c>
      <c r="K23" s="9"/>
      <c r="L23" s="23" t="str">
        <f>IF(B23="","",INDEX(V_COMBUSTIBLE_H,MATCH(B23,LISTA_MAQUINARIA,0)))</f>
        <v/>
      </c>
      <c r="M23" s="23" t="str">
        <f>+IF(L23="","",(L23*D23)/F23)</f>
        <v/>
      </c>
      <c r="N23" s="23" t="str">
        <f>IF(G23="","",G23-M23)</f>
        <v/>
      </c>
      <c r="P23" s="11"/>
    </row>
    <row r="24" spans="2:16" x14ac:dyDescent="0.3">
      <c r="B24" s="27"/>
      <c r="C24" s="3" t="str">
        <f>+IF(B24="","",INDEX(U_MAQUINARIA,MATCH(B24,LISTA_MAQUINARIA,0)))</f>
        <v/>
      </c>
      <c r="D24" s="30"/>
      <c r="E24" s="23" t="str">
        <f>+IF(B24="","",INDEX(V_MAQUINARIA,MATCH(B24,LISTA_MAQUINARIA,0)))</f>
        <v/>
      </c>
      <c r="F24" s="3">
        <f>$G$20</f>
        <v>0</v>
      </c>
      <c r="G24" s="26" t="str">
        <f>+IF(B24="","",(D24*E24)/F24)</f>
        <v/>
      </c>
      <c r="K24" s="9"/>
      <c r="L24" s="3" t="str">
        <f>IF(B24="","",INDEX(V_COMBUSTIBLE_H,MATCH(B24,LISTA_MAQUINARIA,0)))</f>
        <v/>
      </c>
      <c r="M24" s="3" t="str">
        <f>+IF(L24="","",(L24*D24)/F24)</f>
        <v/>
      </c>
      <c r="N24" s="3" t="str">
        <f>IF(G24="","",G24-M24)</f>
        <v/>
      </c>
      <c r="P24" s="11"/>
    </row>
    <row r="25" spans="2:16" x14ac:dyDescent="0.3">
      <c r="B25" s="27"/>
      <c r="C25" s="3" t="str">
        <f>+IF(B25="","",INDEX(U_MAQUINARIA,MATCH(B25,LISTA_MAQUINARIA,0)))</f>
        <v/>
      </c>
      <c r="D25" s="30"/>
      <c r="E25" s="23" t="str">
        <f>+IF(B25="","",INDEX(V_MAQUINARIA,MATCH(B25,LISTA_MAQUINARIA,0)))</f>
        <v/>
      </c>
      <c r="F25" s="3">
        <f>$G$20</f>
        <v>0</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0</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0</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0</v>
      </c>
      <c r="K28" s="9"/>
      <c r="M28" s="24">
        <f>SUM(M23:M27)</f>
        <v>0</v>
      </c>
      <c r="N28" s="24">
        <f>SUM(N23:N27)</f>
        <v>0</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c r="C31" s="3" t="str">
        <f t="shared" ref="C31:C38" si="0">+IF(B31="","",INDEX(U_MATERIAL,MATCH(B31,L_MATERIALES,0)))</f>
        <v/>
      </c>
      <c r="D31" s="30"/>
      <c r="E31" s="23" t="str">
        <f t="shared" ref="E31:E38" si="1">+IF(B31="","",INDEX(V_UNITARIOMATERIAL,MATCH(B31,L_MATERIALES,0)))</f>
        <v/>
      </c>
      <c r="F31" s="30"/>
      <c r="G31" s="26" t="str">
        <f>IF(D31="","",(E31*D31)/F31)</f>
        <v/>
      </c>
      <c r="K31" s="9"/>
      <c r="L31" t="str">
        <f>+IF(B31="","",B31)</f>
        <v/>
      </c>
      <c r="M31" t="str">
        <f t="shared" ref="M31:M38" si="2">IF(D31="","",(D31/F31)*INDEX(CANT_PROYECTO,MATCH($B$13,ITEM,0)))</f>
        <v/>
      </c>
      <c r="N31" s="1"/>
      <c r="P31" s="11"/>
    </row>
    <row r="32" spans="2:16" x14ac:dyDescent="0.3">
      <c r="B32" s="27"/>
      <c r="C32" s="3" t="str">
        <f t="shared" si="0"/>
        <v/>
      </c>
      <c r="D32" s="30"/>
      <c r="E32" s="23" t="str">
        <f t="shared" si="1"/>
        <v/>
      </c>
      <c r="F32" s="30"/>
      <c r="G32" s="26" t="str">
        <f t="shared" ref="G32:G38" si="3">IF(D32="","",(E32*D32)/F32)</f>
        <v/>
      </c>
      <c r="K32" s="9"/>
      <c r="L32" t="str">
        <f t="shared" ref="L32:L38" si="4">+IF(B32="","",B32)</f>
        <v/>
      </c>
      <c r="M32" t="str">
        <f t="shared" si="2"/>
        <v/>
      </c>
      <c r="N32" s="1"/>
      <c r="P32" s="11"/>
    </row>
    <row r="33" spans="2:16" x14ac:dyDescent="0.3">
      <c r="B33" s="27"/>
      <c r="C33" s="3" t="str">
        <f t="shared" si="0"/>
        <v/>
      </c>
      <c r="D33" s="30"/>
      <c r="E33" s="23" t="str">
        <f t="shared" si="1"/>
        <v/>
      </c>
      <c r="F33" s="30"/>
      <c r="G33" s="26" t="str">
        <f t="shared" si="3"/>
        <v/>
      </c>
      <c r="K33" s="9"/>
      <c r="L33" t="str">
        <f t="shared" si="4"/>
        <v/>
      </c>
      <c r="M33" t="str">
        <f t="shared" si="2"/>
        <v/>
      </c>
      <c r="N33" s="1"/>
      <c r="P33" s="11"/>
    </row>
    <row r="34" spans="2:16" x14ac:dyDescent="0.3">
      <c r="B34" s="27"/>
      <c r="C34" s="3" t="str">
        <f t="shared" si="0"/>
        <v/>
      </c>
      <c r="D34" s="30"/>
      <c r="E34" s="23" t="str">
        <f t="shared" si="1"/>
        <v/>
      </c>
      <c r="F34" s="30"/>
      <c r="G34" s="26" t="str">
        <f t="shared" si="3"/>
        <v/>
      </c>
      <c r="K34" s="9"/>
      <c r="L34" t="str">
        <f t="shared" si="4"/>
        <v/>
      </c>
      <c r="M34" t="str">
        <f t="shared" si="2"/>
        <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0</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c r="C42" s="3" t="str">
        <f>+IF(B42="","",INDEX(U_MAQUINARIA,MATCH(B42,LISTA_MAQUINARIA,0)))</f>
        <v/>
      </c>
      <c r="D42" s="30"/>
      <c r="E42" s="23" t="str">
        <f>+IF(B42="","",INDEX(V_MAQUINARIA,MATCH(B42,LISTA_MAQUINARIA,0)))</f>
        <v/>
      </c>
      <c r="F42" s="3">
        <f>$G$20</f>
        <v>0</v>
      </c>
      <c r="G42" s="26" t="str">
        <f>IF(D42="","",(E42*D42)/F42)</f>
        <v/>
      </c>
      <c r="K42" s="9"/>
      <c r="L42" s="23" t="str">
        <f>IF(B42="","",INDEX(V_COMBUSTIBLE_H,MATCH(B42,LISTA_MAQUINARIA,0)))</f>
        <v/>
      </c>
      <c r="M42" s="23" t="str">
        <f>+IF(L42="","",(L42*D42)/F42)</f>
        <v/>
      </c>
      <c r="N42" s="23" t="str">
        <f>IF(G42="","",G42-M42)</f>
        <v/>
      </c>
      <c r="P42" s="11"/>
    </row>
    <row r="43" spans="2:16" x14ac:dyDescent="0.3">
      <c r="B43" s="27"/>
      <c r="C43" s="3" t="str">
        <f>+IF(B43="","",INDEX(U_MAQUINARIA,MATCH(B43,LISTA_MAQUINARIA,0)))</f>
        <v/>
      </c>
      <c r="D43" s="30"/>
      <c r="E43" s="23" t="str">
        <f>+IF(B43="","",INDEX(V_MAQUINARIA,MATCH(B43,LISTA_MAQUINARIA,0)))</f>
        <v/>
      </c>
      <c r="F43" s="3">
        <f>+$G$20</f>
        <v>0</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0</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0</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0</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0</v>
      </c>
      <c r="K47" s="9"/>
      <c r="M47" s="24">
        <f>SUM(M42:M46)</f>
        <v>0</v>
      </c>
      <c r="N47" s="24">
        <f>SUM(N42:N46)</f>
        <v>0</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c r="C50" s="30"/>
      <c r="D50" s="22" t="str">
        <f>+IF(B50="","",INDEX(F_PRESTACIONAL,MATCH(B50,L_PERSONAL,)))</f>
        <v/>
      </c>
      <c r="E50" s="23" t="str">
        <f>+IF(B50="","",INDEX(V_H_MANODEOBRA,MATCH(B50,L_PERSONAL,0)))</f>
        <v/>
      </c>
      <c r="F50" s="3">
        <f>+$G$20</f>
        <v>0</v>
      </c>
      <c r="G50" s="26" t="str">
        <f>+IF(C50="","",(E50*C50)/F50)</f>
        <v/>
      </c>
    </row>
    <row r="51" spans="2:7" x14ac:dyDescent="0.3">
      <c r="B51" s="27"/>
      <c r="C51" s="30"/>
      <c r="D51" s="22" t="str">
        <f>+IF(B51="","",INDEX(F_PRESTACIONAL,MATCH(B51,L_PERSONAL,)))</f>
        <v/>
      </c>
      <c r="E51" s="23" t="str">
        <f>+IF(B51="","",INDEX(V_H_MANODEOBRA,MATCH(B51,L_PERSONAL,0)))</f>
        <v/>
      </c>
      <c r="F51" s="3">
        <f>+$G$20</f>
        <v>0</v>
      </c>
      <c r="G51" s="26" t="str">
        <f>+IF(C51="","",(E51*C51)/F51)</f>
        <v/>
      </c>
    </row>
    <row r="52" spans="2:7" x14ac:dyDescent="0.3">
      <c r="B52" s="27"/>
      <c r="C52" s="30"/>
      <c r="D52" s="22" t="str">
        <f>+IF(B52="","",INDEX(F_PRESTACIONAL,MATCH(B52,L_PERSONAL,)))</f>
        <v/>
      </c>
      <c r="E52" s="23" t="str">
        <f>+IF(B52="","",INDEX(V_H_MANODEOBRA,MATCH(B52,L_PERSONAL,0)))</f>
        <v/>
      </c>
      <c r="F52" s="3">
        <f>+$G$20</f>
        <v>0</v>
      </c>
      <c r="G52" s="26" t="str">
        <f>+IF(C52="","",(E52*C52)/F52)</f>
        <v/>
      </c>
    </row>
    <row r="53" spans="2:7" x14ac:dyDescent="0.3">
      <c r="B53" s="27"/>
      <c r="C53" s="30"/>
      <c r="D53" s="22" t="str">
        <f>+IF(B53="","",INDEX(F_PRESTACIONAL,MATCH(B53,L_PERSONAL,)))</f>
        <v/>
      </c>
      <c r="E53" s="23" t="str">
        <f>+IF(B53="","",INDEX(V_H_MANODEOBRA,MATCH(B53,L_PERSONAL,0)))</f>
        <v/>
      </c>
      <c r="F53" s="3">
        <f>+$G$20</f>
        <v>0</v>
      </c>
      <c r="G53" s="26" t="str">
        <f>+IF(C53="","",(E53*C53)/F53)</f>
        <v/>
      </c>
    </row>
    <row r="54" spans="2:7" x14ac:dyDescent="0.3">
      <c r="B54" s="27"/>
      <c r="C54" s="30"/>
      <c r="D54" s="22" t="str">
        <f>+IF(B54="","",INDEX(F_PRESTACIONAL,MATCH(B54,L_PERSONAL,)))</f>
        <v/>
      </c>
      <c r="E54" s="23" t="str">
        <f>+IF(B54="","",INDEX(V_H_MANODEOBRA,MATCH(B54,L_PERSONAL,0)))</f>
        <v/>
      </c>
      <c r="F54" s="3">
        <f>+$G$20</f>
        <v>0</v>
      </c>
      <c r="G54" s="26" t="str">
        <f>+IF(C54="","",(E54*C54)/F54)</f>
        <v/>
      </c>
    </row>
    <row r="55" spans="2:7" x14ac:dyDescent="0.3">
      <c r="B55" s="9"/>
      <c r="G55" s="26">
        <f>SUM(G50:G54)</f>
        <v>0</v>
      </c>
    </row>
    <row r="56" spans="2:7" ht="17.25" thickBot="1" x14ac:dyDescent="0.35">
      <c r="B56" s="9"/>
      <c r="G56" s="11"/>
    </row>
    <row r="57" spans="2:7" ht="17.25" thickBot="1" x14ac:dyDescent="0.35">
      <c r="B57" s="610" t="s">
        <v>98</v>
      </c>
      <c r="C57" s="611"/>
      <c r="D57" s="611"/>
      <c r="E57" s="611"/>
      <c r="F57" s="612"/>
      <c r="G57" s="66">
        <f>+G55+G47+G39+G28</f>
        <v>0</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0</v>
      </c>
    </row>
    <row r="61" spans="2:7" x14ac:dyDescent="0.3">
      <c r="B61" s="613" t="s">
        <v>86</v>
      </c>
      <c r="C61" s="614"/>
      <c r="D61" s="614"/>
      <c r="E61" s="614"/>
      <c r="F61" s="22">
        <f>+IMPREVISTOS</f>
        <v>0.03</v>
      </c>
      <c r="G61" s="26">
        <f>+$G$57*F61</f>
        <v>0</v>
      </c>
    </row>
    <row r="62" spans="2:7" x14ac:dyDescent="0.3">
      <c r="B62" s="613" t="s">
        <v>87</v>
      </c>
      <c r="C62" s="614"/>
      <c r="D62" s="614"/>
      <c r="E62" s="614"/>
      <c r="F62" s="22">
        <f>+UTILIDAD</f>
        <v>0.05</v>
      </c>
      <c r="G62" s="26">
        <f>+$G$57*F62</f>
        <v>0</v>
      </c>
    </row>
    <row r="63" spans="2:7" x14ac:dyDescent="0.3">
      <c r="B63" s="596" t="s">
        <v>100</v>
      </c>
      <c r="C63" s="597"/>
      <c r="D63" s="597"/>
      <c r="E63" s="597"/>
      <c r="F63" s="597"/>
      <c r="G63" s="53">
        <f>SUM(G60:G62)</f>
        <v>0</v>
      </c>
    </row>
    <row r="64" spans="2:7" ht="17.25" thickBot="1" x14ac:dyDescent="0.35">
      <c r="B64" s="9"/>
      <c r="G64" s="44"/>
    </row>
    <row r="65" spans="2:7" ht="17.25" thickBot="1" x14ac:dyDescent="0.35">
      <c r="B65" s="598" t="s">
        <v>101</v>
      </c>
      <c r="C65" s="599"/>
      <c r="D65" s="599"/>
      <c r="E65" s="599"/>
      <c r="F65" s="600"/>
      <c r="G65" s="65">
        <f>+G63+G57</f>
        <v>0</v>
      </c>
    </row>
    <row r="66" spans="2:7" x14ac:dyDescent="0.3">
      <c r="B66" s="6"/>
      <c r="C66" s="7"/>
      <c r="D66" s="7"/>
      <c r="E66" s="7"/>
      <c r="F66" s="7"/>
      <c r="G66" s="8"/>
    </row>
    <row r="67" spans="2:7" x14ac:dyDescent="0.3">
      <c r="B67" s="9"/>
      <c r="G67" s="11"/>
    </row>
    <row r="68" spans="2:7" x14ac:dyDescent="0.3">
      <c r="B68" s="69" t="s">
        <v>123</v>
      </c>
      <c r="C68" s="67"/>
      <c r="D68" s="67"/>
      <c r="E68" s="67"/>
      <c r="F68" s="67"/>
      <c r="G68" s="70"/>
    </row>
    <row r="69" spans="2:7" x14ac:dyDescent="0.3">
      <c r="B69" s="71"/>
      <c r="C69" s="67"/>
      <c r="D69" s="67"/>
      <c r="E69" s="67"/>
      <c r="F69" s="67"/>
      <c r="G69" s="70"/>
    </row>
    <row r="70" spans="2:7" x14ac:dyDescent="0.3">
      <c r="B70" s="72"/>
      <c r="C70" s="68"/>
      <c r="D70" s="68"/>
      <c r="E70" s="68"/>
      <c r="F70" s="68"/>
      <c r="G70" s="73"/>
    </row>
    <row r="71" spans="2:7" x14ac:dyDescent="0.3">
      <c r="B71" s="71"/>
      <c r="C71" s="67"/>
      <c r="D71" s="67"/>
      <c r="E71" s="67"/>
      <c r="F71" s="67"/>
      <c r="G71" s="70"/>
    </row>
    <row r="72" spans="2:7" ht="17.25" thickBot="1" x14ac:dyDescent="0.35">
      <c r="B72" s="15"/>
      <c r="C72" s="13"/>
      <c r="D72" s="13"/>
      <c r="E72" s="13"/>
      <c r="F72" s="13"/>
      <c r="G72" s="14"/>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count="5">
    <dataValidation type="list" allowBlank="1" showInputMessage="1" showErrorMessage="1" sqref="E102" xr:uid="{45CCFF87-F40D-4411-B1A6-27D3916C3CC7}">
      <formula1>$A$103:$A$105</formula1>
    </dataValidation>
    <dataValidation type="list" allowBlank="1" showInputMessage="1" showErrorMessage="1" sqref="B13" xr:uid="{A0366B25-F1D0-4FFD-B29D-DEFDD0860A50}">
      <formula1>ITEM</formula1>
    </dataValidation>
    <dataValidation type="list" allowBlank="1" showInputMessage="1" showErrorMessage="1" sqref="B50:B54" xr:uid="{55C4B24E-9222-4B91-8B97-D47E02B3D9B9}">
      <formula1>L_PERSONAL</formula1>
    </dataValidation>
    <dataValidation type="list" allowBlank="1" showInputMessage="1" showErrorMessage="1" sqref="B31:B38" xr:uid="{4F628F34-DD03-402D-A8BB-AEA597F73AE5}">
      <formula1>L_MATERIALES</formula1>
    </dataValidation>
    <dataValidation type="list" allowBlank="1" showInputMessage="1" showErrorMessage="1" sqref="B23:B27 B42:B46" xr:uid="{DA0A8A37-00A5-4D71-821F-3AE51720AD6A}">
      <formula1>LISTA_MAQUINARIA</formula1>
    </dataValidation>
  </dataValidations>
  <pageMargins left="0.7" right="0.7" top="0.75" bottom="0.75" header="0.3" footer="0.3"/>
  <drawing r:id="rId1"/>
  <tableParts count="1">
    <tablePart r:id="rId2"/>
  </tableParts>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D97190-ABED-497C-A41C-C7DA59DB6759}">
  <sheetPr codeName="Hoja87"/>
  <dimension ref="A1:P105"/>
  <sheetViews>
    <sheetView showGridLines="0" topLeftCell="A25" zoomScale="60" zoomScaleNormal="60" workbookViewId="0">
      <selection activeCell="E46" sqref="E46"/>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76</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04">
        <f>+IF($B$13="","",INDEX(DESCRIP_ITEM,MATCH($B$13,ITEM,0)))</f>
        <v>0</v>
      </c>
      <c r="C16" s="605"/>
      <c r="D16" s="605"/>
      <c r="E16" s="605"/>
      <c r="F16" s="605"/>
      <c r="G16" s="606"/>
    </row>
    <row r="17" spans="2:16" ht="44.25" customHeight="1" thickBot="1" x14ac:dyDescent="0.35">
      <c r="B17" s="607"/>
      <c r="C17" s="608"/>
      <c r="D17" s="608"/>
      <c r="E17" s="608"/>
      <c r="F17" s="608"/>
      <c r="G17" s="609"/>
    </row>
    <row r="18" spans="2:16" ht="17.25" thickBot="1" x14ac:dyDescent="0.35">
      <c r="B18" s="591"/>
      <c r="C18" s="579"/>
      <c r="D18" s="579"/>
      <c r="E18" s="579"/>
      <c r="G18" s="11"/>
    </row>
    <row r="19" spans="2:16" ht="17.25" thickBot="1" x14ac:dyDescent="0.35">
      <c r="B19" s="592"/>
      <c r="C19" s="593"/>
      <c r="D19" s="593"/>
      <c r="E19" s="593"/>
      <c r="F19" s="54" t="s">
        <v>89</v>
      </c>
      <c r="G19" s="25">
        <f>+IF(B13="","",INDEX(U_ITEM,MATCH(B13,ITEM,0)))</f>
        <v>0</v>
      </c>
    </row>
    <row r="20" spans="2:16" ht="17.25" thickBot="1" x14ac:dyDescent="0.35">
      <c r="B20" s="592"/>
      <c r="C20" s="593"/>
      <c r="D20" s="593"/>
      <c r="E20" s="593"/>
      <c r="F20" s="55" t="s">
        <v>90</v>
      </c>
      <c r="G20" s="56">
        <v>0</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c r="C23" s="3" t="str">
        <f>+IF(B23="","",INDEX(U_MAQUINARIA,MATCH(B23,LISTA_MAQUINARIA,0)))</f>
        <v/>
      </c>
      <c r="D23" s="30"/>
      <c r="E23" s="23" t="str">
        <f>+IF(B23="","",INDEX(V_MAQUINARIA,MATCH(B23,LISTA_MAQUINARIA,0)))</f>
        <v/>
      </c>
      <c r="F23" s="3">
        <f>$G$20</f>
        <v>0</v>
      </c>
      <c r="G23" s="26" t="str">
        <f>+IF(B23="","",(D23*E23)/F23)</f>
        <v/>
      </c>
      <c r="K23" s="9"/>
      <c r="L23" s="23" t="str">
        <f>IF(B23="","",INDEX(V_COMBUSTIBLE_H,MATCH(B23,LISTA_MAQUINARIA,0)))</f>
        <v/>
      </c>
      <c r="M23" s="23" t="str">
        <f>+IF(L23="","",(L23*D23)/F23)</f>
        <v/>
      </c>
      <c r="N23" s="23" t="str">
        <f>IF(G23="","",G23-M23)</f>
        <v/>
      </c>
      <c r="P23" s="11"/>
    </row>
    <row r="24" spans="2:16" x14ac:dyDescent="0.3">
      <c r="B24" s="27"/>
      <c r="C24" s="3" t="str">
        <f>+IF(B24="","",INDEX(U_MAQUINARIA,MATCH(B24,LISTA_MAQUINARIA,0)))</f>
        <v/>
      </c>
      <c r="D24" s="30"/>
      <c r="E24" s="23" t="str">
        <f>+IF(B24="","",INDEX(V_MAQUINARIA,MATCH(B24,LISTA_MAQUINARIA,0)))</f>
        <v/>
      </c>
      <c r="F24" s="3">
        <f>$G$20</f>
        <v>0</v>
      </c>
      <c r="G24" s="26" t="str">
        <f>+IF(B24="","",(D24*E24)/F24)</f>
        <v/>
      </c>
      <c r="K24" s="9"/>
      <c r="L24" s="3" t="str">
        <f>IF(B24="","",INDEX(V_COMBUSTIBLE_H,MATCH(B24,LISTA_MAQUINARIA,0)))</f>
        <v/>
      </c>
      <c r="M24" s="3" t="str">
        <f>+IF(L24="","",(L24*D24)/F24)</f>
        <v/>
      </c>
      <c r="N24" s="3" t="str">
        <f>IF(G24="","",G24-M24)</f>
        <v/>
      </c>
      <c r="P24" s="11"/>
    </row>
    <row r="25" spans="2:16" x14ac:dyDescent="0.3">
      <c r="B25" s="27"/>
      <c r="C25" s="3" t="str">
        <f>+IF(B25="","",INDEX(U_MAQUINARIA,MATCH(B25,LISTA_MAQUINARIA,0)))</f>
        <v/>
      </c>
      <c r="D25" s="30"/>
      <c r="E25" s="23" t="str">
        <f>+IF(B25="","",INDEX(V_MAQUINARIA,MATCH(B25,LISTA_MAQUINARIA,0)))</f>
        <v/>
      </c>
      <c r="F25" s="3">
        <f>$G$20</f>
        <v>0</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0</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0</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0</v>
      </c>
      <c r="K28" s="9"/>
      <c r="M28" s="24">
        <f>SUM(M23:M27)</f>
        <v>0</v>
      </c>
      <c r="N28" s="24">
        <f>SUM(N23:N27)</f>
        <v>0</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c r="C31" s="3" t="str">
        <f t="shared" ref="C31:C38" si="0">+IF(B31="","",INDEX(U_MATERIAL,MATCH(B31,L_MATERIALES,0)))</f>
        <v/>
      </c>
      <c r="D31" s="30"/>
      <c r="E31" s="23" t="str">
        <f t="shared" ref="E31:E38" si="1">+IF(B31="","",INDEX(V_UNITARIOMATERIAL,MATCH(B31,L_MATERIALES,0)))</f>
        <v/>
      </c>
      <c r="F31" s="30"/>
      <c r="G31" s="26" t="str">
        <f>IF(D31="","",(E31*D31)/F31)</f>
        <v/>
      </c>
      <c r="K31" s="9"/>
      <c r="L31" t="str">
        <f>+IF(B31="","",B31)</f>
        <v/>
      </c>
      <c r="M31" t="str">
        <f t="shared" ref="M31:M38" si="2">IF(D31="","",(D31/F31)*INDEX(CANT_PROYECTO,MATCH($B$13,ITEM,0)))</f>
        <v/>
      </c>
      <c r="N31" s="1"/>
      <c r="P31" s="11"/>
    </row>
    <row r="32" spans="2:16" x14ac:dyDescent="0.3">
      <c r="B32" s="27"/>
      <c r="C32" s="3" t="str">
        <f t="shared" si="0"/>
        <v/>
      </c>
      <c r="D32" s="30"/>
      <c r="E32" s="23" t="str">
        <f t="shared" si="1"/>
        <v/>
      </c>
      <c r="F32" s="30"/>
      <c r="G32" s="26" t="str">
        <f t="shared" ref="G32:G38" si="3">IF(D32="","",(E32*D32)/F32)</f>
        <v/>
      </c>
      <c r="K32" s="9"/>
      <c r="L32" t="str">
        <f t="shared" ref="L32:L38" si="4">+IF(B32="","",B32)</f>
        <v/>
      </c>
      <c r="M32" t="str">
        <f t="shared" si="2"/>
        <v/>
      </c>
      <c r="N32" s="1"/>
      <c r="P32" s="11"/>
    </row>
    <row r="33" spans="2:16" x14ac:dyDescent="0.3">
      <c r="B33" s="27"/>
      <c r="C33" s="3" t="str">
        <f t="shared" si="0"/>
        <v/>
      </c>
      <c r="D33" s="30"/>
      <c r="E33" s="23" t="str">
        <f t="shared" si="1"/>
        <v/>
      </c>
      <c r="F33" s="30"/>
      <c r="G33" s="26" t="str">
        <f t="shared" si="3"/>
        <v/>
      </c>
      <c r="K33" s="9"/>
      <c r="L33" t="str">
        <f t="shared" si="4"/>
        <v/>
      </c>
      <c r="M33" t="str">
        <f t="shared" si="2"/>
        <v/>
      </c>
      <c r="N33" s="1"/>
      <c r="P33" s="11"/>
    </row>
    <row r="34" spans="2:16" x14ac:dyDescent="0.3">
      <c r="B34" s="27"/>
      <c r="C34" s="3" t="str">
        <f t="shared" si="0"/>
        <v/>
      </c>
      <c r="D34" s="30"/>
      <c r="E34" s="23" t="str">
        <f t="shared" si="1"/>
        <v/>
      </c>
      <c r="F34" s="30"/>
      <c r="G34" s="26" t="str">
        <f t="shared" si="3"/>
        <v/>
      </c>
      <c r="K34" s="9"/>
      <c r="L34" t="str">
        <f t="shared" si="4"/>
        <v/>
      </c>
      <c r="M34" t="str">
        <f t="shared" si="2"/>
        <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0</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c r="C42" s="3" t="str">
        <f>+IF(B42="","",INDEX(U_MAQUINARIA,MATCH(B42,LISTA_MAQUINARIA,0)))</f>
        <v/>
      </c>
      <c r="D42" s="30"/>
      <c r="E42" s="23" t="str">
        <f>+IF(B42="","",INDEX(V_MAQUINARIA,MATCH(B42,LISTA_MAQUINARIA,0)))</f>
        <v/>
      </c>
      <c r="F42" s="3">
        <f>$G$20</f>
        <v>0</v>
      </c>
      <c r="G42" s="26" t="str">
        <f>IF(D42="","",(E42*D42)/F42)</f>
        <v/>
      </c>
      <c r="K42" s="9"/>
      <c r="L42" s="23" t="str">
        <f>IF(B42="","",INDEX(V_COMBUSTIBLE_H,MATCH(B42,LISTA_MAQUINARIA,0)))</f>
        <v/>
      </c>
      <c r="M42" s="23" t="str">
        <f>+IF(L42="","",(L42*D42)/F42)</f>
        <v/>
      </c>
      <c r="N42" s="23" t="str">
        <f>IF(G42="","",G42-M42)</f>
        <v/>
      </c>
      <c r="P42" s="11"/>
    </row>
    <row r="43" spans="2:16" x14ac:dyDescent="0.3">
      <c r="B43" s="27"/>
      <c r="C43" s="3" t="str">
        <f>+IF(B43="","",INDEX(U_MAQUINARIA,MATCH(B43,LISTA_MAQUINARIA,0)))</f>
        <v/>
      </c>
      <c r="D43" s="30"/>
      <c r="E43" s="23" t="str">
        <f>+IF(B43="","",INDEX(V_MAQUINARIA,MATCH(B43,LISTA_MAQUINARIA,0)))</f>
        <v/>
      </c>
      <c r="F43" s="3">
        <f>+$G$20</f>
        <v>0</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0</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0</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0</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0</v>
      </c>
      <c r="K47" s="9"/>
      <c r="M47" s="24">
        <f>SUM(M42:M46)</f>
        <v>0</v>
      </c>
      <c r="N47" s="24">
        <f>SUM(N42:N46)</f>
        <v>0</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c r="C50" s="30"/>
      <c r="D50" s="22" t="str">
        <f>+IF(B50="","",INDEX(F_PRESTACIONAL,MATCH(B50,L_PERSONAL,)))</f>
        <v/>
      </c>
      <c r="E50" s="23" t="str">
        <f>+IF(B50="","",INDEX(V_H_MANODEOBRA,MATCH(B50,L_PERSONAL,0)))</f>
        <v/>
      </c>
      <c r="F50" s="3">
        <f>+$G$20</f>
        <v>0</v>
      </c>
      <c r="G50" s="26" t="str">
        <f>+IF(C50="","",(E50*C50)/F50)</f>
        <v/>
      </c>
    </row>
    <row r="51" spans="2:7" x14ac:dyDescent="0.3">
      <c r="B51" s="27"/>
      <c r="C51" s="30"/>
      <c r="D51" s="22" t="str">
        <f>+IF(B51="","",INDEX(F_PRESTACIONAL,MATCH(B51,L_PERSONAL,)))</f>
        <v/>
      </c>
      <c r="E51" s="23" t="str">
        <f>+IF(B51="","",INDEX(V_H_MANODEOBRA,MATCH(B51,L_PERSONAL,0)))</f>
        <v/>
      </c>
      <c r="F51" s="3">
        <f>+$G$20</f>
        <v>0</v>
      </c>
      <c r="G51" s="26" t="str">
        <f>+IF(C51="","",(E51*C51)/F51)</f>
        <v/>
      </c>
    </row>
    <row r="52" spans="2:7" x14ac:dyDescent="0.3">
      <c r="B52" s="27"/>
      <c r="C52" s="30"/>
      <c r="D52" s="22" t="str">
        <f>+IF(B52="","",INDEX(F_PRESTACIONAL,MATCH(B52,L_PERSONAL,)))</f>
        <v/>
      </c>
      <c r="E52" s="23" t="str">
        <f>+IF(B52="","",INDEX(V_H_MANODEOBRA,MATCH(B52,L_PERSONAL,0)))</f>
        <v/>
      </c>
      <c r="F52" s="3">
        <f>+$G$20</f>
        <v>0</v>
      </c>
      <c r="G52" s="26" t="str">
        <f>+IF(C52="","",(E52*C52)/F52)</f>
        <v/>
      </c>
    </row>
    <row r="53" spans="2:7" x14ac:dyDescent="0.3">
      <c r="B53" s="27"/>
      <c r="C53" s="30"/>
      <c r="D53" s="22" t="str">
        <f>+IF(B53="","",INDEX(F_PRESTACIONAL,MATCH(B53,L_PERSONAL,)))</f>
        <v/>
      </c>
      <c r="E53" s="23" t="str">
        <f>+IF(B53="","",INDEX(V_H_MANODEOBRA,MATCH(B53,L_PERSONAL,0)))</f>
        <v/>
      </c>
      <c r="F53" s="3">
        <f>+$G$20</f>
        <v>0</v>
      </c>
      <c r="G53" s="26" t="str">
        <f>+IF(C53="","",(E53*C53)/F53)</f>
        <v/>
      </c>
    </row>
    <row r="54" spans="2:7" x14ac:dyDescent="0.3">
      <c r="B54" s="27"/>
      <c r="C54" s="30"/>
      <c r="D54" s="22" t="str">
        <f>+IF(B54="","",INDEX(F_PRESTACIONAL,MATCH(B54,L_PERSONAL,)))</f>
        <v/>
      </c>
      <c r="E54" s="23" t="str">
        <f>+IF(B54="","",INDEX(V_H_MANODEOBRA,MATCH(B54,L_PERSONAL,0)))</f>
        <v/>
      </c>
      <c r="F54" s="3">
        <f>+$G$20</f>
        <v>0</v>
      </c>
      <c r="G54" s="26" t="str">
        <f>+IF(C54="","",(E54*C54)/F54)</f>
        <v/>
      </c>
    </row>
    <row r="55" spans="2:7" x14ac:dyDescent="0.3">
      <c r="B55" s="9"/>
      <c r="G55" s="26">
        <f>SUM(G50:G54)</f>
        <v>0</v>
      </c>
    </row>
    <row r="56" spans="2:7" ht="17.25" thickBot="1" x14ac:dyDescent="0.35">
      <c r="B56" s="9"/>
      <c r="G56" s="11"/>
    </row>
    <row r="57" spans="2:7" ht="17.25" thickBot="1" x14ac:dyDescent="0.35">
      <c r="B57" s="610" t="s">
        <v>98</v>
      </c>
      <c r="C57" s="611"/>
      <c r="D57" s="611"/>
      <c r="E57" s="611"/>
      <c r="F57" s="612"/>
      <c r="G57" s="66">
        <f>+G55+G47+G39+G28</f>
        <v>0</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0</v>
      </c>
    </row>
    <row r="61" spans="2:7" x14ac:dyDescent="0.3">
      <c r="B61" s="613" t="s">
        <v>86</v>
      </c>
      <c r="C61" s="614"/>
      <c r="D61" s="614"/>
      <c r="E61" s="614"/>
      <c r="F61" s="22">
        <f>+IMPREVISTOS</f>
        <v>0.03</v>
      </c>
      <c r="G61" s="26">
        <f>+$G$57*F61</f>
        <v>0</v>
      </c>
    </row>
    <row r="62" spans="2:7" x14ac:dyDescent="0.3">
      <c r="B62" s="613" t="s">
        <v>87</v>
      </c>
      <c r="C62" s="614"/>
      <c r="D62" s="614"/>
      <c r="E62" s="614"/>
      <c r="F62" s="22">
        <f>+UTILIDAD</f>
        <v>0.05</v>
      </c>
      <c r="G62" s="26">
        <f>+$G$57*F62</f>
        <v>0</v>
      </c>
    </row>
    <row r="63" spans="2:7" x14ac:dyDescent="0.3">
      <c r="B63" s="596" t="s">
        <v>100</v>
      </c>
      <c r="C63" s="597"/>
      <c r="D63" s="597"/>
      <c r="E63" s="597"/>
      <c r="F63" s="597"/>
      <c r="G63" s="53">
        <f>SUM(G60:G62)</f>
        <v>0</v>
      </c>
    </row>
    <row r="64" spans="2:7" ht="17.25" thickBot="1" x14ac:dyDescent="0.35">
      <c r="B64" s="9"/>
      <c r="G64" s="44"/>
    </row>
    <row r="65" spans="2:7" ht="17.25" thickBot="1" x14ac:dyDescent="0.35">
      <c r="B65" s="598" t="s">
        <v>101</v>
      </c>
      <c r="C65" s="599"/>
      <c r="D65" s="599"/>
      <c r="E65" s="599"/>
      <c r="F65" s="600"/>
      <c r="G65" s="65">
        <f>+G63+G57</f>
        <v>0</v>
      </c>
    </row>
    <row r="66" spans="2:7" x14ac:dyDescent="0.3">
      <c r="B66" s="6"/>
      <c r="C66" s="7"/>
      <c r="D66" s="7"/>
      <c r="E66" s="7"/>
      <c r="F66" s="7"/>
      <c r="G66" s="8"/>
    </row>
    <row r="67" spans="2:7" x14ac:dyDescent="0.3">
      <c r="B67" s="9"/>
      <c r="G67" s="11"/>
    </row>
    <row r="68" spans="2:7" x14ac:dyDescent="0.3">
      <c r="B68" s="69" t="s">
        <v>123</v>
      </c>
      <c r="C68" s="67"/>
      <c r="D68" s="67"/>
      <c r="E68" s="67"/>
      <c r="F68" s="67"/>
      <c r="G68" s="70"/>
    </row>
    <row r="69" spans="2:7" x14ac:dyDescent="0.3">
      <c r="B69" s="71"/>
      <c r="C69" s="67"/>
      <c r="D69" s="67"/>
      <c r="E69" s="67"/>
      <c r="F69" s="67"/>
      <c r="G69" s="70"/>
    </row>
    <row r="70" spans="2:7" x14ac:dyDescent="0.3">
      <c r="B70" s="72"/>
      <c r="C70" s="68"/>
      <c r="D70" s="68"/>
      <c r="E70" s="68"/>
      <c r="F70" s="68"/>
      <c r="G70" s="73"/>
    </row>
    <row r="71" spans="2:7" x14ac:dyDescent="0.3">
      <c r="B71" s="71"/>
      <c r="C71" s="67"/>
      <c r="D71" s="67"/>
      <c r="E71" s="67"/>
      <c r="F71" s="67"/>
      <c r="G71" s="70"/>
    </row>
    <row r="72" spans="2:7" ht="17.25" thickBot="1" x14ac:dyDescent="0.35">
      <c r="B72" s="15"/>
      <c r="C72" s="13"/>
      <c r="D72" s="13"/>
      <c r="E72" s="13"/>
      <c r="F72" s="13"/>
      <c r="G72" s="14"/>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count="5">
    <dataValidation type="list" allowBlank="1" showInputMessage="1" showErrorMessage="1" sqref="E102" xr:uid="{763BC0C5-3D70-479B-8D5E-F2CBC78F73AE}">
      <formula1>$A$103:$A$105</formula1>
    </dataValidation>
    <dataValidation type="list" allowBlank="1" showInputMessage="1" showErrorMessage="1" sqref="B13" xr:uid="{CD10E82F-825F-41FB-8E11-EB60878A4B78}">
      <formula1>ITEM</formula1>
    </dataValidation>
    <dataValidation type="list" allowBlank="1" showInputMessage="1" showErrorMessage="1" sqref="B50:B54" xr:uid="{B6DDFA02-C554-40C3-97A8-F28A6763D71A}">
      <formula1>L_PERSONAL</formula1>
    </dataValidation>
    <dataValidation type="list" allowBlank="1" showInputMessage="1" showErrorMessage="1" sqref="B31:B38" xr:uid="{9B897777-3A54-4F38-A3FC-D6E48FFF53DE}">
      <formula1>L_MATERIALES</formula1>
    </dataValidation>
    <dataValidation type="list" allowBlank="1" showInputMessage="1" showErrorMessage="1" sqref="B23:B27 B42:B46" xr:uid="{A06E3C97-AF7D-49C9-9F77-11C4C7399702}">
      <formula1>LISTA_MAQUINARIA</formula1>
    </dataValidation>
  </dataValidations>
  <pageMargins left="0.7" right="0.7" top="0.75" bottom="0.75" header="0.3" footer="0.3"/>
  <drawing r:id="rId1"/>
  <tableParts count="1">
    <tablePart r:id="rId2"/>
  </tableParts>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7D6912-4645-4803-8ADF-F36F37B91EBB}">
  <sheetPr codeName="Hoja88"/>
  <dimension ref="A1:P105"/>
  <sheetViews>
    <sheetView showGridLines="0" topLeftCell="A28" zoomScale="60" zoomScaleNormal="60" workbookViewId="0">
      <selection activeCell="E46" sqref="E46"/>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77</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04">
        <f>+IF($B$13="","",INDEX(DESCRIP_ITEM,MATCH($B$13,ITEM,0)))</f>
        <v>0</v>
      </c>
      <c r="C16" s="605"/>
      <c r="D16" s="605"/>
      <c r="E16" s="605"/>
      <c r="F16" s="605"/>
      <c r="G16" s="606"/>
    </row>
    <row r="17" spans="2:16" ht="44.25" customHeight="1" thickBot="1" x14ac:dyDescent="0.35">
      <c r="B17" s="607"/>
      <c r="C17" s="608"/>
      <c r="D17" s="608"/>
      <c r="E17" s="608"/>
      <c r="F17" s="608"/>
      <c r="G17" s="609"/>
    </row>
    <row r="18" spans="2:16" ht="17.25" thickBot="1" x14ac:dyDescent="0.35">
      <c r="B18" s="591"/>
      <c r="C18" s="579"/>
      <c r="D18" s="579"/>
      <c r="E18" s="579"/>
      <c r="G18" s="11"/>
    </row>
    <row r="19" spans="2:16" ht="17.25" thickBot="1" x14ac:dyDescent="0.35">
      <c r="B19" s="592"/>
      <c r="C19" s="593"/>
      <c r="D19" s="593"/>
      <c r="E19" s="593"/>
      <c r="F19" s="54" t="s">
        <v>89</v>
      </c>
      <c r="G19" s="25">
        <f>+IF(B13="","",INDEX(U_ITEM,MATCH(B13,ITEM,0)))</f>
        <v>0</v>
      </c>
    </row>
    <row r="20" spans="2:16" ht="17.25" thickBot="1" x14ac:dyDescent="0.35">
      <c r="B20" s="592"/>
      <c r="C20" s="593"/>
      <c r="D20" s="593"/>
      <c r="E20" s="593"/>
      <c r="F20" s="55" t="s">
        <v>90</v>
      </c>
      <c r="G20" s="56">
        <v>0</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c r="C23" s="3" t="str">
        <f>+IF(B23="","",INDEX(U_MAQUINARIA,MATCH(B23,LISTA_MAQUINARIA,0)))</f>
        <v/>
      </c>
      <c r="D23" s="30"/>
      <c r="E23" s="23" t="str">
        <f>+IF(B23="","",INDEX(V_MAQUINARIA,MATCH(B23,LISTA_MAQUINARIA,0)))</f>
        <v/>
      </c>
      <c r="F23" s="3">
        <f>$G$20</f>
        <v>0</v>
      </c>
      <c r="G23" s="26" t="str">
        <f>+IF(B23="","",(D23*E23)/F23)</f>
        <v/>
      </c>
      <c r="K23" s="9"/>
      <c r="L23" s="23" t="str">
        <f>IF(B23="","",INDEX(V_COMBUSTIBLE_H,MATCH(B23,LISTA_MAQUINARIA,0)))</f>
        <v/>
      </c>
      <c r="M23" s="23" t="str">
        <f>+IF(L23="","",(L23*D23)/F23)</f>
        <v/>
      </c>
      <c r="N23" s="23" t="str">
        <f>IF(G23="","",G23-M23)</f>
        <v/>
      </c>
      <c r="P23" s="11"/>
    </row>
    <row r="24" spans="2:16" x14ac:dyDescent="0.3">
      <c r="B24" s="27"/>
      <c r="C24" s="3" t="str">
        <f>+IF(B24="","",INDEX(U_MAQUINARIA,MATCH(B24,LISTA_MAQUINARIA,0)))</f>
        <v/>
      </c>
      <c r="D24" s="30"/>
      <c r="E24" s="23" t="str">
        <f>+IF(B24="","",INDEX(V_MAQUINARIA,MATCH(B24,LISTA_MAQUINARIA,0)))</f>
        <v/>
      </c>
      <c r="F24" s="3">
        <f>$G$20</f>
        <v>0</v>
      </c>
      <c r="G24" s="26" t="str">
        <f>+IF(B24="","",(D24*E24)/F24)</f>
        <v/>
      </c>
      <c r="K24" s="9"/>
      <c r="L24" s="3" t="str">
        <f>IF(B24="","",INDEX(V_COMBUSTIBLE_H,MATCH(B24,LISTA_MAQUINARIA,0)))</f>
        <v/>
      </c>
      <c r="M24" s="3" t="str">
        <f>+IF(L24="","",(L24*D24)/F24)</f>
        <v/>
      </c>
      <c r="N24" s="3" t="str">
        <f>IF(G24="","",G24-M24)</f>
        <v/>
      </c>
      <c r="P24" s="11"/>
    </row>
    <row r="25" spans="2:16" x14ac:dyDescent="0.3">
      <c r="B25" s="27"/>
      <c r="C25" s="3" t="str">
        <f>+IF(B25="","",INDEX(U_MAQUINARIA,MATCH(B25,LISTA_MAQUINARIA,0)))</f>
        <v/>
      </c>
      <c r="D25" s="30"/>
      <c r="E25" s="23" t="str">
        <f>+IF(B25="","",INDEX(V_MAQUINARIA,MATCH(B25,LISTA_MAQUINARIA,0)))</f>
        <v/>
      </c>
      <c r="F25" s="3">
        <f>$G$20</f>
        <v>0</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0</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0</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0</v>
      </c>
      <c r="K28" s="9"/>
      <c r="M28" s="24">
        <f>SUM(M23:M27)</f>
        <v>0</v>
      </c>
      <c r="N28" s="24">
        <f>SUM(N23:N27)</f>
        <v>0</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c r="C31" s="3" t="str">
        <f t="shared" ref="C31:C38" si="0">+IF(B31="","",INDEX(U_MATERIAL,MATCH(B31,L_MATERIALES,0)))</f>
        <v/>
      </c>
      <c r="D31" s="30"/>
      <c r="E31" s="23" t="str">
        <f t="shared" ref="E31:E38" si="1">+IF(B31="","",INDEX(V_UNITARIOMATERIAL,MATCH(B31,L_MATERIALES,0)))</f>
        <v/>
      </c>
      <c r="F31" s="30"/>
      <c r="G31" s="26" t="str">
        <f>IF(D31="","",(E31*D31)/F31)</f>
        <v/>
      </c>
      <c r="K31" s="9"/>
      <c r="L31" t="str">
        <f>+IF(B31="","",B31)</f>
        <v/>
      </c>
      <c r="M31" t="str">
        <f t="shared" ref="M31:M38" si="2">IF(D31="","",(D31/F31)*INDEX(CANT_PROYECTO,MATCH($B$13,ITEM,0)))</f>
        <v/>
      </c>
      <c r="N31" s="1"/>
      <c r="P31" s="11"/>
    </row>
    <row r="32" spans="2:16" x14ac:dyDescent="0.3">
      <c r="B32" s="27"/>
      <c r="C32" s="3" t="str">
        <f t="shared" si="0"/>
        <v/>
      </c>
      <c r="D32" s="30"/>
      <c r="E32" s="23" t="str">
        <f t="shared" si="1"/>
        <v/>
      </c>
      <c r="F32" s="30"/>
      <c r="G32" s="26" t="str">
        <f t="shared" ref="G32:G38" si="3">IF(D32="","",(E32*D32)/F32)</f>
        <v/>
      </c>
      <c r="K32" s="9"/>
      <c r="L32" t="str">
        <f t="shared" ref="L32:L38" si="4">+IF(B32="","",B32)</f>
        <v/>
      </c>
      <c r="M32" t="str">
        <f t="shared" si="2"/>
        <v/>
      </c>
      <c r="N32" s="1"/>
      <c r="P32" s="11"/>
    </row>
    <row r="33" spans="2:16" x14ac:dyDescent="0.3">
      <c r="B33" s="27"/>
      <c r="C33" s="3" t="str">
        <f t="shared" si="0"/>
        <v/>
      </c>
      <c r="D33" s="30"/>
      <c r="E33" s="23" t="str">
        <f t="shared" si="1"/>
        <v/>
      </c>
      <c r="F33" s="30"/>
      <c r="G33" s="26" t="str">
        <f t="shared" si="3"/>
        <v/>
      </c>
      <c r="K33" s="9"/>
      <c r="L33" t="str">
        <f t="shared" si="4"/>
        <v/>
      </c>
      <c r="M33" t="str">
        <f t="shared" si="2"/>
        <v/>
      </c>
      <c r="N33" s="1"/>
      <c r="P33" s="11"/>
    </row>
    <row r="34" spans="2:16" x14ac:dyDescent="0.3">
      <c r="B34" s="27"/>
      <c r="C34" s="3" t="str">
        <f t="shared" si="0"/>
        <v/>
      </c>
      <c r="D34" s="30"/>
      <c r="E34" s="23" t="str">
        <f t="shared" si="1"/>
        <v/>
      </c>
      <c r="F34" s="30"/>
      <c r="G34" s="26" t="str">
        <f t="shared" si="3"/>
        <v/>
      </c>
      <c r="K34" s="9"/>
      <c r="L34" t="str">
        <f t="shared" si="4"/>
        <v/>
      </c>
      <c r="M34" t="str">
        <f t="shared" si="2"/>
        <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0</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c r="C42" s="3" t="str">
        <f>+IF(B42="","",INDEX(U_MAQUINARIA,MATCH(B42,LISTA_MAQUINARIA,0)))</f>
        <v/>
      </c>
      <c r="D42" s="30"/>
      <c r="E42" s="23" t="str">
        <f>+IF(B42="","",INDEX(V_MAQUINARIA,MATCH(B42,LISTA_MAQUINARIA,0)))</f>
        <v/>
      </c>
      <c r="F42" s="3">
        <f>$G$20</f>
        <v>0</v>
      </c>
      <c r="G42" s="26" t="str">
        <f>IF(D42="","",(E42*D42)/F42)</f>
        <v/>
      </c>
      <c r="K42" s="9"/>
      <c r="L42" s="23" t="str">
        <f>IF(B42="","",INDEX(V_COMBUSTIBLE_H,MATCH(B42,LISTA_MAQUINARIA,0)))</f>
        <v/>
      </c>
      <c r="M42" s="23" t="str">
        <f>+IF(L42="","",(L42*D42)/F42)</f>
        <v/>
      </c>
      <c r="N42" s="23" t="str">
        <f>IF(G42="","",G42-M42)</f>
        <v/>
      </c>
      <c r="P42" s="11"/>
    </row>
    <row r="43" spans="2:16" x14ac:dyDescent="0.3">
      <c r="B43" s="27"/>
      <c r="C43" s="3" t="str">
        <f>+IF(B43="","",INDEX(U_MAQUINARIA,MATCH(B43,LISTA_MAQUINARIA,0)))</f>
        <v/>
      </c>
      <c r="D43" s="30"/>
      <c r="E43" s="23" t="str">
        <f>+IF(B43="","",INDEX(V_MAQUINARIA,MATCH(B43,LISTA_MAQUINARIA,0)))</f>
        <v/>
      </c>
      <c r="F43" s="3">
        <f>+$G$20</f>
        <v>0</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0</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0</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0</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0</v>
      </c>
      <c r="K47" s="9"/>
      <c r="M47" s="24">
        <f>SUM(M42:M46)</f>
        <v>0</v>
      </c>
      <c r="N47" s="24">
        <f>SUM(N42:N46)</f>
        <v>0</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c r="C50" s="30"/>
      <c r="D50" s="22" t="str">
        <f>+IF(B50="","",INDEX(F_PRESTACIONAL,MATCH(B50,L_PERSONAL,)))</f>
        <v/>
      </c>
      <c r="E50" s="23" t="str">
        <f>+IF(B50="","",INDEX(V_H_MANODEOBRA,MATCH(B50,L_PERSONAL,0)))</f>
        <v/>
      </c>
      <c r="F50" s="3">
        <f>+$G$20</f>
        <v>0</v>
      </c>
      <c r="G50" s="26" t="str">
        <f>+IF(C50="","",(E50*C50)/F50)</f>
        <v/>
      </c>
    </row>
    <row r="51" spans="2:7" x14ac:dyDescent="0.3">
      <c r="B51" s="27"/>
      <c r="C51" s="30"/>
      <c r="D51" s="22" t="str">
        <f>+IF(B51="","",INDEX(F_PRESTACIONAL,MATCH(B51,L_PERSONAL,)))</f>
        <v/>
      </c>
      <c r="E51" s="23" t="str">
        <f>+IF(B51="","",INDEX(V_H_MANODEOBRA,MATCH(B51,L_PERSONAL,0)))</f>
        <v/>
      </c>
      <c r="F51" s="3">
        <f>+$G$20</f>
        <v>0</v>
      </c>
      <c r="G51" s="26" t="str">
        <f>+IF(C51="","",(E51*C51)/F51)</f>
        <v/>
      </c>
    </row>
    <row r="52" spans="2:7" x14ac:dyDescent="0.3">
      <c r="B52" s="27"/>
      <c r="C52" s="30"/>
      <c r="D52" s="22" t="str">
        <f>+IF(B52="","",INDEX(F_PRESTACIONAL,MATCH(B52,L_PERSONAL,)))</f>
        <v/>
      </c>
      <c r="E52" s="23" t="str">
        <f>+IF(B52="","",INDEX(V_H_MANODEOBRA,MATCH(B52,L_PERSONAL,0)))</f>
        <v/>
      </c>
      <c r="F52" s="3">
        <f>+$G$20</f>
        <v>0</v>
      </c>
      <c r="G52" s="26" t="str">
        <f>+IF(C52="","",(E52*C52)/F52)</f>
        <v/>
      </c>
    </row>
    <row r="53" spans="2:7" x14ac:dyDescent="0.3">
      <c r="B53" s="27"/>
      <c r="C53" s="30"/>
      <c r="D53" s="22" t="str">
        <f>+IF(B53="","",INDEX(F_PRESTACIONAL,MATCH(B53,L_PERSONAL,)))</f>
        <v/>
      </c>
      <c r="E53" s="23" t="str">
        <f>+IF(B53="","",INDEX(V_H_MANODEOBRA,MATCH(B53,L_PERSONAL,0)))</f>
        <v/>
      </c>
      <c r="F53" s="3">
        <f>+$G$20</f>
        <v>0</v>
      </c>
      <c r="G53" s="26" t="str">
        <f>+IF(C53="","",(E53*C53)/F53)</f>
        <v/>
      </c>
    </row>
    <row r="54" spans="2:7" x14ac:dyDescent="0.3">
      <c r="B54" s="27"/>
      <c r="C54" s="30"/>
      <c r="D54" s="22" t="str">
        <f>+IF(B54="","",INDEX(F_PRESTACIONAL,MATCH(B54,L_PERSONAL,)))</f>
        <v/>
      </c>
      <c r="E54" s="23" t="str">
        <f>+IF(B54="","",INDEX(V_H_MANODEOBRA,MATCH(B54,L_PERSONAL,0)))</f>
        <v/>
      </c>
      <c r="F54" s="3">
        <f>+$G$20</f>
        <v>0</v>
      </c>
      <c r="G54" s="26" t="str">
        <f>+IF(C54="","",(E54*C54)/F54)</f>
        <v/>
      </c>
    </row>
    <row r="55" spans="2:7" x14ac:dyDescent="0.3">
      <c r="B55" s="9"/>
      <c r="G55" s="26">
        <f>SUM(G50:G54)</f>
        <v>0</v>
      </c>
    </row>
    <row r="56" spans="2:7" ht="17.25" thickBot="1" x14ac:dyDescent="0.35">
      <c r="B56" s="9"/>
      <c r="G56" s="11"/>
    </row>
    <row r="57" spans="2:7" ht="17.25" thickBot="1" x14ac:dyDescent="0.35">
      <c r="B57" s="610" t="s">
        <v>98</v>
      </c>
      <c r="C57" s="611"/>
      <c r="D57" s="611"/>
      <c r="E57" s="611"/>
      <c r="F57" s="612"/>
      <c r="G57" s="66">
        <f>+G55+G47+G39+G28</f>
        <v>0</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0</v>
      </c>
    </row>
    <row r="61" spans="2:7" x14ac:dyDescent="0.3">
      <c r="B61" s="613" t="s">
        <v>86</v>
      </c>
      <c r="C61" s="614"/>
      <c r="D61" s="614"/>
      <c r="E61" s="614"/>
      <c r="F61" s="22">
        <f>+IMPREVISTOS</f>
        <v>0.03</v>
      </c>
      <c r="G61" s="26">
        <f>+$G$57*F61</f>
        <v>0</v>
      </c>
    </row>
    <row r="62" spans="2:7" x14ac:dyDescent="0.3">
      <c r="B62" s="613" t="s">
        <v>87</v>
      </c>
      <c r="C62" s="614"/>
      <c r="D62" s="614"/>
      <c r="E62" s="614"/>
      <c r="F62" s="22">
        <f>+UTILIDAD</f>
        <v>0.05</v>
      </c>
      <c r="G62" s="26">
        <f>+$G$57*F62</f>
        <v>0</v>
      </c>
    </row>
    <row r="63" spans="2:7" x14ac:dyDescent="0.3">
      <c r="B63" s="596" t="s">
        <v>100</v>
      </c>
      <c r="C63" s="597"/>
      <c r="D63" s="597"/>
      <c r="E63" s="597"/>
      <c r="F63" s="597"/>
      <c r="G63" s="53">
        <f>SUM(G60:G62)</f>
        <v>0</v>
      </c>
    </row>
    <row r="64" spans="2:7" ht="17.25" thickBot="1" x14ac:dyDescent="0.35">
      <c r="B64" s="9"/>
      <c r="G64" s="44"/>
    </row>
    <row r="65" spans="2:7" ht="17.25" thickBot="1" x14ac:dyDescent="0.35">
      <c r="B65" s="598" t="s">
        <v>101</v>
      </c>
      <c r="C65" s="599"/>
      <c r="D65" s="599"/>
      <c r="E65" s="599"/>
      <c r="F65" s="600"/>
      <c r="G65" s="65">
        <f>+G63+G57</f>
        <v>0</v>
      </c>
    </row>
    <row r="66" spans="2:7" x14ac:dyDescent="0.3">
      <c r="B66" s="6"/>
      <c r="C66" s="7"/>
      <c r="D66" s="7"/>
      <c r="E66" s="7"/>
      <c r="F66" s="7"/>
      <c r="G66" s="8"/>
    </row>
    <row r="67" spans="2:7" x14ac:dyDescent="0.3">
      <c r="B67" s="9"/>
      <c r="G67" s="11"/>
    </row>
    <row r="68" spans="2:7" x14ac:dyDescent="0.3">
      <c r="B68" s="69" t="s">
        <v>123</v>
      </c>
      <c r="C68" s="67"/>
      <c r="D68" s="67"/>
      <c r="E68" s="67"/>
      <c r="F68" s="67"/>
      <c r="G68" s="70"/>
    </row>
    <row r="69" spans="2:7" x14ac:dyDescent="0.3">
      <c r="B69" s="71"/>
      <c r="C69" s="67"/>
      <c r="D69" s="67"/>
      <c r="E69" s="67"/>
      <c r="F69" s="67"/>
      <c r="G69" s="70"/>
    </row>
    <row r="70" spans="2:7" x14ac:dyDescent="0.3">
      <c r="B70" s="72"/>
      <c r="C70" s="68"/>
      <c r="D70" s="68"/>
      <c r="E70" s="68"/>
      <c r="F70" s="68"/>
      <c r="G70" s="73"/>
    </row>
    <row r="71" spans="2:7" x14ac:dyDescent="0.3">
      <c r="B71" s="71"/>
      <c r="C71" s="67"/>
      <c r="D71" s="67"/>
      <c r="E71" s="67"/>
      <c r="F71" s="67"/>
      <c r="G71" s="70"/>
    </row>
    <row r="72" spans="2:7" ht="17.25" thickBot="1" x14ac:dyDescent="0.35">
      <c r="B72" s="15"/>
      <c r="C72" s="13"/>
      <c r="D72" s="13"/>
      <c r="E72" s="13"/>
      <c r="F72" s="13"/>
      <c r="G72" s="14"/>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count="5">
    <dataValidation type="list" allowBlank="1" showInputMessage="1" showErrorMessage="1" sqref="E102" xr:uid="{EB57AFEE-3A2B-41B0-BB02-CC7B2ADAAC34}">
      <formula1>$A$103:$A$105</formula1>
    </dataValidation>
    <dataValidation type="list" allowBlank="1" showInputMessage="1" showErrorMessage="1" sqref="B13" xr:uid="{740BC17A-C312-45EE-9656-116648AA7542}">
      <formula1>ITEM</formula1>
    </dataValidation>
    <dataValidation type="list" allowBlank="1" showInputMessage="1" showErrorMessage="1" sqref="B50:B54" xr:uid="{6D7E7068-42F1-4A1D-A90A-ED48A388EBE8}">
      <formula1>L_PERSONAL</formula1>
    </dataValidation>
    <dataValidation type="list" allowBlank="1" showInputMessage="1" showErrorMessage="1" sqref="B31:B38" xr:uid="{883DC38E-6D38-4D00-BEBD-084A1060386C}">
      <formula1>L_MATERIALES</formula1>
    </dataValidation>
    <dataValidation type="list" allowBlank="1" showInputMessage="1" showErrorMessage="1" sqref="B23:B27 B42:B46" xr:uid="{8056C558-329D-47BE-A967-047A18941CDD}">
      <formula1>LISTA_MAQUINARIA</formula1>
    </dataValidation>
  </dataValidations>
  <pageMargins left="0.7" right="0.7" top="0.75" bottom="0.75" header="0.3" footer="0.3"/>
  <drawing r:id="rId1"/>
  <tableParts count="1">
    <tablePart r:id="rId2"/>
  </tableParts>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F4176-A686-4738-81CF-C2308C549D02}">
  <sheetPr codeName="Hoja89"/>
  <dimension ref="A1:P105"/>
  <sheetViews>
    <sheetView showGridLines="0" topLeftCell="A25" zoomScale="60" zoomScaleNormal="60" workbookViewId="0">
      <selection activeCell="E43" sqref="E43"/>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78</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04">
        <f>+IF($B$13="","",INDEX(DESCRIP_ITEM,MATCH($B$13,ITEM,0)))</f>
        <v>0</v>
      </c>
      <c r="C16" s="605"/>
      <c r="D16" s="605"/>
      <c r="E16" s="605"/>
      <c r="F16" s="605"/>
      <c r="G16" s="606"/>
    </row>
    <row r="17" spans="2:16" ht="44.25" customHeight="1" thickBot="1" x14ac:dyDescent="0.35">
      <c r="B17" s="607"/>
      <c r="C17" s="608"/>
      <c r="D17" s="608"/>
      <c r="E17" s="608"/>
      <c r="F17" s="608"/>
      <c r="G17" s="609"/>
    </row>
    <row r="18" spans="2:16" ht="17.25" thickBot="1" x14ac:dyDescent="0.35">
      <c r="B18" s="591"/>
      <c r="C18" s="579"/>
      <c r="D18" s="579"/>
      <c r="E18" s="579"/>
      <c r="G18" s="11"/>
    </row>
    <row r="19" spans="2:16" ht="17.25" thickBot="1" x14ac:dyDescent="0.35">
      <c r="B19" s="592"/>
      <c r="C19" s="593"/>
      <c r="D19" s="593"/>
      <c r="E19" s="593"/>
      <c r="F19" s="54" t="s">
        <v>89</v>
      </c>
      <c r="G19" s="25">
        <f>+IF(B13="","",INDEX(U_ITEM,MATCH(B13,ITEM,0)))</f>
        <v>0</v>
      </c>
    </row>
    <row r="20" spans="2:16" ht="17.25" thickBot="1" x14ac:dyDescent="0.35">
      <c r="B20" s="592"/>
      <c r="C20" s="593"/>
      <c r="D20" s="593"/>
      <c r="E20" s="593"/>
      <c r="F20" s="55" t="s">
        <v>90</v>
      </c>
      <c r="G20" s="56">
        <v>0</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c r="C23" s="3" t="str">
        <f>+IF(B23="","",INDEX(U_MAQUINARIA,MATCH(B23,LISTA_MAQUINARIA,0)))</f>
        <v/>
      </c>
      <c r="D23" s="30"/>
      <c r="E23" s="23" t="str">
        <f>+IF(B23="","",INDEX(V_MAQUINARIA,MATCH(B23,LISTA_MAQUINARIA,0)))</f>
        <v/>
      </c>
      <c r="F23" s="3">
        <f>$G$20</f>
        <v>0</v>
      </c>
      <c r="G23" s="26" t="str">
        <f>+IF(B23="","",(D23*E23)/F23)</f>
        <v/>
      </c>
      <c r="K23" s="9"/>
      <c r="L23" s="23" t="str">
        <f>IF(B23="","",INDEX(V_COMBUSTIBLE_H,MATCH(B23,LISTA_MAQUINARIA,0)))</f>
        <v/>
      </c>
      <c r="M23" s="23" t="str">
        <f>+IF(L23="","",(L23*D23)/F23)</f>
        <v/>
      </c>
      <c r="N23" s="23" t="str">
        <f>IF(G23="","",G23-M23)</f>
        <v/>
      </c>
      <c r="P23" s="11"/>
    </row>
    <row r="24" spans="2:16" x14ac:dyDescent="0.3">
      <c r="B24" s="27"/>
      <c r="C24" s="3" t="str">
        <f>+IF(B24="","",INDEX(U_MAQUINARIA,MATCH(B24,LISTA_MAQUINARIA,0)))</f>
        <v/>
      </c>
      <c r="D24" s="30"/>
      <c r="E24" s="23" t="str">
        <f>+IF(B24="","",INDEX(V_MAQUINARIA,MATCH(B24,LISTA_MAQUINARIA,0)))</f>
        <v/>
      </c>
      <c r="F24" s="3">
        <f>$G$20</f>
        <v>0</v>
      </c>
      <c r="G24" s="26" t="str">
        <f>+IF(B24="","",(D24*E24)/F24)</f>
        <v/>
      </c>
      <c r="K24" s="9"/>
      <c r="L24" s="3" t="str">
        <f>IF(B24="","",INDEX(V_COMBUSTIBLE_H,MATCH(B24,LISTA_MAQUINARIA,0)))</f>
        <v/>
      </c>
      <c r="M24" s="3" t="str">
        <f>+IF(L24="","",(L24*D24)/F24)</f>
        <v/>
      </c>
      <c r="N24" s="3" t="str">
        <f>IF(G24="","",G24-M24)</f>
        <v/>
      </c>
      <c r="P24" s="11"/>
    </row>
    <row r="25" spans="2:16" x14ac:dyDescent="0.3">
      <c r="B25" s="27"/>
      <c r="C25" s="3" t="str">
        <f>+IF(B25="","",INDEX(U_MAQUINARIA,MATCH(B25,LISTA_MAQUINARIA,0)))</f>
        <v/>
      </c>
      <c r="D25" s="30"/>
      <c r="E25" s="23" t="str">
        <f>+IF(B25="","",INDEX(V_MAQUINARIA,MATCH(B25,LISTA_MAQUINARIA,0)))</f>
        <v/>
      </c>
      <c r="F25" s="3">
        <f>$G$20</f>
        <v>0</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0</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0</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0</v>
      </c>
      <c r="K28" s="9"/>
      <c r="M28" s="24">
        <f>SUM(M23:M27)</f>
        <v>0</v>
      </c>
      <c r="N28" s="24">
        <f>SUM(N23:N27)</f>
        <v>0</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c r="C31" s="3" t="str">
        <f t="shared" ref="C31:C38" si="0">+IF(B31="","",INDEX(U_MATERIAL,MATCH(B31,L_MATERIALES,0)))</f>
        <v/>
      </c>
      <c r="D31" s="30"/>
      <c r="E31" s="23" t="str">
        <f t="shared" ref="E31:E38" si="1">+IF(B31="","",INDEX(V_UNITARIOMATERIAL,MATCH(B31,L_MATERIALES,0)))</f>
        <v/>
      </c>
      <c r="F31" s="30"/>
      <c r="G31" s="26" t="str">
        <f>IF(D31="","",(E31*D31)/F31)</f>
        <v/>
      </c>
      <c r="K31" s="9"/>
      <c r="L31" t="str">
        <f>+IF(B31="","",B31)</f>
        <v/>
      </c>
      <c r="M31" t="str">
        <f t="shared" ref="M31:M38" si="2">IF(D31="","",(D31/F31)*INDEX(CANT_PROYECTO,MATCH($B$13,ITEM,0)))</f>
        <v/>
      </c>
      <c r="N31" s="1"/>
      <c r="P31" s="11"/>
    </row>
    <row r="32" spans="2:16" x14ac:dyDescent="0.3">
      <c r="B32" s="27"/>
      <c r="C32" s="3" t="str">
        <f t="shared" si="0"/>
        <v/>
      </c>
      <c r="D32" s="30"/>
      <c r="E32" s="23" t="str">
        <f t="shared" si="1"/>
        <v/>
      </c>
      <c r="F32" s="30"/>
      <c r="G32" s="26" t="str">
        <f t="shared" ref="G32:G38" si="3">IF(D32="","",(E32*D32)/F32)</f>
        <v/>
      </c>
      <c r="K32" s="9"/>
      <c r="L32" t="str">
        <f t="shared" ref="L32:L38" si="4">+IF(B32="","",B32)</f>
        <v/>
      </c>
      <c r="M32" t="str">
        <f t="shared" si="2"/>
        <v/>
      </c>
      <c r="N32" s="1"/>
      <c r="P32" s="11"/>
    </row>
    <row r="33" spans="2:16" x14ac:dyDescent="0.3">
      <c r="B33" s="27"/>
      <c r="C33" s="3" t="str">
        <f t="shared" si="0"/>
        <v/>
      </c>
      <c r="D33" s="30"/>
      <c r="E33" s="23" t="str">
        <f t="shared" si="1"/>
        <v/>
      </c>
      <c r="F33" s="30"/>
      <c r="G33" s="26" t="str">
        <f t="shared" si="3"/>
        <v/>
      </c>
      <c r="K33" s="9"/>
      <c r="L33" t="str">
        <f t="shared" si="4"/>
        <v/>
      </c>
      <c r="M33" t="str">
        <f t="shared" si="2"/>
        <v/>
      </c>
      <c r="N33" s="1"/>
      <c r="P33" s="11"/>
    </row>
    <row r="34" spans="2:16" x14ac:dyDescent="0.3">
      <c r="B34" s="27"/>
      <c r="C34" s="3" t="str">
        <f t="shared" si="0"/>
        <v/>
      </c>
      <c r="D34" s="30"/>
      <c r="E34" s="23" t="str">
        <f t="shared" si="1"/>
        <v/>
      </c>
      <c r="F34" s="30"/>
      <c r="G34" s="26" t="str">
        <f t="shared" si="3"/>
        <v/>
      </c>
      <c r="K34" s="9"/>
      <c r="L34" t="str">
        <f t="shared" si="4"/>
        <v/>
      </c>
      <c r="M34" t="str">
        <f t="shared" si="2"/>
        <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0</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c r="C42" s="3" t="str">
        <f>+IF(B42="","",INDEX(U_MAQUINARIA,MATCH(B42,LISTA_MAQUINARIA,0)))</f>
        <v/>
      </c>
      <c r="D42" s="30"/>
      <c r="E42" s="23" t="str">
        <f>+IF(B42="","",INDEX(V_MAQUINARIA,MATCH(B42,LISTA_MAQUINARIA,0)))</f>
        <v/>
      </c>
      <c r="F42" s="3">
        <f>$G$20</f>
        <v>0</v>
      </c>
      <c r="G42" s="26" t="str">
        <f>IF(D42="","",(E42*D42)/F42)</f>
        <v/>
      </c>
      <c r="K42" s="9"/>
      <c r="L42" s="23" t="str">
        <f>IF(B42="","",INDEX(V_COMBUSTIBLE_H,MATCH(B42,LISTA_MAQUINARIA,0)))</f>
        <v/>
      </c>
      <c r="M42" s="23" t="str">
        <f>+IF(L42="","",(L42*D42)/F42)</f>
        <v/>
      </c>
      <c r="N42" s="23" t="str">
        <f>IF(G42="","",G42-M42)</f>
        <v/>
      </c>
      <c r="P42" s="11"/>
    </row>
    <row r="43" spans="2:16" x14ac:dyDescent="0.3">
      <c r="B43" s="27"/>
      <c r="C43" s="3" t="str">
        <f>+IF(B43="","",INDEX(U_MAQUINARIA,MATCH(B43,LISTA_MAQUINARIA,0)))</f>
        <v/>
      </c>
      <c r="D43" s="30"/>
      <c r="E43" s="23" t="str">
        <f>+IF(B43="","",INDEX(V_MAQUINARIA,MATCH(B43,LISTA_MAQUINARIA,0)))</f>
        <v/>
      </c>
      <c r="F43" s="3">
        <f>+$G$20</f>
        <v>0</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0</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0</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0</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0</v>
      </c>
      <c r="K47" s="9"/>
      <c r="M47" s="24">
        <f>SUM(M42:M46)</f>
        <v>0</v>
      </c>
      <c r="N47" s="24">
        <f>SUM(N42:N46)</f>
        <v>0</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c r="C50" s="30"/>
      <c r="D50" s="22" t="str">
        <f>+IF(B50="","",INDEX(F_PRESTACIONAL,MATCH(B50,L_PERSONAL,)))</f>
        <v/>
      </c>
      <c r="E50" s="23" t="str">
        <f>+IF(B50="","",INDEX(V_H_MANODEOBRA,MATCH(B50,L_PERSONAL,0)))</f>
        <v/>
      </c>
      <c r="F50" s="3">
        <f>+$G$20</f>
        <v>0</v>
      </c>
      <c r="G50" s="26" t="str">
        <f>+IF(C50="","",(E50*C50)/F50)</f>
        <v/>
      </c>
    </row>
    <row r="51" spans="2:7" x14ac:dyDescent="0.3">
      <c r="B51" s="27"/>
      <c r="C51" s="30"/>
      <c r="D51" s="22" t="str">
        <f>+IF(B51="","",INDEX(F_PRESTACIONAL,MATCH(B51,L_PERSONAL,)))</f>
        <v/>
      </c>
      <c r="E51" s="23" t="str">
        <f>+IF(B51="","",INDEX(V_H_MANODEOBRA,MATCH(B51,L_PERSONAL,0)))</f>
        <v/>
      </c>
      <c r="F51" s="3">
        <f>+$G$20</f>
        <v>0</v>
      </c>
      <c r="G51" s="26" t="str">
        <f>+IF(C51="","",(E51*C51)/F51)</f>
        <v/>
      </c>
    </row>
    <row r="52" spans="2:7" x14ac:dyDescent="0.3">
      <c r="B52" s="27"/>
      <c r="C52" s="30"/>
      <c r="D52" s="22" t="str">
        <f>+IF(B52="","",INDEX(F_PRESTACIONAL,MATCH(B52,L_PERSONAL,)))</f>
        <v/>
      </c>
      <c r="E52" s="23" t="str">
        <f>+IF(B52="","",INDEX(V_H_MANODEOBRA,MATCH(B52,L_PERSONAL,0)))</f>
        <v/>
      </c>
      <c r="F52" s="3">
        <f>+$G$20</f>
        <v>0</v>
      </c>
      <c r="G52" s="26" t="str">
        <f>+IF(C52="","",(E52*C52)/F52)</f>
        <v/>
      </c>
    </row>
    <row r="53" spans="2:7" x14ac:dyDescent="0.3">
      <c r="B53" s="27"/>
      <c r="C53" s="30"/>
      <c r="D53" s="22" t="str">
        <f>+IF(B53="","",INDEX(F_PRESTACIONAL,MATCH(B53,L_PERSONAL,)))</f>
        <v/>
      </c>
      <c r="E53" s="23" t="str">
        <f>+IF(B53="","",INDEX(V_H_MANODEOBRA,MATCH(B53,L_PERSONAL,0)))</f>
        <v/>
      </c>
      <c r="F53" s="3">
        <f>+$G$20</f>
        <v>0</v>
      </c>
      <c r="G53" s="26" t="str">
        <f>+IF(C53="","",(E53*C53)/F53)</f>
        <v/>
      </c>
    </row>
    <row r="54" spans="2:7" x14ac:dyDescent="0.3">
      <c r="B54" s="27"/>
      <c r="C54" s="30"/>
      <c r="D54" s="22" t="str">
        <f>+IF(B54="","",INDEX(F_PRESTACIONAL,MATCH(B54,L_PERSONAL,)))</f>
        <v/>
      </c>
      <c r="E54" s="23" t="str">
        <f>+IF(B54="","",INDEX(V_H_MANODEOBRA,MATCH(B54,L_PERSONAL,0)))</f>
        <v/>
      </c>
      <c r="F54" s="3">
        <f>+$G$20</f>
        <v>0</v>
      </c>
      <c r="G54" s="26" t="str">
        <f>+IF(C54="","",(E54*C54)/F54)</f>
        <v/>
      </c>
    </row>
    <row r="55" spans="2:7" x14ac:dyDescent="0.3">
      <c r="B55" s="9"/>
      <c r="G55" s="26">
        <f>SUM(G50:G54)</f>
        <v>0</v>
      </c>
    </row>
    <row r="56" spans="2:7" ht="17.25" thickBot="1" x14ac:dyDescent="0.35">
      <c r="B56" s="9"/>
      <c r="G56" s="11"/>
    </row>
    <row r="57" spans="2:7" ht="17.25" thickBot="1" x14ac:dyDescent="0.35">
      <c r="B57" s="610" t="s">
        <v>98</v>
      </c>
      <c r="C57" s="611"/>
      <c r="D57" s="611"/>
      <c r="E57" s="611"/>
      <c r="F57" s="612"/>
      <c r="G57" s="66">
        <f>+G55+G47+G39+G28</f>
        <v>0</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0</v>
      </c>
    </row>
    <row r="61" spans="2:7" x14ac:dyDescent="0.3">
      <c r="B61" s="613" t="s">
        <v>86</v>
      </c>
      <c r="C61" s="614"/>
      <c r="D61" s="614"/>
      <c r="E61" s="614"/>
      <c r="F61" s="22">
        <f>+IMPREVISTOS</f>
        <v>0.03</v>
      </c>
      <c r="G61" s="26">
        <f>+$G$57*F61</f>
        <v>0</v>
      </c>
    </row>
    <row r="62" spans="2:7" x14ac:dyDescent="0.3">
      <c r="B62" s="613" t="s">
        <v>87</v>
      </c>
      <c r="C62" s="614"/>
      <c r="D62" s="614"/>
      <c r="E62" s="614"/>
      <c r="F62" s="22">
        <f>+UTILIDAD</f>
        <v>0.05</v>
      </c>
      <c r="G62" s="26">
        <f>+$G$57*F62</f>
        <v>0</v>
      </c>
    </row>
    <row r="63" spans="2:7" x14ac:dyDescent="0.3">
      <c r="B63" s="596" t="s">
        <v>100</v>
      </c>
      <c r="C63" s="597"/>
      <c r="D63" s="597"/>
      <c r="E63" s="597"/>
      <c r="F63" s="597"/>
      <c r="G63" s="53">
        <f>SUM(G60:G62)</f>
        <v>0</v>
      </c>
    </row>
    <row r="64" spans="2:7" ht="17.25" thickBot="1" x14ac:dyDescent="0.35">
      <c r="B64" s="9"/>
      <c r="G64" s="44"/>
    </row>
    <row r="65" spans="2:7" ht="17.25" thickBot="1" x14ac:dyDescent="0.35">
      <c r="B65" s="598" t="s">
        <v>101</v>
      </c>
      <c r="C65" s="599"/>
      <c r="D65" s="599"/>
      <c r="E65" s="599"/>
      <c r="F65" s="600"/>
      <c r="G65" s="65">
        <f>+G63+G57</f>
        <v>0</v>
      </c>
    </row>
    <row r="66" spans="2:7" x14ac:dyDescent="0.3">
      <c r="B66" s="6"/>
      <c r="C66" s="7"/>
      <c r="D66" s="7"/>
      <c r="E66" s="7"/>
      <c r="F66" s="7"/>
      <c r="G66" s="8"/>
    </row>
    <row r="67" spans="2:7" x14ac:dyDescent="0.3">
      <c r="B67" s="9"/>
      <c r="G67" s="11"/>
    </row>
    <row r="68" spans="2:7" x14ac:dyDescent="0.3">
      <c r="B68" s="69" t="s">
        <v>123</v>
      </c>
      <c r="C68" s="67"/>
      <c r="D68" s="67"/>
      <c r="E68" s="67"/>
      <c r="F68" s="67"/>
      <c r="G68" s="70"/>
    </row>
    <row r="69" spans="2:7" x14ac:dyDescent="0.3">
      <c r="B69" s="71"/>
      <c r="C69" s="67"/>
      <c r="D69" s="67"/>
      <c r="E69" s="67"/>
      <c r="F69" s="67"/>
      <c r="G69" s="70"/>
    </row>
    <row r="70" spans="2:7" x14ac:dyDescent="0.3">
      <c r="B70" s="72"/>
      <c r="C70" s="68"/>
      <c r="D70" s="68"/>
      <c r="E70" s="68"/>
      <c r="F70" s="68"/>
      <c r="G70" s="73"/>
    </row>
    <row r="71" spans="2:7" x14ac:dyDescent="0.3">
      <c r="B71" s="71"/>
      <c r="C71" s="67"/>
      <c r="D71" s="67"/>
      <c r="E71" s="67"/>
      <c r="F71" s="67"/>
      <c r="G71" s="70"/>
    </row>
    <row r="72" spans="2:7" ht="17.25" thickBot="1" x14ac:dyDescent="0.35">
      <c r="B72" s="15"/>
      <c r="C72" s="13"/>
      <c r="D72" s="13"/>
      <c r="E72" s="13"/>
      <c r="F72" s="13"/>
      <c r="G72" s="14"/>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count="5">
    <dataValidation type="list" allowBlank="1" showInputMessage="1" showErrorMessage="1" sqref="E102" xr:uid="{EC79BC54-03C8-476C-9AFF-891F1F8972D0}">
      <formula1>$A$103:$A$105</formula1>
    </dataValidation>
    <dataValidation type="list" allowBlank="1" showInputMessage="1" showErrorMessage="1" sqref="B13" xr:uid="{8CA2E1A5-737D-4205-90FC-EFE330098AE7}">
      <formula1>ITEM</formula1>
    </dataValidation>
    <dataValidation type="list" allowBlank="1" showInputMessage="1" showErrorMessage="1" sqref="B50:B54" xr:uid="{AE295EE3-1648-4DE8-8C73-A28253424141}">
      <formula1>L_PERSONAL</formula1>
    </dataValidation>
    <dataValidation type="list" allowBlank="1" showInputMessage="1" showErrorMessage="1" sqref="B31:B38" xr:uid="{F601472B-7E53-418B-AEA3-8059FBB1AD72}">
      <formula1>L_MATERIALES</formula1>
    </dataValidation>
    <dataValidation type="list" allowBlank="1" showInputMessage="1" showErrorMessage="1" sqref="B23:B27 B42:B46" xr:uid="{04906F09-EF03-4638-8906-98919F670BDD}">
      <formula1>LISTA_MAQUINARIA</formula1>
    </dataValidation>
  </dataValidations>
  <pageMargins left="0.7" right="0.7" top="0.75" bottom="0.75" header="0.3" footer="0.3"/>
  <drawing r:id="rId1"/>
  <tableParts count="1">
    <tablePart r:id="rId2"/>
  </tableParts>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FD15C-2302-4638-8725-48D76BB11AC8}">
  <sheetPr codeName="Hoja90"/>
  <dimension ref="A1:P105"/>
  <sheetViews>
    <sheetView showGridLines="0" topLeftCell="A25" zoomScale="60" zoomScaleNormal="60" workbookViewId="0">
      <selection activeCell="E37" sqref="E37"/>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79</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04">
        <f>+IF($B$13="","",INDEX(DESCRIP_ITEM,MATCH($B$13,ITEM,0)))</f>
        <v>0</v>
      </c>
      <c r="C16" s="605"/>
      <c r="D16" s="605"/>
      <c r="E16" s="605"/>
      <c r="F16" s="605"/>
      <c r="G16" s="606"/>
    </row>
    <row r="17" spans="2:16" ht="44.25" customHeight="1" thickBot="1" x14ac:dyDescent="0.35">
      <c r="B17" s="607"/>
      <c r="C17" s="608"/>
      <c r="D17" s="608"/>
      <c r="E17" s="608"/>
      <c r="F17" s="608"/>
      <c r="G17" s="609"/>
    </row>
    <row r="18" spans="2:16" ht="17.25" thickBot="1" x14ac:dyDescent="0.35">
      <c r="B18" s="591"/>
      <c r="C18" s="579"/>
      <c r="D18" s="579"/>
      <c r="E18" s="579"/>
      <c r="G18" s="11"/>
    </row>
    <row r="19" spans="2:16" ht="17.25" thickBot="1" x14ac:dyDescent="0.35">
      <c r="B19" s="592"/>
      <c r="C19" s="593"/>
      <c r="D19" s="593"/>
      <c r="E19" s="593"/>
      <c r="F19" s="54" t="s">
        <v>89</v>
      </c>
      <c r="G19" s="25">
        <f>+IF(B13="","",INDEX(U_ITEM,MATCH(B13,ITEM,0)))</f>
        <v>0</v>
      </c>
    </row>
    <row r="20" spans="2:16" ht="17.25" thickBot="1" x14ac:dyDescent="0.35">
      <c r="B20" s="592"/>
      <c r="C20" s="593"/>
      <c r="D20" s="593"/>
      <c r="E20" s="593"/>
      <c r="F20" s="55" t="s">
        <v>90</v>
      </c>
      <c r="G20" s="56">
        <v>0</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c r="C23" s="3" t="str">
        <f>+IF(B23="","",INDEX(U_MAQUINARIA,MATCH(B23,LISTA_MAQUINARIA,0)))</f>
        <v/>
      </c>
      <c r="D23" s="30"/>
      <c r="E23" s="23" t="str">
        <f>+IF(B23="","",INDEX(V_MAQUINARIA,MATCH(B23,LISTA_MAQUINARIA,0)))</f>
        <v/>
      </c>
      <c r="F23" s="3">
        <f>$G$20</f>
        <v>0</v>
      </c>
      <c r="G23" s="26" t="str">
        <f>+IF(B23="","",(D23*E23)/F23)</f>
        <v/>
      </c>
      <c r="K23" s="9"/>
      <c r="L23" s="23" t="str">
        <f>IF(B23="","",INDEX(V_COMBUSTIBLE_H,MATCH(B23,LISTA_MAQUINARIA,0)))</f>
        <v/>
      </c>
      <c r="M23" s="23" t="str">
        <f>+IF(L23="","",(L23*D23)/F23)</f>
        <v/>
      </c>
      <c r="N23" s="23" t="str">
        <f>IF(G23="","",G23-M23)</f>
        <v/>
      </c>
      <c r="P23" s="11"/>
    </row>
    <row r="24" spans="2:16" x14ac:dyDescent="0.3">
      <c r="B24" s="27"/>
      <c r="C24" s="3" t="str">
        <f>+IF(B24="","",INDEX(U_MAQUINARIA,MATCH(B24,LISTA_MAQUINARIA,0)))</f>
        <v/>
      </c>
      <c r="D24" s="30"/>
      <c r="E24" s="23" t="str">
        <f>+IF(B24="","",INDEX(V_MAQUINARIA,MATCH(B24,LISTA_MAQUINARIA,0)))</f>
        <v/>
      </c>
      <c r="F24" s="3">
        <f>$G$20</f>
        <v>0</v>
      </c>
      <c r="G24" s="26" t="str">
        <f>+IF(B24="","",(D24*E24)/F24)</f>
        <v/>
      </c>
      <c r="K24" s="9"/>
      <c r="L24" s="3" t="str">
        <f>IF(B24="","",INDEX(V_COMBUSTIBLE_H,MATCH(B24,LISTA_MAQUINARIA,0)))</f>
        <v/>
      </c>
      <c r="M24" s="3" t="str">
        <f>+IF(L24="","",(L24*D24)/F24)</f>
        <v/>
      </c>
      <c r="N24" s="3" t="str">
        <f>IF(G24="","",G24-M24)</f>
        <v/>
      </c>
      <c r="P24" s="11"/>
    </row>
    <row r="25" spans="2:16" x14ac:dyDescent="0.3">
      <c r="B25" s="27"/>
      <c r="C25" s="3" t="str">
        <f>+IF(B25="","",INDEX(U_MAQUINARIA,MATCH(B25,LISTA_MAQUINARIA,0)))</f>
        <v/>
      </c>
      <c r="D25" s="30"/>
      <c r="E25" s="23" t="str">
        <f>+IF(B25="","",INDEX(V_MAQUINARIA,MATCH(B25,LISTA_MAQUINARIA,0)))</f>
        <v/>
      </c>
      <c r="F25" s="3">
        <f>$G$20</f>
        <v>0</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0</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0</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0</v>
      </c>
      <c r="K28" s="9"/>
      <c r="M28" s="24">
        <f>SUM(M23:M27)</f>
        <v>0</v>
      </c>
      <c r="N28" s="24">
        <f>SUM(N23:N27)</f>
        <v>0</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c r="C31" s="3" t="str">
        <f t="shared" ref="C31:C38" si="0">+IF(B31="","",INDEX(U_MATERIAL,MATCH(B31,L_MATERIALES,0)))</f>
        <v/>
      </c>
      <c r="D31" s="30"/>
      <c r="E31" s="23" t="str">
        <f t="shared" ref="E31:E38" si="1">+IF(B31="","",INDEX(V_UNITARIOMATERIAL,MATCH(B31,L_MATERIALES,0)))</f>
        <v/>
      </c>
      <c r="F31" s="30"/>
      <c r="G31" s="26" t="str">
        <f>IF(D31="","",(E31*D31)/F31)</f>
        <v/>
      </c>
      <c r="K31" s="9"/>
      <c r="L31" t="str">
        <f>+IF(B31="","",B31)</f>
        <v/>
      </c>
      <c r="M31" t="str">
        <f t="shared" ref="M31:M38" si="2">IF(D31="","",(D31/F31)*INDEX(CANT_PROYECTO,MATCH($B$13,ITEM,0)))</f>
        <v/>
      </c>
      <c r="N31" s="1"/>
      <c r="P31" s="11"/>
    </row>
    <row r="32" spans="2:16" x14ac:dyDescent="0.3">
      <c r="B32" s="27"/>
      <c r="C32" s="3" t="str">
        <f t="shared" si="0"/>
        <v/>
      </c>
      <c r="D32" s="30"/>
      <c r="E32" s="23" t="str">
        <f t="shared" si="1"/>
        <v/>
      </c>
      <c r="F32" s="30"/>
      <c r="G32" s="26" t="str">
        <f t="shared" ref="G32:G38" si="3">IF(D32="","",(E32*D32)/F32)</f>
        <v/>
      </c>
      <c r="K32" s="9"/>
      <c r="L32" t="str">
        <f t="shared" ref="L32:L38" si="4">+IF(B32="","",B32)</f>
        <v/>
      </c>
      <c r="M32" t="str">
        <f t="shared" si="2"/>
        <v/>
      </c>
      <c r="N32" s="1"/>
      <c r="P32" s="11"/>
    </row>
    <row r="33" spans="2:16" x14ac:dyDescent="0.3">
      <c r="B33" s="27"/>
      <c r="C33" s="3" t="str">
        <f t="shared" si="0"/>
        <v/>
      </c>
      <c r="D33" s="30"/>
      <c r="E33" s="23" t="str">
        <f t="shared" si="1"/>
        <v/>
      </c>
      <c r="F33" s="30"/>
      <c r="G33" s="26" t="str">
        <f t="shared" si="3"/>
        <v/>
      </c>
      <c r="K33" s="9"/>
      <c r="L33" t="str">
        <f t="shared" si="4"/>
        <v/>
      </c>
      <c r="M33" t="str">
        <f t="shared" si="2"/>
        <v/>
      </c>
      <c r="N33" s="1"/>
      <c r="P33" s="11"/>
    </row>
    <row r="34" spans="2:16" x14ac:dyDescent="0.3">
      <c r="B34" s="27"/>
      <c r="C34" s="3" t="str">
        <f t="shared" si="0"/>
        <v/>
      </c>
      <c r="D34" s="30"/>
      <c r="E34" s="23" t="str">
        <f t="shared" si="1"/>
        <v/>
      </c>
      <c r="F34" s="30"/>
      <c r="G34" s="26" t="str">
        <f t="shared" si="3"/>
        <v/>
      </c>
      <c r="K34" s="9"/>
      <c r="L34" t="str">
        <f t="shared" si="4"/>
        <v/>
      </c>
      <c r="M34" t="str">
        <f t="shared" si="2"/>
        <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0</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c r="C42" s="3" t="str">
        <f>+IF(B42="","",INDEX(U_MAQUINARIA,MATCH(B42,LISTA_MAQUINARIA,0)))</f>
        <v/>
      </c>
      <c r="D42" s="30"/>
      <c r="E42" s="23" t="str">
        <f>+IF(B42="","",INDEX(V_MAQUINARIA,MATCH(B42,LISTA_MAQUINARIA,0)))</f>
        <v/>
      </c>
      <c r="F42" s="3">
        <f>$G$20</f>
        <v>0</v>
      </c>
      <c r="G42" s="26" t="str">
        <f>IF(D42="","",(E42*D42)/F42)</f>
        <v/>
      </c>
      <c r="K42" s="9"/>
      <c r="L42" s="23" t="str">
        <f>IF(B42="","",INDEX(V_COMBUSTIBLE_H,MATCH(B42,LISTA_MAQUINARIA,0)))</f>
        <v/>
      </c>
      <c r="M42" s="23" t="str">
        <f>+IF(L42="","",(L42*D42)/F42)</f>
        <v/>
      </c>
      <c r="N42" s="23" t="str">
        <f>IF(G42="","",G42-M42)</f>
        <v/>
      </c>
      <c r="P42" s="11"/>
    </row>
    <row r="43" spans="2:16" x14ac:dyDescent="0.3">
      <c r="B43" s="27"/>
      <c r="C43" s="3" t="str">
        <f>+IF(B43="","",INDEX(U_MAQUINARIA,MATCH(B43,LISTA_MAQUINARIA,0)))</f>
        <v/>
      </c>
      <c r="D43" s="30"/>
      <c r="E43" s="23" t="str">
        <f>+IF(B43="","",INDEX(V_MAQUINARIA,MATCH(B43,LISTA_MAQUINARIA,0)))</f>
        <v/>
      </c>
      <c r="F43" s="3">
        <f>+$G$20</f>
        <v>0</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0</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0</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0</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0</v>
      </c>
      <c r="K47" s="9"/>
      <c r="M47" s="24">
        <f>SUM(M42:M46)</f>
        <v>0</v>
      </c>
      <c r="N47" s="24">
        <f>SUM(N42:N46)</f>
        <v>0</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c r="C50" s="30"/>
      <c r="D50" s="22" t="str">
        <f>+IF(B50="","",INDEX(F_PRESTACIONAL,MATCH(B50,L_PERSONAL,)))</f>
        <v/>
      </c>
      <c r="E50" s="23" t="str">
        <f>+IF(B50="","",INDEX(V_H_MANODEOBRA,MATCH(B50,L_PERSONAL,0)))</f>
        <v/>
      </c>
      <c r="F50" s="3">
        <f>+$G$20</f>
        <v>0</v>
      </c>
      <c r="G50" s="26" t="str">
        <f>+IF(C50="","",(E50*C50)/F50)</f>
        <v/>
      </c>
    </row>
    <row r="51" spans="2:7" x14ac:dyDescent="0.3">
      <c r="B51" s="27"/>
      <c r="C51" s="30"/>
      <c r="D51" s="22" t="str">
        <f>+IF(B51="","",INDEX(F_PRESTACIONAL,MATCH(B51,L_PERSONAL,)))</f>
        <v/>
      </c>
      <c r="E51" s="23" t="str">
        <f>+IF(B51="","",INDEX(V_H_MANODEOBRA,MATCH(B51,L_PERSONAL,0)))</f>
        <v/>
      </c>
      <c r="F51" s="3">
        <f>+$G$20</f>
        <v>0</v>
      </c>
      <c r="G51" s="26" t="str">
        <f>+IF(C51="","",(E51*C51)/F51)</f>
        <v/>
      </c>
    </row>
    <row r="52" spans="2:7" x14ac:dyDescent="0.3">
      <c r="B52" s="27"/>
      <c r="C52" s="30"/>
      <c r="D52" s="22" t="str">
        <f>+IF(B52="","",INDEX(F_PRESTACIONAL,MATCH(B52,L_PERSONAL,)))</f>
        <v/>
      </c>
      <c r="E52" s="23" t="str">
        <f>+IF(B52="","",INDEX(V_H_MANODEOBRA,MATCH(B52,L_PERSONAL,0)))</f>
        <v/>
      </c>
      <c r="F52" s="3">
        <f>+$G$20</f>
        <v>0</v>
      </c>
      <c r="G52" s="26" t="str">
        <f>+IF(C52="","",(E52*C52)/F52)</f>
        <v/>
      </c>
    </row>
    <row r="53" spans="2:7" x14ac:dyDescent="0.3">
      <c r="B53" s="27"/>
      <c r="C53" s="30"/>
      <c r="D53" s="22" t="str">
        <f>+IF(B53="","",INDEX(F_PRESTACIONAL,MATCH(B53,L_PERSONAL,)))</f>
        <v/>
      </c>
      <c r="E53" s="23" t="str">
        <f>+IF(B53="","",INDEX(V_H_MANODEOBRA,MATCH(B53,L_PERSONAL,0)))</f>
        <v/>
      </c>
      <c r="F53" s="3">
        <f>+$G$20</f>
        <v>0</v>
      </c>
      <c r="G53" s="26" t="str">
        <f>+IF(C53="","",(E53*C53)/F53)</f>
        <v/>
      </c>
    </row>
    <row r="54" spans="2:7" x14ac:dyDescent="0.3">
      <c r="B54" s="27"/>
      <c r="C54" s="30"/>
      <c r="D54" s="22" t="str">
        <f>+IF(B54="","",INDEX(F_PRESTACIONAL,MATCH(B54,L_PERSONAL,)))</f>
        <v/>
      </c>
      <c r="E54" s="23" t="str">
        <f>+IF(B54="","",INDEX(V_H_MANODEOBRA,MATCH(B54,L_PERSONAL,0)))</f>
        <v/>
      </c>
      <c r="F54" s="3">
        <f>+$G$20</f>
        <v>0</v>
      </c>
      <c r="G54" s="26" t="str">
        <f>+IF(C54="","",(E54*C54)/F54)</f>
        <v/>
      </c>
    </row>
    <row r="55" spans="2:7" x14ac:dyDescent="0.3">
      <c r="B55" s="9"/>
      <c r="G55" s="26">
        <f>SUM(G50:G54)</f>
        <v>0</v>
      </c>
    </row>
    <row r="56" spans="2:7" ht="17.25" thickBot="1" x14ac:dyDescent="0.35">
      <c r="B56" s="9"/>
      <c r="G56" s="11"/>
    </row>
    <row r="57" spans="2:7" ht="17.25" thickBot="1" x14ac:dyDescent="0.35">
      <c r="B57" s="610" t="s">
        <v>98</v>
      </c>
      <c r="C57" s="611"/>
      <c r="D57" s="611"/>
      <c r="E57" s="611"/>
      <c r="F57" s="612"/>
      <c r="G57" s="66">
        <f>+G55+G47+G39+G28</f>
        <v>0</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0</v>
      </c>
    </row>
    <row r="61" spans="2:7" x14ac:dyDescent="0.3">
      <c r="B61" s="613" t="s">
        <v>86</v>
      </c>
      <c r="C61" s="614"/>
      <c r="D61" s="614"/>
      <c r="E61" s="614"/>
      <c r="F61" s="22">
        <f>+IMPREVISTOS</f>
        <v>0.03</v>
      </c>
      <c r="G61" s="26">
        <f>+$G$57*F61</f>
        <v>0</v>
      </c>
    </row>
    <row r="62" spans="2:7" x14ac:dyDescent="0.3">
      <c r="B62" s="613" t="s">
        <v>87</v>
      </c>
      <c r="C62" s="614"/>
      <c r="D62" s="614"/>
      <c r="E62" s="614"/>
      <c r="F62" s="22">
        <f>+UTILIDAD</f>
        <v>0.05</v>
      </c>
      <c r="G62" s="26">
        <f>+$G$57*F62</f>
        <v>0</v>
      </c>
    </row>
    <row r="63" spans="2:7" x14ac:dyDescent="0.3">
      <c r="B63" s="596" t="s">
        <v>100</v>
      </c>
      <c r="C63" s="597"/>
      <c r="D63" s="597"/>
      <c r="E63" s="597"/>
      <c r="F63" s="597"/>
      <c r="G63" s="53">
        <f>SUM(G60:G62)</f>
        <v>0</v>
      </c>
    </row>
    <row r="64" spans="2:7" ht="17.25" thickBot="1" x14ac:dyDescent="0.35">
      <c r="B64" s="9"/>
      <c r="G64" s="44"/>
    </row>
    <row r="65" spans="2:7" ht="17.25" thickBot="1" x14ac:dyDescent="0.35">
      <c r="B65" s="598" t="s">
        <v>101</v>
      </c>
      <c r="C65" s="599"/>
      <c r="D65" s="599"/>
      <c r="E65" s="599"/>
      <c r="F65" s="600"/>
      <c r="G65" s="65">
        <f>+G63+G57</f>
        <v>0</v>
      </c>
    </row>
    <row r="66" spans="2:7" x14ac:dyDescent="0.3">
      <c r="B66" s="6"/>
      <c r="C66" s="7"/>
      <c r="D66" s="7"/>
      <c r="E66" s="7"/>
      <c r="F66" s="7"/>
      <c r="G66" s="8"/>
    </row>
    <row r="67" spans="2:7" x14ac:dyDescent="0.3">
      <c r="B67" s="9"/>
      <c r="G67" s="11"/>
    </row>
    <row r="68" spans="2:7" x14ac:dyDescent="0.3">
      <c r="B68" s="69" t="s">
        <v>123</v>
      </c>
      <c r="C68" s="67"/>
      <c r="D68" s="67"/>
      <c r="E68" s="67"/>
      <c r="F68" s="67"/>
      <c r="G68" s="70"/>
    </row>
    <row r="69" spans="2:7" x14ac:dyDescent="0.3">
      <c r="B69" s="71"/>
      <c r="C69" s="67"/>
      <c r="D69" s="67"/>
      <c r="E69" s="67"/>
      <c r="F69" s="67"/>
      <c r="G69" s="70"/>
    </row>
    <row r="70" spans="2:7" x14ac:dyDescent="0.3">
      <c r="B70" s="72"/>
      <c r="C70" s="68"/>
      <c r="D70" s="68"/>
      <c r="E70" s="68"/>
      <c r="F70" s="68"/>
      <c r="G70" s="73"/>
    </row>
    <row r="71" spans="2:7" x14ac:dyDescent="0.3">
      <c r="B71" s="71"/>
      <c r="C71" s="67"/>
      <c r="D71" s="67"/>
      <c r="E71" s="67"/>
      <c r="F71" s="67"/>
      <c r="G71" s="70"/>
    </row>
    <row r="72" spans="2:7" ht="17.25" thickBot="1" x14ac:dyDescent="0.35">
      <c r="B72" s="15"/>
      <c r="C72" s="13"/>
      <c r="D72" s="13"/>
      <c r="E72" s="13"/>
      <c r="F72" s="13"/>
      <c r="G72" s="14"/>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count="5">
    <dataValidation type="list" allowBlank="1" showInputMessage="1" showErrorMessage="1" sqref="E102" xr:uid="{58F9D05F-A48B-48CA-B233-3B3C199CE6FA}">
      <formula1>$A$103:$A$105</formula1>
    </dataValidation>
    <dataValidation type="list" allowBlank="1" showInputMessage="1" showErrorMessage="1" sqref="B13" xr:uid="{B881EE93-FFA6-4974-B307-577C065D4921}">
      <formula1>ITEM</formula1>
    </dataValidation>
    <dataValidation type="list" allowBlank="1" showInputMessage="1" showErrorMessage="1" sqref="B50:B54" xr:uid="{84DBA606-2F64-4E53-80F4-A3CA66B3BE97}">
      <formula1>L_PERSONAL</formula1>
    </dataValidation>
    <dataValidation type="list" allowBlank="1" showInputMessage="1" showErrorMessage="1" sqref="B31:B38" xr:uid="{47C9A6C8-07D7-444A-8B15-627E7A770762}">
      <formula1>L_MATERIALES</formula1>
    </dataValidation>
    <dataValidation type="list" allowBlank="1" showInputMessage="1" showErrorMessage="1" sqref="B23:B27 B42:B46" xr:uid="{A3149FD1-7762-42A0-8395-EC621BE48555}">
      <formula1>LISTA_MAQUINARIA</formula1>
    </dataValidation>
  </dataValidations>
  <pageMargins left="0.7" right="0.7" top="0.75" bottom="0.75" header="0.3" footer="0.3"/>
  <drawing r:id="rId1"/>
  <tableParts count="1">
    <tablePart r:id="rId2"/>
  </tableParts>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6B3BA6-F5D1-4905-98A9-BDDFD48CBE8F}">
  <sheetPr codeName="Hoja91"/>
  <dimension ref="A1:P105"/>
  <sheetViews>
    <sheetView showGridLines="0" zoomScale="60" zoomScaleNormal="60" workbookViewId="0">
      <selection activeCell="B1" sqref="B1:G1"/>
    </sheetView>
  </sheetViews>
  <sheetFormatPr defaultColWidth="11" defaultRowHeight="16.5" x14ac:dyDescent="0.3"/>
  <cols>
    <col min="2" max="2" width="34.375" customWidth="1"/>
    <col min="3" max="3" width="19.375" customWidth="1"/>
    <col min="4" max="4" width="14" customWidth="1"/>
    <col min="5" max="5" width="17.375" bestFit="1" customWidth="1"/>
    <col min="6" max="6" width="22.625" bestFit="1" customWidth="1"/>
    <col min="7" max="7" width="23.625" customWidth="1"/>
    <col min="9" max="10" width="8.625" customWidth="1"/>
    <col min="11" max="11" width="11.375" customWidth="1"/>
    <col min="12" max="13" width="17.375" customWidth="1"/>
    <col min="14" max="14" width="14.375" customWidth="1"/>
    <col min="15" max="16" width="11.375" customWidth="1"/>
  </cols>
  <sheetData>
    <row r="1" spans="2:7" ht="32.25" customHeight="1" thickBot="1" x14ac:dyDescent="0.35">
      <c r="B1" s="583" t="str">
        <f>NOMBRE_DEL_PROYECTO</f>
        <v>MYT ENERGY PARQUE FOTOVOLTAICO TEPUY 108 MW</v>
      </c>
      <c r="C1" s="584"/>
      <c r="D1" s="584"/>
      <c r="E1" s="584"/>
      <c r="F1" s="584"/>
      <c r="G1" s="585"/>
    </row>
    <row r="2" spans="2:7" ht="17.25" thickBot="1" x14ac:dyDescent="0.35">
      <c r="B2" s="586" t="str">
        <f>PAIS</f>
        <v>COLOMBIA</v>
      </c>
      <c r="C2" s="587"/>
      <c r="D2" s="587"/>
      <c r="E2" s="587"/>
      <c r="F2" s="587"/>
      <c r="G2" s="588"/>
    </row>
    <row r="3" spans="2:7" ht="17.25" thickBot="1" x14ac:dyDescent="0.35">
      <c r="B3" s="570" t="str">
        <f>CIUDAD</f>
        <v>LA DORADA</v>
      </c>
      <c r="C3" s="571"/>
      <c r="D3" s="571"/>
      <c r="E3" s="571"/>
      <c r="F3" s="571"/>
      <c r="G3" s="572"/>
    </row>
    <row r="4" spans="2:7" ht="17.25" thickBot="1" x14ac:dyDescent="0.35">
      <c r="B4" s="567">
        <f ca="1">FECHA</f>
        <v>45726</v>
      </c>
      <c r="C4" s="568"/>
      <c r="D4" s="568"/>
      <c r="E4" s="568"/>
      <c r="F4" s="568"/>
      <c r="G4" s="569"/>
    </row>
    <row r="5" spans="2:7" x14ac:dyDescent="0.3">
      <c r="B5" s="75"/>
      <c r="C5" s="76"/>
      <c r="D5" s="76"/>
      <c r="E5" s="76"/>
      <c r="F5" s="76"/>
      <c r="G5" s="77"/>
    </row>
    <row r="6" spans="2:7" x14ac:dyDescent="0.3">
      <c r="B6" s="81" t="s">
        <v>124</v>
      </c>
      <c r="C6" s="80"/>
      <c r="D6" s="83" t="s">
        <v>126</v>
      </c>
      <c r="E6" s="80"/>
      <c r="F6" s="45"/>
      <c r="G6" s="79"/>
    </row>
    <row r="7" spans="2:7" x14ac:dyDescent="0.3">
      <c r="B7" s="78"/>
      <c r="C7" s="45"/>
      <c r="D7" s="83" t="s">
        <v>127</v>
      </c>
      <c r="E7" s="82"/>
      <c r="F7" s="45"/>
      <c r="G7" s="79"/>
    </row>
    <row r="8" spans="2:7" x14ac:dyDescent="0.3">
      <c r="B8" s="81" t="s">
        <v>125</v>
      </c>
      <c r="C8" s="80"/>
      <c r="D8" s="80"/>
      <c r="E8" s="80"/>
      <c r="F8" s="80"/>
      <c r="G8" s="79"/>
    </row>
    <row r="9" spans="2:7" x14ac:dyDescent="0.3">
      <c r="B9" s="81" t="s">
        <v>128</v>
      </c>
      <c r="C9" s="82"/>
      <c r="D9" s="82"/>
      <c r="E9" s="82"/>
      <c r="F9" s="82"/>
      <c r="G9" s="79"/>
    </row>
    <row r="10" spans="2:7" x14ac:dyDescent="0.3">
      <c r="B10" s="78"/>
      <c r="C10" s="45"/>
      <c r="D10" s="45"/>
      <c r="E10" s="45"/>
      <c r="F10" s="45"/>
      <c r="G10" s="79"/>
    </row>
    <row r="11" spans="2:7" ht="17.25" thickBot="1" x14ac:dyDescent="0.35">
      <c r="B11" s="595"/>
      <c r="C11" s="581"/>
      <c r="D11" s="581"/>
      <c r="E11" s="581"/>
      <c r="F11" s="581"/>
      <c r="G11" s="582"/>
    </row>
    <row r="12" spans="2:7" ht="17.25" thickBot="1" x14ac:dyDescent="0.35">
      <c r="B12" s="84" t="s">
        <v>74</v>
      </c>
      <c r="C12" s="579"/>
      <c r="D12" s="579"/>
      <c r="E12" s="579"/>
      <c r="F12" s="579"/>
      <c r="G12" s="580"/>
    </row>
    <row r="13" spans="2:7" ht="17.25" thickBot="1" x14ac:dyDescent="0.35">
      <c r="B13" s="74">
        <v>80</v>
      </c>
      <c r="C13" s="581"/>
      <c r="D13" s="581"/>
      <c r="E13" s="581"/>
      <c r="F13" s="581"/>
      <c r="G13" s="582"/>
    </row>
    <row r="14" spans="2:7" ht="17.25" thickBot="1" x14ac:dyDescent="0.35">
      <c r="B14" s="601" t="s">
        <v>88</v>
      </c>
      <c r="C14" s="602"/>
      <c r="D14" s="602"/>
      <c r="E14" s="602"/>
      <c r="F14" s="602"/>
      <c r="G14" s="603"/>
    </row>
    <row r="15" spans="2:7" ht="17.25" thickBot="1" x14ac:dyDescent="0.35">
      <c r="B15" s="592"/>
      <c r="C15" s="593"/>
      <c r="D15" s="593"/>
      <c r="E15" s="593"/>
      <c r="F15" s="593"/>
      <c r="G15" s="594"/>
    </row>
    <row r="16" spans="2:7" x14ac:dyDescent="0.3">
      <c r="B16" s="604">
        <f>+IF($B$13="","",INDEX(DESCRIP_ITEM,MATCH($B$13,ITEM,0)))</f>
        <v>0</v>
      </c>
      <c r="C16" s="605"/>
      <c r="D16" s="605"/>
      <c r="E16" s="605"/>
      <c r="F16" s="605"/>
      <c r="G16" s="606"/>
    </row>
    <row r="17" spans="2:16" ht="44.25" customHeight="1" thickBot="1" x14ac:dyDescent="0.35">
      <c r="B17" s="607"/>
      <c r="C17" s="608"/>
      <c r="D17" s="608"/>
      <c r="E17" s="608"/>
      <c r="F17" s="608"/>
      <c r="G17" s="609"/>
    </row>
    <row r="18" spans="2:16" ht="17.25" thickBot="1" x14ac:dyDescent="0.35">
      <c r="B18" s="591"/>
      <c r="C18" s="579"/>
      <c r="D18" s="579"/>
      <c r="E18" s="579"/>
      <c r="G18" s="11"/>
    </row>
    <row r="19" spans="2:16" ht="17.25" thickBot="1" x14ac:dyDescent="0.35">
      <c r="B19" s="592"/>
      <c r="C19" s="593"/>
      <c r="D19" s="593"/>
      <c r="E19" s="593"/>
      <c r="F19" s="54" t="s">
        <v>89</v>
      </c>
      <c r="G19" s="25">
        <f>+IF(B13="","",INDEX(U_ITEM,MATCH(B13,ITEM,0)))</f>
        <v>0</v>
      </c>
    </row>
    <row r="20" spans="2:16" ht="17.25" thickBot="1" x14ac:dyDescent="0.35">
      <c r="B20" s="592"/>
      <c r="C20" s="593"/>
      <c r="D20" s="593"/>
      <c r="E20" s="593"/>
      <c r="F20" s="55" t="s">
        <v>90</v>
      </c>
      <c r="G20" s="56">
        <v>0</v>
      </c>
      <c r="K20" s="92" t="s">
        <v>134</v>
      </c>
      <c r="L20" s="93"/>
      <c r="M20" s="93"/>
      <c r="N20" s="93"/>
      <c r="O20" s="93"/>
      <c r="P20" s="94"/>
    </row>
    <row r="21" spans="2:16" ht="15" customHeight="1" thickBot="1" x14ac:dyDescent="0.35">
      <c r="B21" s="58" t="s">
        <v>91</v>
      </c>
      <c r="G21" s="11"/>
      <c r="K21" s="6"/>
      <c r="L21" s="7"/>
      <c r="M21" s="7"/>
      <c r="N21" s="7"/>
      <c r="O21" s="7"/>
      <c r="P21" s="8"/>
    </row>
    <row r="22" spans="2:16" ht="43.5" customHeight="1" x14ac:dyDescent="0.3">
      <c r="B22" s="57" t="s">
        <v>75</v>
      </c>
      <c r="C22" s="31" t="s">
        <v>10</v>
      </c>
      <c r="D22" s="31" t="s">
        <v>60</v>
      </c>
      <c r="E22" s="31" t="s">
        <v>92</v>
      </c>
      <c r="F22" s="31" t="s">
        <v>93</v>
      </c>
      <c r="G22" s="48" t="s">
        <v>85</v>
      </c>
      <c r="K22" s="9"/>
      <c r="L22" s="42" t="s">
        <v>109</v>
      </c>
      <c r="M22" s="42" t="s">
        <v>107</v>
      </c>
      <c r="N22" s="42" t="s">
        <v>108</v>
      </c>
      <c r="P22" s="11"/>
    </row>
    <row r="23" spans="2:16" x14ac:dyDescent="0.3">
      <c r="B23" s="27"/>
      <c r="C23" s="3" t="str">
        <f>+IF(B23="","",INDEX(U_MAQUINARIA,MATCH(B23,LISTA_MAQUINARIA,0)))</f>
        <v/>
      </c>
      <c r="D23" s="30"/>
      <c r="E23" s="23" t="str">
        <f>+IF(B23="","",INDEX(V_MAQUINARIA,MATCH(B23,LISTA_MAQUINARIA,0)))</f>
        <v/>
      </c>
      <c r="F23" s="3">
        <f>$G$20</f>
        <v>0</v>
      </c>
      <c r="G23" s="26" t="str">
        <f>+IF(B23="","",(D23*E23)/F23)</f>
        <v/>
      </c>
      <c r="K23" s="9"/>
      <c r="L23" s="23" t="str">
        <f>IF(B23="","",INDEX(V_COMBUSTIBLE_H,MATCH(B23,LISTA_MAQUINARIA,0)))</f>
        <v/>
      </c>
      <c r="M23" s="23" t="str">
        <f>+IF(L23="","",(L23*D23)/F23)</f>
        <v/>
      </c>
      <c r="N23" s="23" t="str">
        <f>IF(G23="","",G23-M23)</f>
        <v/>
      </c>
      <c r="P23" s="11"/>
    </row>
    <row r="24" spans="2:16" x14ac:dyDescent="0.3">
      <c r="B24" s="27"/>
      <c r="C24" s="3" t="str">
        <f>+IF(B24="","",INDEX(U_MAQUINARIA,MATCH(B24,LISTA_MAQUINARIA,0)))</f>
        <v/>
      </c>
      <c r="D24" s="30"/>
      <c r="E24" s="23" t="str">
        <f>+IF(B24="","",INDEX(V_MAQUINARIA,MATCH(B24,LISTA_MAQUINARIA,0)))</f>
        <v/>
      </c>
      <c r="F24" s="3">
        <f>$G$20</f>
        <v>0</v>
      </c>
      <c r="G24" s="26" t="str">
        <f>+IF(B24="","",(D24*E24)/F24)</f>
        <v/>
      </c>
      <c r="K24" s="9"/>
      <c r="L24" s="3" t="str">
        <f>IF(B24="","",INDEX(V_COMBUSTIBLE_H,MATCH(B24,LISTA_MAQUINARIA,0)))</f>
        <v/>
      </c>
      <c r="M24" s="3" t="str">
        <f>+IF(L24="","",(L24*D24)/F24)</f>
        <v/>
      </c>
      <c r="N24" s="3" t="str">
        <f>IF(G24="","",G24-M24)</f>
        <v/>
      </c>
      <c r="P24" s="11"/>
    </row>
    <row r="25" spans="2:16" x14ac:dyDescent="0.3">
      <c r="B25" s="27"/>
      <c r="C25" s="3" t="str">
        <f>+IF(B25="","",INDEX(U_MAQUINARIA,MATCH(B25,LISTA_MAQUINARIA,0)))</f>
        <v/>
      </c>
      <c r="D25" s="30"/>
      <c r="E25" s="23" t="str">
        <f>+IF(B25="","",INDEX(V_MAQUINARIA,MATCH(B25,LISTA_MAQUINARIA,0)))</f>
        <v/>
      </c>
      <c r="F25" s="3">
        <f>$G$20</f>
        <v>0</v>
      </c>
      <c r="G25" s="26" t="str">
        <f>+IF(B25="","",(D25*E25)/F25)</f>
        <v/>
      </c>
      <c r="K25" s="9"/>
      <c r="L25" s="3" t="str">
        <f>IF(B25="","",INDEX(V_COMBUSTIBLE_H,MATCH(B25,LISTA_MAQUINARIA,0)))</f>
        <v/>
      </c>
      <c r="M25" s="3" t="str">
        <f>+IF(L25="","",(L25*D25)/F25)</f>
        <v/>
      </c>
      <c r="N25" s="3" t="str">
        <f>IF(G25="","",G25-M25)</f>
        <v/>
      </c>
      <c r="P25" s="11"/>
    </row>
    <row r="26" spans="2:16" x14ac:dyDescent="0.3">
      <c r="B26" s="27"/>
      <c r="C26" s="3" t="str">
        <f>+IF(B26="","",INDEX(U_MAQUINARIA,MATCH(B26,LISTA_MAQUINARIA,0)))</f>
        <v/>
      </c>
      <c r="D26" s="30"/>
      <c r="E26" s="23" t="str">
        <f>+IF(B26="","",INDEX(V_MAQUINARIA,MATCH(B26,LISTA_MAQUINARIA,0)))</f>
        <v/>
      </c>
      <c r="F26" s="3">
        <f>$G$20</f>
        <v>0</v>
      </c>
      <c r="G26" s="26" t="str">
        <f>+IF(B26="","",(D26*E26)/F26)</f>
        <v/>
      </c>
      <c r="K26" s="9"/>
      <c r="L26" s="3" t="str">
        <f>IF(B26="","",INDEX(V_COMBUSTIBLE_H,MATCH(B26,LISTA_MAQUINARIA,0)))</f>
        <v/>
      </c>
      <c r="M26" s="3" t="str">
        <f>+IF(L26="","",(L26*D26)/F26)</f>
        <v/>
      </c>
      <c r="N26" s="3" t="str">
        <f>IF(G26="","",G26-M26)</f>
        <v/>
      </c>
      <c r="P26" s="11"/>
    </row>
    <row r="27" spans="2:16" x14ac:dyDescent="0.3">
      <c r="B27" s="27"/>
      <c r="C27" s="3" t="str">
        <f>+IF(B27="","",INDEX(U_MAQUINARIA,MATCH(B27,LISTA_MAQUINARIA,0)))</f>
        <v/>
      </c>
      <c r="D27" s="30"/>
      <c r="E27" s="23" t="str">
        <f>+IF(B27="","",INDEX(V_MAQUINARIA,MATCH(B27,LISTA_MAQUINARIA,0)))</f>
        <v/>
      </c>
      <c r="F27" s="3">
        <f>$G$20</f>
        <v>0</v>
      </c>
      <c r="G27" s="26" t="str">
        <f>+IF(B27="","",(D27*E27)/F27)</f>
        <v/>
      </c>
      <c r="K27" s="9"/>
      <c r="L27" s="3" t="str">
        <f>IF(B27="","",INDEX(V_COMBUSTIBLE_H,MATCH(B27,LISTA_MAQUINARIA,0)))</f>
        <v/>
      </c>
      <c r="M27" s="3" t="str">
        <f>+IF(L27="","",(L27*D27)/F27)</f>
        <v/>
      </c>
      <c r="N27" s="3" t="str">
        <f>IF(G27="","",G27-M27)</f>
        <v/>
      </c>
      <c r="P27" s="11"/>
    </row>
    <row r="28" spans="2:16" ht="17.25" thickBot="1" x14ac:dyDescent="0.35">
      <c r="B28" s="9"/>
      <c r="G28" s="49">
        <f>+SUM(G23:G27)</f>
        <v>0</v>
      </c>
      <c r="K28" s="9"/>
      <c r="M28" s="24">
        <f>SUM(M23:M27)</f>
        <v>0</v>
      </c>
      <c r="N28" s="24">
        <f>SUM(N23:N27)</f>
        <v>0</v>
      </c>
      <c r="P28" s="11"/>
    </row>
    <row r="29" spans="2:16" ht="17.25" thickBot="1" x14ac:dyDescent="0.35">
      <c r="B29" s="60" t="s">
        <v>95</v>
      </c>
      <c r="G29" s="11"/>
      <c r="K29" s="9"/>
      <c r="P29" s="11"/>
    </row>
    <row r="30" spans="2:16" x14ac:dyDescent="0.3">
      <c r="B30" s="59" t="s">
        <v>75</v>
      </c>
      <c r="C30" s="32" t="s">
        <v>10</v>
      </c>
      <c r="D30" s="32" t="s">
        <v>60</v>
      </c>
      <c r="E30" s="32" t="s">
        <v>63</v>
      </c>
      <c r="F30" s="32" t="s">
        <v>93</v>
      </c>
      <c r="G30" s="50" t="s">
        <v>85</v>
      </c>
      <c r="K30" s="9"/>
      <c r="L30" t="s">
        <v>16</v>
      </c>
      <c r="M30" t="s">
        <v>136</v>
      </c>
      <c r="P30" s="11"/>
    </row>
    <row r="31" spans="2:16" x14ac:dyDescent="0.3">
      <c r="B31" s="27"/>
      <c r="C31" s="3" t="str">
        <f t="shared" ref="C31:C38" si="0">+IF(B31="","",INDEX(U_MATERIAL,MATCH(B31,L_MATERIALES,0)))</f>
        <v/>
      </c>
      <c r="D31" s="30"/>
      <c r="E31" s="23" t="str">
        <f t="shared" ref="E31:E38" si="1">+IF(B31="","",INDEX(V_UNITARIOMATERIAL,MATCH(B31,L_MATERIALES,0)))</f>
        <v/>
      </c>
      <c r="F31" s="30"/>
      <c r="G31" s="26" t="str">
        <f>IF(D31="","",(E31*D31)/F31)</f>
        <v/>
      </c>
      <c r="K31" s="9"/>
      <c r="L31" t="str">
        <f>+IF(B31="","",B31)</f>
        <v/>
      </c>
      <c r="M31" t="str">
        <f t="shared" ref="M31:M38" si="2">IF(D31="","",(D31/F31)*INDEX(CANT_PROYECTO,MATCH($B$13,ITEM,0)))</f>
        <v/>
      </c>
      <c r="N31" s="1"/>
      <c r="P31" s="11"/>
    </row>
    <row r="32" spans="2:16" x14ac:dyDescent="0.3">
      <c r="B32" s="27"/>
      <c r="C32" s="3" t="str">
        <f t="shared" si="0"/>
        <v/>
      </c>
      <c r="D32" s="30"/>
      <c r="E32" s="23" t="str">
        <f t="shared" si="1"/>
        <v/>
      </c>
      <c r="F32" s="30"/>
      <c r="G32" s="26" t="str">
        <f t="shared" ref="G32:G38" si="3">IF(D32="","",(E32*D32)/F32)</f>
        <v/>
      </c>
      <c r="K32" s="9"/>
      <c r="L32" t="str">
        <f t="shared" ref="L32:L38" si="4">+IF(B32="","",B32)</f>
        <v/>
      </c>
      <c r="M32" t="str">
        <f t="shared" si="2"/>
        <v/>
      </c>
      <c r="N32" s="1"/>
      <c r="P32" s="11"/>
    </row>
    <row r="33" spans="2:16" x14ac:dyDescent="0.3">
      <c r="B33" s="27"/>
      <c r="C33" s="3" t="str">
        <f t="shared" si="0"/>
        <v/>
      </c>
      <c r="D33" s="30"/>
      <c r="E33" s="23" t="str">
        <f t="shared" si="1"/>
        <v/>
      </c>
      <c r="F33" s="30"/>
      <c r="G33" s="26" t="str">
        <f t="shared" si="3"/>
        <v/>
      </c>
      <c r="K33" s="9"/>
      <c r="L33" t="str">
        <f t="shared" si="4"/>
        <v/>
      </c>
      <c r="M33" t="str">
        <f t="shared" si="2"/>
        <v/>
      </c>
      <c r="N33" s="1"/>
      <c r="P33" s="11"/>
    </row>
    <row r="34" spans="2:16" x14ac:dyDescent="0.3">
      <c r="B34" s="27"/>
      <c r="C34" s="3" t="str">
        <f t="shared" si="0"/>
        <v/>
      </c>
      <c r="D34" s="30"/>
      <c r="E34" s="23" t="str">
        <f t="shared" si="1"/>
        <v/>
      </c>
      <c r="F34" s="30"/>
      <c r="G34" s="26" t="str">
        <f t="shared" si="3"/>
        <v/>
      </c>
      <c r="K34" s="9"/>
      <c r="L34" t="str">
        <f t="shared" si="4"/>
        <v/>
      </c>
      <c r="M34" t="str">
        <f t="shared" si="2"/>
        <v/>
      </c>
      <c r="N34" s="1"/>
      <c r="P34" s="11"/>
    </row>
    <row r="35" spans="2:16" x14ac:dyDescent="0.3">
      <c r="B35" s="27"/>
      <c r="C35" s="3" t="str">
        <f t="shared" si="0"/>
        <v/>
      </c>
      <c r="D35" s="30"/>
      <c r="E35" s="23" t="str">
        <f t="shared" si="1"/>
        <v/>
      </c>
      <c r="F35" s="30"/>
      <c r="G35" s="26" t="str">
        <f t="shared" si="3"/>
        <v/>
      </c>
      <c r="K35" s="9"/>
      <c r="L35" t="str">
        <f t="shared" si="4"/>
        <v/>
      </c>
      <c r="M35" t="str">
        <f t="shared" si="2"/>
        <v/>
      </c>
      <c r="N35" s="1"/>
      <c r="P35" s="11"/>
    </row>
    <row r="36" spans="2:16" ht="13.5" customHeight="1" x14ac:dyDescent="0.3">
      <c r="B36" s="27"/>
      <c r="C36" s="3" t="str">
        <f t="shared" si="0"/>
        <v/>
      </c>
      <c r="D36" s="30"/>
      <c r="E36" s="23" t="str">
        <f t="shared" si="1"/>
        <v/>
      </c>
      <c r="F36" s="30"/>
      <c r="G36" s="26" t="str">
        <f t="shared" si="3"/>
        <v/>
      </c>
      <c r="K36" s="9"/>
      <c r="L36" t="str">
        <f t="shared" si="4"/>
        <v/>
      </c>
      <c r="M36" t="str">
        <f t="shared" si="2"/>
        <v/>
      </c>
      <c r="N36" s="1"/>
      <c r="P36" s="11"/>
    </row>
    <row r="37" spans="2:16" x14ac:dyDescent="0.3">
      <c r="B37" s="27"/>
      <c r="C37" s="3" t="str">
        <f t="shared" si="0"/>
        <v/>
      </c>
      <c r="D37" s="30"/>
      <c r="E37" s="23" t="str">
        <f t="shared" si="1"/>
        <v/>
      </c>
      <c r="F37" s="30"/>
      <c r="G37" s="26" t="str">
        <f t="shared" si="3"/>
        <v/>
      </c>
      <c r="K37" s="9"/>
      <c r="L37" t="str">
        <f t="shared" si="4"/>
        <v/>
      </c>
      <c r="M37" t="str">
        <f t="shared" si="2"/>
        <v/>
      </c>
      <c r="N37" s="1"/>
      <c r="P37" s="11"/>
    </row>
    <row r="38" spans="2:16" x14ac:dyDescent="0.3">
      <c r="B38" s="27"/>
      <c r="C38" s="3" t="str">
        <f t="shared" si="0"/>
        <v/>
      </c>
      <c r="D38" s="30"/>
      <c r="E38" s="23" t="str">
        <f t="shared" si="1"/>
        <v/>
      </c>
      <c r="F38" s="30"/>
      <c r="G38" s="26" t="str">
        <f t="shared" si="3"/>
        <v/>
      </c>
      <c r="K38" s="9"/>
      <c r="L38" t="str">
        <f t="shared" si="4"/>
        <v/>
      </c>
      <c r="M38" t="str">
        <f t="shared" si="2"/>
        <v/>
      </c>
      <c r="N38" s="1"/>
      <c r="P38" s="11"/>
    </row>
    <row r="39" spans="2:16" ht="17.25" thickBot="1" x14ac:dyDescent="0.35">
      <c r="B39" s="9"/>
      <c r="G39" s="49">
        <f>SUM(G31:G38)</f>
        <v>0</v>
      </c>
      <c r="K39" s="9"/>
      <c r="P39" s="11"/>
    </row>
    <row r="40" spans="2:16" ht="17.25" thickBot="1" x14ac:dyDescent="0.35">
      <c r="B40" s="62" t="s">
        <v>94</v>
      </c>
      <c r="G40" s="11"/>
      <c r="K40" s="9"/>
      <c r="P40" s="11"/>
    </row>
    <row r="41" spans="2:16" ht="66" x14ac:dyDescent="0.3">
      <c r="B41" s="61" t="s">
        <v>75</v>
      </c>
      <c r="C41" s="33" t="s">
        <v>10</v>
      </c>
      <c r="D41" s="33" t="s">
        <v>60</v>
      </c>
      <c r="E41" s="33" t="s">
        <v>92</v>
      </c>
      <c r="F41" s="33" t="s">
        <v>93</v>
      </c>
      <c r="G41" s="51" t="s">
        <v>85</v>
      </c>
      <c r="K41" s="9"/>
      <c r="L41" s="42" t="s">
        <v>109</v>
      </c>
      <c r="M41" s="42" t="s">
        <v>107</v>
      </c>
      <c r="N41" s="42" t="s">
        <v>108</v>
      </c>
      <c r="P41" s="11"/>
    </row>
    <row r="42" spans="2:16" x14ac:dyDescent="0.3">
      <c r="B42" s="27"/>
      <c r="C42" s="3" t="str">
        <f>+IF(B42="","",INDEX(U_MAQUINARIA,MATCH(B42,LISTA_MAQUINARIA,0)))</f>
        <v/>
      </c>
      <c r="D42" s="30"/>
      <c r="E42" s="23" t="str">
        <f>+IF(B42="","",INDEX(V_MAQUINARIA,MATCH(B42,LISTA_MAQUINARIA,0)))</f>
        <v/>
      </c>
      <c r="F42" s="3">
        <f>$G$20</f>
        <v>0</v>
      </c>
      <c r="G42" s="26" t="str">
        <f>IF(D42="","",(E42*D42)/F42)</f>
        <v/>
      </c>
      <c r="K42" s="9"/>
      <c r="L42" s="23" t="str">
        <f>IF(B42="","",INDEX(V_COMBUSTIBLE_H,MATCH(B42,LISTA_MAQUINARIA,0)))</f>
        <v/>
      </c>
      <c r="M42" s="23" t="str">
        <f>+IF(L42="","",(L42*D42)/F42)</f>
        <v/>
      </c>
      <c r="N42" s="23" t="str">
        <f>IF(G42="","",G42-M42)</f>
        <v/>
      </c>
      <c r="P42" s="11"/>
    </row>
    <row r="43" spans="2:16" x14ac:dyDescent="0.3">
      <c r="B43" s="27"/>
      <c r="C43" s="3" t="str">
        <f>+IF(B43="","",INDEX(U_MAQUINARIA,MATCH(B43,LISTA_MAQUINARIA,0)))</f>
        <v/>
      </c>
      <c r="D43" s="30"/>
      <c r="E43" s="23" t="str">
        <f>+IF(B43="","",INDEX(V_MAQUINARIA,MATCH(B43,LISTA_MAQUINARIA,0)))</f>
        <v/>
      </c>
      <c r="F43" s="3">
        <f>+$G$20</f>
        <v>0</v>
      </c>
      <c r="G43" s="26" t="str">
        <f>IF(D43="","",(E43*D43)/F43)</f>
        <v/>
      </c>
      <c r="K43" s="9"/>
      <c r="L43" s="23" t="str">
        <f>IF(B43="","",INDEX(V_COMBUSTIBLE_H,MATCH(B43,LISTA_MAQUINARIA,0)))</f>
        <v/>
      </c>
      <c r="M43" s="23" t="str">
        <f>+IF(L43="","",(L43*D43)/F43)</f>
        <v/>
      </c>
      <c r="N43" s="23" t="str">
        <f>IF(G43="","",G43-M43)</f>
        <v/>
      </c>
      <c r="P43" s="11"/>
    </row>
    <row r="44" spans="2:16" x14ac:dyDescent="0.3">
      <c r="B44" s="27"/>
      <c r="C44" s="3" t="str">
        <f>+IF(B44="","",INDEX(U_MAQUINARIA,MATCH(B44,LISTA_MAQUINARIA,0)))</f>
        <v/>
      </c>
      <c r="D44" s="30"/>
      <c r="E44" s="23" t="str">
        <f>+IF(B44="","",INDEX(V_MAQUINARIA,MATCH(B44,LISTA_MAQUINARIA,0)))</f>
        <v/>
      </c>
      <c r="F44" s="3">
        <f>+$G$20</f>
        <v>0</v>
      </c>
      <c r="G44" s="26" t="str">
        <f>IF(D44="","",(E44*D44)/F44)</f>
        <v/>
      </c>
      <c r="K44" s="9"/>
      <c r="L44" s="23" t="str">
        <f>IF(B44="","",INDEX(V_COMBUSTIBLE_H,MATCH(B44,LISTA_MAQUINARIA,0)))</f>
        <v/>
      </c>
      <c r="M44" s="23" t="str">
        <f>+IF(L44="","",(L44*D44)/F44)</f>
        <v/>
      </c>
      <c r="N44" s="23" t="str">
        <f>IF(G44="","",G44-M44)</f>
        <v/>
      </c>
      <c r="P44" s="11"/>
    </row>
    <row r="45" spans="2:16" x14ac:dyDescent="0.3">
      <c r="B45" s="27"/>
      <c r="C45" s="3" t="str">
        <f>+IF(B45="","",INDEX(U_MAQUINARIA,MATCH(B45,LISTA_MAQUINARIA,0)))</f>
        <v/>
      </c>
      <c r="D45" s="30"/>
      <c r="E45" s="23" t="str">
        <f>+IF(B45="","",INDEX(V_MAQUINARIA,MATCH(B45,LISTA_MAQUINARIA,0)))</f>
        <v/>
      </c>
      <c r="F45" s="3">
        <f>+$G$20</f>
        <v>0</v>
      </c>
      <c r="G45" s="26" t="str">
        <f>IF(D45="","",(E45*D45)/F45)</f>
        <v/>
      </c>
      <c r="K45" s="9"/>
      <c r="L45" s="23" t="str">
        <f>IF(B45="","",INDEX(V_COMBUSTIBLE_H,MATCH(B45,LISTA_MAQUINARIA,0)))</f>
        <v/>
      </c>
      <c r="M45" s="23" t="str">
        <f>+IF(L45="","",(L45*D45)/F45)</f>
        <v/>
      </c>
      <c r="N45" s="23" t="str">
        <f>IF(G45="","",G45-M45)</f>
        <v/>
      </c>
      <c r="P45" s="11"/>
    </row>
    <row r="46" spans="2:16" x14ac:dyDescent="0.3">
      <c r="B46" s="27"/>
      <c r="C46" s="3" t="str">
        <f>+IF(B46="","",INDEX(U_MAQUINARIA,MATCH(B46,LISTA_MAQUINARIA,0)))</f>
        <v/>
      </c>
      <c r="D46" s="30"/>
      <c r="E46" s="23" t="str">
        <f>+IF(B46="","",INDEX(V_MAQUINARIA,MATCH(B46,LISTA_MAQUINARIA,0)))</f>
        <v/>
      </c>
      <c r="F46" s="3">
        <f>+$G$20</f>
        <v>0</v>
      </c>
      <c r="G46" s="26" t="str">
        <f>IF(D46="","",(E46*D46)/F46)</f>
        <v/>
      </c>
      <c r="K46" s="9"/>
      <c r="L46" s="23" t="str">
        <f>IF(B46="","",INDEX(V_COMBUSTIBLE_H,MATCH(B46,LISTA_MAQUINARIA,0)))</f>
        <v/>
      </c>
      <c r="M46" s="23" t="str">
        <f>+IF(L46="","",(L46*D46)/F46)</f>
        <v/>
      </c>
      <c r="N46" s="23" t="str">
        <f>IF(G46="","",G46-M46)</f>
        <v/>
      </c>
      <c r="P46" s="11"/>
    </row>
    <row r="47" spans="2:16" ht="17.25" thickBot="1" x14ac:dyDescent="0.35">
      <c r="B47" s="9"/>
      <c r="G47" s="26">
        <f>SUM(G42:G46)</f>
        <v>0</v>
      </c>
      <c r="K47" s="9"/>
      <c r="M47" s="24">
        <f>SUM(M42:M46)</f>
        <v>0</v>
      </c>
      <c r="N47" s="24">
        <f>SUM(N42:N46)</f>
        <v>0</v>
      </c>
      <c r="P47" s="11"/>
    </row>
    <row r="48" spans="2:16" ht="17.25" thickBot="1" x14ac:dyDescent="0.35">
      <c r="B48" s="64" t="s">
        <v>96</v>
      </c>
      <c r="G48" s="11"/>
      <c r="K48" s="15"/>
      <c r="L48" s="13"/>
      <c r="M48" s="13"/>
      <c r="N48" s="13"/>
      <c r="O48" s="13"/>
      <c r="P48" s="14"/>
    </row>
    <row r="49" spans="2:7" x14ac:dyDescent="0.3">
      <c r="B49" s="63" t="s">
        <v>75</v>
      </c>
      <c r="C49" s="30" t="s">
        <v>60</v>
      </c>
      <c r="D49" s="30" t="s">
        <v>97</v>
      </c>
      <c r="E49" s="30" t="s">
        <v>92</v>
      </c>
      <c r="F49" s="30" t="s">
        <v>93</v>
      </c>
      <c r="G49" s="47" t="s">
        <v>85</v>
      </c>
    </row>
    <row r="50" spans="2:7" x14ac:dyDescent="0.3">
      <c r="B50" s="27"/>
      <c r="C50" s="30"/>
      <c r="D50" s="22" t="str">
        <f>+IF(B50="","",INDEX(F_PRESTACIONAL,MATCH(B50,L_PERSONAL,)))</f>
        <v/>
      </c>
      <c r="E50" s="23" t="str">
        <f>+IF(B50="","",INDEX(V_H_MANODEOBRA,MATCH(B50,L_PERSONAL,0)))</f>
        <v/>
      </c>
      <c r="F50" s="3">
        <f>+$G$20</f>
        <v>0</v>
      </c>
      <c r="G50" s="26" t="str">
        <f>+IF(C50="","",(E50*C50)/F50)</f>
        <v/>
      </c>
    </row>
    <row r="51" spans="2:7" x14ac:dyDescent="0.3">
      <c r="B51" s="27"/>
      <c r="C51" s="30"/>
      <c r="D51" s="22" t="str">
        <f>+IF(B51="","",INDEX(F_PRESTACIONAL,MATCH(B51,L_PERSONAL,)))</f>
        <v/>
      </c>
      <c r="E51" s="23" t="str">
        <f>+IF(B51="","",INDEX(V_H_MANODEOBRA,MATCH(B51,L_PERSONAL,0)))</f>
        <v/>
      </c>
      <c r="F51" s="3">
        <f>+$G$20</f>
        <v>0</v>
      </c>
      <c r="G51" s="26" t="str">
        <f>+IF(C51="","",(E51*C51)/F51)</f>
        <v/>
      </c>
    </row>
    <row r="52" spans="2:7" x14ac:dyDescent="0.3">
      <c r="B52" s="27"/>
      <c r="C52" s="30"/>
      <c r="D52" s="22" t="str">
        <f>+IF(B52="","",INDEX(F_PRESTACIONAL,MATCH(B52,L_PERSONAL,)))</f>
        <v/>
      </c>
      <c r="E52" s="23" t="str">
        <f>+IF(B52="","",INDEX(V_H_MANODEOBRA,MATCH(B52,L_PERSONAL,0)))</f>
        <v/>
      </c>
      <c r="F52" s="3">
        <f>+$G$20</f>
        <v>0</v>
      </c>
      <c r="G52" s="26" t="str">
        <f>+IF(C52="","",(E52*C52)/F52)</f>
        <v/>
      </c>
    </row>
    <row r="53" spans="2:7" x14ac:dyDescent="0.3">
      <c r="B53" s="27"/>
      <c r="C53" s="30"/>
      <c r="D53" s="22" t="str">
        <f>+IF(B53="","",INDEX(F_PRESTACIONAL,MATCH(B53,L_PERSONAL,)))</f>
        <v/>
      </c>
      <c r="E53" s="23" t="str">
        <f>+IF(B53="","",INDEX(V_H_MANODEOBRA,MATCH(B53,L_PERSONAL,0)))</f>
        <v/>
      </c>
      <c r="F53" s="3">
        <f>+$G$20</f>
        <v>0</v>
      </c>
      <c r="G53" s="26" t="str">
        <f>+IF(C53="","",(E53*C53)/F53)</f>
        <v/>
      </c>
    </row>
    <row r="54" spans="2:7" x14ac:dyDescent="0.3">
      <c r="B54" s="27"/>
      <c r="C54" s="30"/>
      <c r="D54" s="22" t="str">
        <f>+IF(B54="","",INDEX(F_PRESTACIONAL,MATCH(B54,L_PERSONAL,)))</f>
        <v/>
      </c>
      <c r="E54" s="23" t="str">
        <f>+IF(B54="","",INDEX(V_H_MANODEOBRA,MATCH(B54,L_PERSONAL,0)))</f>
        <v/>
      </c>
      <c r="F54" s="3">
        <f>+$G$20</f>
        <v>0</v>
      </c>
      <c r="G54" s="26" t="str">
        <f>+IF(C54="","",(E54*C54)/F54)</f>
        <v/>
      </c>
    </row>
    <row r="55" spans="2:7" x14ac:dyDescent="0.3">
      <c r="B55" s="9"/>
      <c r="G55" s="26">
        <f>SUM(G50:G54)</f>
        <v>0</v>
      </c>
    </row>
    <row r="56" spans="2:7" ht="17.25" thickBot="1" x14ac:dyDescent="0.35">
      <c r="B56" s="9"/>
      <c r="G56" s="11"/>
    </row>
    <row r="57" spans="2:7" ht="17.25" thickBot="1" x14ac:dyDescent="0.35">
      <c r="B57" s="610" t="s">
        <v>98</v>
      </c>
      <c r="C57" s="611"/>
      <c r="D57" s="611"/>
      <c r="E57" s="611"/>
      <c r="F57" s="612"/>
      <c r="G57" s="66">
        <f>+G55+G47+G39+G28</f>
        <v>0</v>
      </c>
    </row>
    <row r="58" spans="2:7" x14ac:dyDescent="0.3">
      <c r="B58" s="9"/>
      <c r="G58" s="11"/>
    </row>
    <row r="59" spans="2:7" x14ac:dyDescent="0.3">
      <c r="B59" s="52" t="s">
        <v>122</v>
      </c>
      <c r="G59" s="11"/>
    </row>
    <row r="60" spans="2:7" x14ac:dyDescent="0.3">
      <c r="B60" s="613" t="s">
        <v>99</v>
      </c>
      <c r="C60" s="614"/>
      <c r="D60" s="614"/>
      <c r="E60" s="614"/>
      <c r="F60" s="22">
        <f>+ADMINISTRACION</f>
        <v>0.12</v>
      </c>
      <c r="G60" s="26">
        <f>+$G$57*F60</f>
        <v>0</v>
      </c>
    </row>
    <row r="61" spans="2:7" x14ac:dyDescent="0.3">
      <c r="B61" s="613" t="s">
        <v>86</v>
      </c>
      <c r="C61" s="614"/>
      <c r="D61" s="614"/>
      <c r="E61" s="614"/>
      <c r="F61" s="22">
        <f>+IMPREVISTOS</f>
        <v>0.03</v>
      </c>
      <c r="G61" s="26">
        <f>+$G$57*F61</f>
        <v>0</v>
      </c>
    </row>
    <row r="62" spans="2:7" x14ac:dyDescent="0.3">
      <c r="B62" s="613" t="s">
        <v>87</v>
      </c>
      <c r="C62" s="614"/>
      <c r="D62" s="614"/>
      <c r="E62" s="614"/>
      <c r="F62" s="22">
        <f>+UTILIDAD</f>
        <v>0.05</v>
      </c>
      <c r="G62" s="26">
        <f>+$G$57*F62</f>
        <v>0</v>
      </c>
    </row>
    <row r="63" spans="2:7" x14ac:dyDescent="0.3">
      <c r="B63" s="596" t="s">
        <v>100</v>
      </c>
      <c r="C63" s="597"/>
      <c r="D63" s="597"/>
      <c r="E63" s="597"/>
      <c r="F63" s="597"/>
      <c r="G63" s="53">
        <f>SUM(G60:G62)</f>
        <v>0</v>
      </c>
    </row>
    <row r="64" spans="2:7" ht="17.25" thickBot="1" x14ac:dyDescent="0.35">
      <c r="B64" s="9"/>
      <c r="G64" s="44"/>
    </row>
    <row r="65" spans="2:7" ht="17.25" thickBot="1" x14ac:dyDescent="0.35">
      <c r="B65" s="598" t="s">
        <v>101</v>
      </c>
      <c r="C65" s="599"/>
      <c r="D65" s="599"/>
      <c r="E65" s="599"/>
      <c r="F65" s="600"/>
      <c r="G65" s="65">
        <f>+G63+G57</f>
        <v>0</v>
      </c>
    </row>
    <row r="66" spans="2:7" x14ac:dyDescent="0.3">
      <c r="B66" s="6"/>
      <c r="C66" s="7"/>
      <c r="D66" s="7"/>
      <c r="E66" s="7"/>
      <c r="F66" s="7"/>
      <c r="G66" s="8"/>
    </row>
    <row r="67" spans="2:7" x14ac:dyDescent="0.3">
      <c r="B67" s="9"/>
      <c r="G67" s="11"/>
    </row>
    <row r="68" spans="2:7" x14ac:dyDescent="0.3">
      <c r="B68" s="69" t="s">
        <v>123</v>
      </c>
      <c r="C68" s="67"/>
      <c r="D68" s="67"/>
      <c r="E68" s="67"/>
      <c r="F68" s="67"/>
      <c r="G68" s="70"/>
    </row>
    <row r="69" spans="2:7" x14ac:dyDescent="0.3">
      <c r="B69" s="71"/>
      <c r="C69" s="67"/>
      <c r="D69" s="67"/>
      <c r="E69" s="67"/>
      <c r="F69" s="67"/>
      <c r="G69" s="70"/>
    </row>
    <row r="70" spans="2:7" x14ac:dyDescent="0.3">
      <c r="B70" s="72"/>
      <c r="C70" s="68"/>
      <c r="D70" s="68"/>
      <c r="E70" s="68"/>
      <c r="F70" s="68"/>
      <c r="G70" s="73"/>
    </row>
    <row r="71" spans="2:7" x14ac:dyDescent="0.3">
      <c r="B71" s="71"/>
      <c r="C71" s="67"/>
      <c r="D71" s="67"/>
      <c r="E71" s="67"/>
      <c r="F71" s="67"/>
      <c r="G71" s="70"/>
    </row>
    <row r="72" spans="2:7" ht="17.25" thickBot="1" x14ac:dyDescent="0.35">
      <c r="B72" s="15"/>
      <c r="C72" s="13"/>
      <c r="D72" s="13"/>
      <c r="E72" s="13"/>
      <c r="F72" s="13"/>
      <c r="G72" s="14"/>
    </row>
    <row r="73" spans="2:7" x14ac:dyDescent="0.3">
      <c r="B73" s="591"/>
      <c r="C73" s="579"/>
      <c r="D73" s="579"/>
      <c r="E73" s="579"/>
      <c r="F73" s="579"/>
      <c r="G73" s="580"/>
    </row>
    <row r="74" spans="2:7" x14ac:dyDescent="0.3">
      <c r="B74" s="592"/>
      <c r="C74" s="593"/>
      <c r="D74" s="593"/>
      <c r="E74" s="593"/>
      <c r="F74" s="593"/>
      <c r="G74" s="594"/>
    </row>
    <row r="75" spans="2:7" x14ac:dyDescent="0.3">
      <c r="B75" s="592"/>
      <c r="C75" s="593"/>
      <c r="D75" s="593"/>
      <c r="E75" s="593"/>
      <c r="F75" s="593"/>
      <c r="G75" s="594"/>
    </row>
    <row r="76" spans="2:7" x14ac:dyDescent="0.3">
      <c r="B76" s="592"/>
      <c r="C76" s="593"/>
      <c r="D76" s="593"/>
      <c r="E76" s="593"/>
      <c r="F76" s="593"/>
      <c r="G76" s="594"/>
    </row>
    <row r="77" spans="2:7" x14ac:dyDescent="0.3">
      <c r="B77" s="592"/>
      <c r="C77" s="593"/>
      <c r="D77" s="593"/>
      <c r="E77" s="593"/>
      <c r="F77" s="593"/>
      <c r="G77" s="594"/>
    </row>
    <row r="78" spans="2:7" ht="17.25" thickBot="1" x14ac:dyDescent="0.35">
      <c r="B78" s="595"/>
      <c r="C78" s="581"/>
      <c r="D78" s="581"/>
      <c r="E78" s="581"/>
      <c r="F78" s="581"/>
      <c r="G78" s="582"/>
    </row>
    <row r="103" spans="1:1" ht="112.5" customHeight="1" x14ac:dyDescent="0.3">
      <c r="A103" s="45"/>
    </row>
    <row r="104" spans="1:1" ht="112.5" customHeight="1" x14ac:dyDescent="0.3">
      <c r="A104" s="45"/>
    </row>
    <row r="105" spans="1:1" ht="67.5" customHeight="1" x14ac:dyDescent="0.3">
      <c r="A105" t="s">
        <v>130</v>
      </c>
    </row>
  </sheetData>
  <mergeCells count="17">
    <mergeCell ref="B60:E60"/>
    <mergeCell ref="B1:G1"/>
    <mergeCell ref="B2:G2"/>
    <mergeCell ref="B3:G3"/>
    <mergeCell ref="B4:G4"/>
    <mergeCell ref="B11:G11"/>
    <mergeCell ref="C12:G13"/>
    <mergeCell ref="B14:G14"/>
    <mergeCell ref="B15:G15"/>
    <mergeCell ref="B16:G17"/>
    <mergeCell ref="B18:E20"/>
    <mergeCell ref="B57:F57"/>
    <mergeCell ref="B61:E61"/>
    <mergeCell ref="B62:E62"/>
    <mergeCell ref="B63:F63"/>
    <mergeCell ref="B65:F65"/>
    <mergeCell ref="B73:G78"/>
  </mergeCells>
  <phoneticPr fontId="42" type="noConversion"/>
  <dataValidations count="5">
    <dataValidation type="list" allowBlank="1" showInputMessage="1" showErrorMessage="1" sqref="E102" xr:uid="{AD418C14-890C-4674-9DC5-D56F8BBEAB59}">
      <formula1>$A$103:$A$105</formula1>
    </dataValidation>
    <dataValidation type="list" allowBlank="1" showInputMessage="1" showErrorMessage="1" sqref="B13" xr:uid="{FDF04EB9-6B9E-44EA-80F3-7C05D982707F}">
      <formula1>ITEM</formula1>
    </dataValidation>
    <dataValidation type="list" allowBlank="1" showInputMessage="1" showErrorMessage="1" sqref="B50:B54" xr:uid="{12618ACF-4D07-4ADA-87D7-F925A460B9C5}">
      <formula1>L_PERSONAL</formula1>
    </dataValidation>
    <dataValidation type="list" allowBlank="1" showInputMessage="1" showErrorMessage="1" sqref="B31:B38" xr:uid="{09CE25AB-69D8-4330-8F34-FC05683A936D}">
      <formula1>L_MATERIALES</formula1>
    </dataValidation>
    <dataValidation type="list" allowBlank="1" showInputMessage="1" showErrorMessage="1" sqref="B23:B27 B42:B46" xr:uid="{EDEF8CFC-1CE7-4070-9464-32DCE12FB3FF}">
      <formula1>LISTA_MAQUINARIA</formula1>
    </dataValidation>
  </dataValidations>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94</vt:i4>
      </vt:variant>
      <vt:variant>
        <vt:lpstr>이름 지정된 범위</vt:lpstr>
      </vt:variant>
      <vt:variant>
        <vt:i4>2180</vt:i4>
      </vt:variant>
    </vt:vector>
  </HeadingPairs>
  <TitlesOfParts>
    <vt:vector size="2274" baseType="lpstr">
      <vt:lpstr>INGRESO DE DATOS</vt:lpstr>
      <vt:lpstr>DASH</vt:lpstr>
      <vt:lpstr>PORTADA </vt:lpstr>
      <vt:lpstr>OFERTA</vt:lpstr>
      <vt:lpstr>MAQUINARIA Y EQUIPO</vt:lpstr>
      <vt:lpstr>FACTOR PRESTACIONAL</vt:lpstr>
      <vt:lpstr>MANO DE OBRA </vt:lpstr>
      <vt:lpstr>MATERIALES</vt:lpstr>
      <vt:lpstr>ADMINISTRACION ELECTRICA</vt:lpstr>
      <vt:lpstr>ADMINISTRACION MECANICA </vt:lpstr>
      <vt:lpstr>ADMINISTRACION GENERAL TUPEY</vt:lpstr>
      <vt:lpstr>TABLAS</vt:lpstr>
      <vt:lpstr>L.MATERAILES</vt:lpstr>
      <vt:lpstr>APU REF. </vt:lpstr>
      <vt:lpstr>1</vt:lpstr>
      <vt:lpstr>2</vt:lpstr>
      <vt:lpstr>3</vt:lpstr>
      <vt:lpstr>4</vt:lpstr>
      <vt:lpstr>5</vt:lpstr>
      <vt:lpstr>6</vt:lpstr>
      <vt:lpstr>7</vt:lpstr>
      <vt:lpstr>8</vt:lpstr>
      <vt:lpstr>9</vt:lpstr>
      <vt:lpstr>10</vt:lpstr>
      <vt:lpstr>11</vt:lpstr>
      <vt:lpstr>12</vt:lpstr>
      <vt:lpstr>13</vt:lpstr>
      <vt:lpstr>14</vt:lpstr>
      <vt:lpstr>15</vt:lpstr>
      <vt:lpstr>16</vt:lpstr>
      <vt:lpstr>17</vt:lpstr>
      <vt:lpstr>18</vt:lpstr>
      <vt:lpstr>19</vt:lpstr>
      <vt:lpstr>20</vt:lpstr>
      <vt:lpstr>21</vt:lpstr>
      <vt:lpstr>22</vt:lpstr>
      <vt:lpstr>23</vt:lpstr>
      <vt:lpstr>24</vt:lpstr>
      <vt:lpstr>25</vt:lpstr>
      <vt:lpstr>26</vt:lpstr>
      <vt:lpstr>27</vt:lpstr>
      <vt:lpstr>28</vt:lpstr>
      <vt:lpstr>29</vt:lpstr>
      <vt:lpstr>30</vt:lpstr>
      <vt:lpstr>31</vt:lpstr>
      <vt:lpstr>32</vt:lpstr>
      <vt:lpstr>33</vt:lpstr>
      <vt:lpstr>34</vt:lpstr>
      <vt:lpstr>35</vt:lpstr>
      <vt:lpstr>36</vt:lpstr>
      <vt:lpstr>37</vt:lpstr>
      <vt:lpstr>38</vt:lpstr>
      <vt:lpstr>39</vt:lpstr>
      <vt:lpstr>40</vt:lpstr>
      <vt:lpstr>41</vt:lpstr>
      <vt:lpstr>42</vt:lpstr>
      <vt:lpstr>43</vt:lpstr>
      <vt:lpstr>44</vt:lpstr>
      <vt:lpstr>45</vt:lpstr>
      <vt:lpstr>46</vt:lpstr>
      <vt:lpstr>47</vt:lpstr>
      <vt:lpstr>48</vt:lpstr>
      <vt:lpstr>49</vt:lpstr>
      <vt:lpstr>50</vt:lpstr>
      <vt:lpstr>51</vt:lpstr>
      <vt:lpstr>52</vt:lpstr>
      <vt:lpstr>53</vt:lpstr>
      <vt:lpstr>54</vt:lpstr>
      <vt:lpstr>55</vt:lpstr>
      <vt:lpstr>56</vt:lpstr>
      <vt:lpstr>57</vt:lpstr>
      <vt:lpstr>58</vt:lpstr>
      <vt:lpstr>59</vt:lpstr>
      <vt:lpstr>60</vt:lpstr>
      <vt:lpstr>61</vt:lpstr>
      <vt:lpstr>62</vt:lpstr>
      <vt:lpstr>63</vt:lpstr>
      <vt:lpstr>64</vt:lpstr>
      <vt:lpstr>65</vt:lpstr>
      <vt:lpstr>66</vt:lpstr>
      <vt:lpstr>67</vt:lpstr>
      <vt:lpstr>68</vt:lpstr>
      <vt:lpstr>69</vt:lpstr>
      <vt:lpstr>70</vt:lpstr>
      <vt:lpstr>71</vt:lpstr>
      <vt:lpstr>72</vt:lpstr>
      <vt:lpstr>73</vt:lpstr>
      <vt:lpstr>74</vt:lpstr>
      <vt:lpstr>75</vt:lpstr>
      <vt:lpstr>76</vt:lpstr>
      <vt:lpstr>77</vt:lpstr>
      <vt:lpstr>78</vt:lpstr>
      <vt:lpstr>79</vt:lpstr>
      <vt:lpstr>80</vt:lpstr>
      <vt:lpstr>ADMINISTRACION</vt:lpstr>
      <vt:lpstr>ALOJA_ALIME</vt:lpstr>
      <vt:lpstr>ALOJAMIENTO_NO_OPERATIVOS</vt:lpstr>
      <vt:lpstr>'1'!CANT_PROYECTO</vt:lpstr>
      <vt:lpstr>'10'!CANT_PROYECTO</vt:lpstr>
      <vt:lpstr>'11'!CANT_PROYECTO</vt:lpstr>
      <vt:lpstr>'12'!CANT_PROYECTO</vt:lpstr>
      <vt:lpstr>'13'!CANT_PROYECTO</vt:lpstr>
      <vt:lpstr>'14'!CANT_PROYECTO</vt:lpstr>
      <vt:lpstr>'15'!CANT_PROYECTO</vt:lpstr>
      <vt:lpstr>'16'!CANT_PROYECTO</vt:lpstr>
      <vt:lpstr>'17'!CANT_PROYECTO</vt:lpstr>
      <vt:lpstr>'18'!CANT_PROYECTO</vt:lpstr>
      <vt:lpstr>'19'!CANT_PROYECTO</vt:lpstr>
      <vt:lpstr>'2'!CANT_PROYECTO</vt:lpstr>
      <vt:lpstr>'20'!CANT_PROYECTO</vt:lpstr>
      <vt:lpstr>'21'!CANT_PROYECTO</vt:lpstr>
      <vt:lpstr>'22'!CANT_PROYECTO</vt:lpstr>
      <vt:lpstr>'23'!CANT_PROYECTO</vt:lpstr>
      <vt:lpstr>'24'!CANT_PROYECTO</vt:lpstr>
      <vt:lpstr>'25'!CANT_PROYECTO</vt:lpstr>
      <vt:lpstr>'26'!CANT_PROYECTO</vt:lpstr>
      <vt:lpstr>'27'!CANT_PROYECTO</vt:lpstr>
      <vt:lpstr>'28'!CANT_PROYECTO</vt:lpstr>
      <vt:lpstr>'29'!CANT_PROYECTO</vt:lpstr>
      <vt:lpstr>'3'!CANT_PROYECTO</vt:lpstr>
      <vt:lpstr>'30'!CANT_PROYECTO</vt:lpstr>
      <vt:lpstr>'31'!CANT_PROYECTO</vt:lpstr>
      <vt:lpstr>'32'!CANT_PROYECTO</vt:lpstr>
      <vt:lpstr>'33'!CANT_PROYECTO</vt:lpstr>
      <vt:lpstr>'34'!CANT_PROYECTO</vt:lpstr>
      <vt:lpstr>'35'!CANT_PROYECTO</vt:lpstr>
      <vt:lpstr>'36'!CANT_PROYECTO</vt:lpstr>
      <vt:lpstr>'37'!CANT_PROYECTO</vt:lpstr>
      <vt:lpstr>'38'!CANT_PROYECTO</vt:lpstr>
      <vt:lpstr>'39'!CANT_PROYECTO</vt:lpstr>
      <vt:lpstr>'4'!CANT_PROYECTO</vt:lpstr>
      <vt:lpstr>'40'!CANT_PROYECTO</vt:lpstr>
      <vt:lpstr>'41'!CANT_PROYECTO</vt:lpstr>
      <vt:lpstr>'42'!CANT_PROYECTO</vt:lpstr>
      <vt:lpstr>'43'!CANT_PROYECTO</vt:lpstr>
      <vt:lpstr>'44'!CANT_PROYECTO</vt:lpstr>
      <vt:lpstr>'45'!CANT_PROYECTO</vt:lpstr>
      <vt:lpstr>'46'!CANT_PROYECTO</vt:lpstr>
      <vt:lpstr>'47'!CANT_PROYECTO</vt:lpstr>
      <vt:lpstr>'48'!CANT_PROYECTO</vt:lpstr>
      <vt:lpstr>'49'!CANT_PROYECTO</vt:lpstr>
      <vt:lpstr>'5'!CANT_PROYECTO</vt:lpstr>
      <vt:lpstr>'50'!CANT_PROYECTO</vt:lpstr>
      <vt:lpstr>'51'!CANT_PROYECTO</vt:lpstr>
      <vt:lpstr>'52'!CANT_PROYECTO</vt:lpstr>
      <vt:lpstr>'53'!CANT_PROYECTO</vt:lpstr>
      <vt:lpstr>'54'!CANT_PROYECTO</vt:lpstr>
      <vt:lpstr>'55'!CANT_PROYECTO</vt:lpstr>
      <vt:lpstr>'56'!CANT_PROYECTO</vt:lpstr>
      <vt:lpstr>'57'!CANT_PROYECTO</vt:lpstr>
      <vt:lpstr>'58'!CANT_PROYECTO</vt:lpstr>
      <vt:lpstr>'59'!CANT_PROYECTO</vt:lpstr>
      <vt:lpstr>'6'!CANT_PROYECTO</vt:lpstr>
      <vt:lpstr>'60'!CANT_PROYECTO</vt:lpstr>
      <vt:lpstr>'61'!CANT_PROYECTO</vt:lpstr>
      <vt:lpstr>'62'!CANT_PROYECTO</vt:lpstr>
      <vt:lpstr>'63'!CANT_PROYECTO</vt:lpstr>
      <vt:lpstr>'64'!CANT_PROYECTO</vt:lpstr>
      <vt:lpstr>'65'!CANT_PROYECTO</vt:lpstr>
      <vt:lpstr>'66'!CANT_PROYECTO</vt:lpstr>
      <vt:lpstr>'67'!CANT_PROYECTO</vt:lpstr>
      <vt:lpstr>'68'!CANT_PROYECTO</vt:lpstr>
      <vt:lpstr>'69'!CANT_PROYECTO</vt:lpstr>
      <vt:lpstr>'7'!CANT_PROYECTO</vt:lpstr>
      <vt:lpstr>'70'!CANT_PROYECTO</vt:lpstr>
      <vt:lpstr>'71'!CANT_PROYECTO</vt:lpstr>
      <vt:lpstr>'72'!CANT_PROYECTO</vt:lpstr>
      <vt:lpstr>'73'!CANT_PROYECTO</vt:lpstr>
      <vt:lpstr>'74'!CANT_PROYECTO</vt:lpstr>
      <vt:lpstr>'75'!CANT_PROYECTO</vt:lpstr>
      <vt:lpstr>'76'!CANT_PROYECTO</vt:lpstr>
      <vt:lpstr>'77'!CANT_PROYECTO</vt:lpstr>
      <vt:lpstr>'78'!CANT_PROYECTO</vt:lpstr>
      <vt:lpstr>'79'!CANT_PROYECTO</vt:lpstr>
      <vt:lpstr>'8'!CANT_PROYECTO</vt:lpstr>
      <vt:lpstr>'80'!CANT_PROYECTO</vt:lpstr>
      <vt:lpstr>'9'!CANT_PROYECTO</vt:lpstr>
      <vt:lpstr>CANT_PROYECTO</vt:lpstr>
      <vt:lpstr>CIUDAD</vt:lpstr>
      <vt:lpstr>'1'!CONSUMO_COMBUSTIBLE_H</vt:lpstr>
      <vt:lpstr>'10'!CONSUMO_COMBUSTIBLE_H</vt:lpstr>
      <vt:lpstr>'11'!CONSUMO_COMBUSTIBLE_H</vt:lpstr>
      <vt:lpstr>'12'!CONSUMO_COMBUSTIBLE_H</vt:lpstr>
      <vt:lpstr>'13'!CONSUMO_COMBUSTIBLE_H</vt:lpstr>
      <vt:lpstr>'14'!CONSUMO_COMBUSTIBLE_H</vt:lpstr>
      <vt:lpstr>'15'!CONSUMO_COMBUSTIBLE_H</vt:lpstr>
      <vt:lpstr>'16'!CONSUMO_COMBUSTIBLE_H</vt:lpstr>
      <vt:lpstr>'17'!CONSUMO_COMBUSTIBLE_H</vt:lpstr>
      <vt:lpstr>'18'!CONSUMO_COMBUSTIBLE_H</vt:lpstr>
      <vt:lpstr>'19'!CONSUMO_COMBUSTIBLE_H</vt:lpstr>
      <vt:lpstr>'2'!CONSUMO_COMBUSTIBLE_H</vt:lpstr>
      <vt:lpstr>'20'!CONSUMO_COMBUSTIBLE_H</vt:lpstr>
      <vt:lpstr>'21'!CONSUMO_COMBUSTIBLE_H</vt:lpstr>
      <vt:lpstr>'22'!CONSUMO_COMBUSTIBLE_H</vt:lpstr>
      <vt:lpstr>'23'!CONSUMO_COMBUSTIBLE_H</vt:lpstr>
      <vt:lpstr>'24'!CONSUMO_COMBUSTIBLE_H</vt:lpstr>
      <vt:lpstr>'25'!CONSUMO_COMBUSTIBLE_H</vt:lpstr>
      <vt:lpstr>'26'!CONSUMO_COMBUSTIBLE_H</vt:lpstr>
      <vt:lpstr>'27'!CONSUMO_COMBUSTIBLE_H</vt:lpstr>
      <vt:lpstr>'28'!CONSUMO_COMBUSTIBLE_H</vt:lpstr>
      <vt:lpstr>'29'!CONSUMO_COMBUSTIBLE_H</vt:lpstr>
      <vt:lpstr>'3'!CONSUMO_COMBUSTIBLE_H</vt:lpstr>
      <vt:lpstr>'30'!CONSUMO_COMBUSTIBLE_H</vt:lpstr>
      <vt:lpstr>'31'!CONSUMO_COMBUSTIBLE_H</vt:lpstr>
      <vt:lpstr>'32'!CONSUMO_COMBUSTIBLE_H</vt:lpstr>
      <vt:lpstr>'33'!CONSUMO_COMBUSTIBLE_H</vt:lpstr>
      <vt:lpstr>'34'!CONSUMO_COMBUSTIBLE_H</vt:lpstr>
      <vt:lpstr>'35'!CONSUMO_COMBUSTIBLE_H</vt:lpstr>
      <vt:lpstr>'36'!CONSUMO_COMBUSTIBLE_H</vt:lpstr>
      <vt:lpstr>'37'!CONSUMO_COMBUSTIBLE_H</vt:lpstr>
      <vt:lpstr>'38'!CONSUMO_COMBUSTIBLE_H</vt:lpstr>
      <vt:lpstr>'39'!CONSUMO_COMBUSTIBLE_H</vt:lpstr>
      <vt:lpstr>'4'!CONSUMO_COMBUSTIBLE_H</vt:lpstr>
      <vt:lpstr>'40'!CONSUMO_COMBUSTIBLE_H</vt:lpstr>
      <vt:lpstr>'41'!CONSUMO_COMBUSTIBLE_H</vt:lpstr>
      <vt:lpstr>'42'!CONSUMO_COMBUSTIBLE_H</vt:lpstr>
      <vt:lpstr>'43'!CONSUMO_COMBUSTIBLE_H</vt:lpstr>
      <vt:lpstr>'44'!CONSUMO_COMBUSTIBLE_H</vt:lpstr>
      <vt:lpstr>'45'!CONSUMO_COMBUSTIBLE_H</vt:lpstr>
      <vt:lpstr>'46'!CONSUMO_COMBUSTIBLE_H</vt:lpstr>
      <vt:lpstr>'47'!CONSUMO_COMBUSTIBLE_H</vt:lpstr>
      <vt:lpstr>'48'!CONSUMO_COMBUSTIBLE_H</vt:lpstr>
      <vt:lpstr>'49'!CONSUMO_COMBUSTIBLE_H</vt:lpstr>
      <vt:lpstr>'5'!CONSUMO_COMBUSTIBLE_H</vt:lpstr>
      <vt:lpstr>'50'!CONSUMO_COMBUSTIBLE_H</vt:lpstr>
      <vt:lpstr>'51'!CONSUMO_COMBUSTIBLE_H</vt:lpstr>
      <vt:lpstr>'52'!CONSUMO_COMBUSTIBLE_H</vt:lpstr>
      <vt:lpstr>'53'!CONSUMO_COMBUSTIBLE_H</vt:lpstr>
      <vt:lpstr>'54'!CONSUMO_COMBUSTIBLE_H</vt:lpstr>
      <vt:lpstr>'55'!CONSUMO_COMBUSTIBLE_H</vt:lpstr>
      <vt:lpstr>'56'!CONSUMO_COMBUSTIBLE_H</vt:lpstr>
      <vt:lpstr>'57'!CONSUMO_COMBUSTIBLE_H</vt:lpstr>
      <vt:lpstr>'58'!CONSUMO_COMBUSTIBLE_H</vt:lpstr>
      <vt:lpstr>'59'!CONSUMO_COMBUSTIBLE_H</vt:lpstr>
      <vt:lpstr>'6'!CONSUMO_COMBUSTIBLE_H</vt:lpstr>
      <vt:lpstr>'60'!CONSUMO_COMBUSTIBLE_H</vt:lpstr>
      <vt:lpstr>'61'!CONSUMO_COMBUSTIBLE_H</vt:lpstr>
      <vt:lpstr>'62'!CONSUMO_COMBUSTIBLE_H</vt:lpstr>
      <vt:lpstr>'63'!CONSUMO_COMBUSTIBLE_H</vt:lpstr>
      <vt:lpstr>'64'!CONSUMO_COMBUSTIBLE_H</vt:lpstr>
      <vt:lpstr>'65'!CONSUMO_COMBUSTIBLE_H</vt:lpstr>
      <vt:lpstr>'66'!CONSUMO_COMBUSTIBLE_H</vt:lpstr>
      <vt:lpstr>'67'!CONSUMO_COMBUSTIBLE_H</vt:lpstr>
      <vt:lpstr>'68'!CONSUMO_COMBUSTIBLE_H</vt:lpstr>
      <vt:lpstr>'69'!CONSUMO_COMBUSTIBLE_H</vt:lpstr>
      <vt:lpstr>'7'!CONSUMO_COMBUSTIBLE_H</vt:lpstr>
      <vt:lpstr>'70'!CONSUMO_COMBUSTIBLE_H</vt:lpstr>
      <vt:lpstr>'71'!CONSUMO_COMBUSTIBLE_H</vt:lpstr>
      <vt:lpstr>'72'!CONSUMO_COMBUSTIBLE_H</vt:lpstr>
      <vt:lpstr>'73'!CONSUMO_COMBUSTIBLE_H</vt:lpstr>
      <vt:lpstr>'74'!CONSUMO_COMBUSTIBLE_H</vt:lpstr>
      <vt:lpstr>'75'!CONSUMO_COMBUSTIBLE_H</vt:lpstr>
      <vt:lpstr>'76'!CONSUMO_COMBUSTIBLE_H</vt:lpstr>
      <vt:lpstr>'77'!CONSUMO_COMBUSTIBLE_H</vt:lpstr>
      <vt:lpstr>'78'!CONSUMO_COMBUSTIBLE_H</vt:lpstr>
      <vt:lpstr>'79'!CONSUMO_COMBUSTIBLE_H</vt:lpstr>
      <vt:lpstr>'8'!CONSUMO_COMBUSTIBLE_H</vt:lpstr>
      <vt:lpstr>'80'!CONSUMO_COMBUSTIBLE_H</vt:lpstr>
      <vt:lpstr>'9'!CONSUMO_COMBUSTIBLE_H</vt:lpstr>
      <vt:lpstr>'ADMINISTRACION ELECTRICA'!CONSUMO_COMBUSTIBLE_H</vt:lpstr>
      <vt:lpstr>'ADMINISTRACION MECANICA '!CONSUMO_COMBUSTIBLE_H</vt:lpstr>
      <vt:lpstr>CONSUMO_COMBUSTIBLE_H</vt:lpstr>
      <vt:lpstr>COSTO_DIRECTO_OPTIMO</vt:lpstr>
      <vt:lpstr>COSTO_OFERTA</vt:lpstr>
      <vt:lpstr>DEPARTAMENTO_COMUNA</vt:lpstr>
      <vt:lpstr>'1'!DESCRIP_ITEM</vt:lpstr>
      <vt:lpstr>'10'!DESCRIP_ITEM</vt:lpstr>
      <vt:lpstr>'11'!DESCRIP_ITEM</vt:lpstr>
      <vt:lpstr>'12'!DESCRIP_ITEM</vt:lpstr>
      <vt:lpstr>'13'!DESCRIP_ITEM</vt:lpstr>
      <vt:lpstr>'14'!DESCRIP_ITEM</vt:lpstr>
      <vt:lpstr>'15'!DESCRIP_ITEM</vt:lpstr>
      <vt:lpstr>'16'!DESCRIP_ITEM</vt:lpstr>
      <vt:lpstr>'17'!DESCRIP_ITEM</vt:lpstr>
      <vt:lpstr>'18'!DESCRIP_ITEM</vt:lpstr>
      <vt:lpstr>'19'!DESCRIP_ITEM</vt:lpstr>
      <vt:lpstr>'2'!DESCRIP_ITEM</vt:lpstr>
      <vt:lpstr>'20'!DESCRIP_ITEM</vt:lpstr>
      <vt:lpstr>'21'!DESCRIP_ITEM</vt:lpstr>
      <vt:lpstr>'22'!DESCRIP_ITEM</vt:lpstr>
      <vt:lpstr>'23'!DESCRIP_ITEM</vt:lpstr>
      <vt:lpstr>'24'!DESCRIP_ITEM</vt:lpstr>
      <vt:lpstr>'25'!DESCRIP_ITEM</vt:lpstr>
      <vt:lpstr>'26'!DESCRIP_ITEM</vt:lpstr>
      <vt:lpstr>'27'!DESCRIP_ITEM</vt:lpstr>
      <vt:lpstr>'28'!DESCRIP_ITEM</vt:lpstr>
      <vt:lpstr>'29'!DESCRIP_ITEM</vt:lpstr>
      <vt:lpstr>'3'!DESCRIP_ITEM</vt:lpstr>
      <vt:lpstr>'30'!DESCRIP_ITEM</vt:lpstr>
      <vt:lpstr>'31'!DESCRIP_ITEM</vt:lpstr>
      <vt:lpstr>'32'!DESCRIP_ITEM</vt:lpstr>
      <vt:lpstr>'33'!DESCRIP_ITEM</vt:lpstr>
      <vt:lpstr>'34'!DESCRIP_ITEM</vt:lpstr>
      <vt:lpstr>'35'!DESCRIP_ITEM</vt:lpstr>
      <vt:lpstr>'36'!DESCRIP_ITEM</vt:lpstr>
      <vt:lpstr>'37'!DESCRIP_ITEM</vt:lpstr>
      <vt:lpstr>'38'!DESCRIP_ITEM</vt:lpstr>
      <vt:lpstr>'39'!DESCRIP_ITEM</vt:lpstr>
      <vt:lpstr>'4'!DESCRIP_ITEM</vt:lpstr>
      <vt:lpstr>'40'!DESCRIP_ITEM</vt:lpstr>
      <vt:lpstr>'41'!DESCRIP_ITEM</vt:lpstr>
      <vt:lpstr>'42'!DESCRIP_ITEM</vt:lpstr>
      <vt:lpstr>'43'!DESCRIP_ITEM</vt:lpstr>
      <vt:lpstr>'44'!DESCRIP_ITEM</vt:lpstr>
      <vt:lpstr>'45'!DESCRIP_ITEM</vt:lpstr>
      <vt:lpstr>'46'!DESCRIP_ITEM</vt:lpstr>
      <vt:lpstr>'47'!DESCRIP_ITEM</vt:lpstr>
      <vt:lpstr>'48'!DESCRIP_ITEM</vt:lpstr>
      <vt:lpstr>'49'!DESCRIP_ITEM</vt:lpstr>
      <vt:lpstr>'5'!DESCRIP_ITEM</vt:lpstr>
      <vt:lpstr>'50'!DESCRIP_ITEM</vt:lpstr>
      <vt:lpstr>'51'!DESCRIP_ITEM</vt:lpstr>
      <vt:lpstr>'52'!DESCRIP_ITEM</vt:lpstr>
      <vt:lpstr>'53'!DESCRIP_ITEM</vt:lpstr>
      <vt:lpstr>'54'!DESCRIP_ITEM</vt:lpstr>
      <vt:lpstr>'55'!DESCRIP_ITEM</vt:lpstr>
      <vt:lpstr>'56'!DESCRIP_ITEM</vt:lpstr>
      <vt:lpstr>'57'!DESCRIP_ITEM</vt:lpstr>
      <vt:lpstr>'58'!DESCRIP_ITEM</vt:lpstr>
      <vt:lpstr>'59'!DESCRIP_ITEM</vt:lpstr>
      <vt:lpstr>'6'!DESCRIP_ITEM</vt:lpstr>
      <vt:lpstr>'60'!DESCRIP_ITEM</vt:lpstr>
      <vt:lpstr>'61'!DESCRIP_ITEM</vt:lpstr>
      <vt:lpstr>'62'!DESCRIP_ITEM</vt:lpstr>
      <vt:lpstr>'63'!DESCRIP_ITEM</vt:lpstr>
      <vt:lpstr>'64'!DESCRIP_ITEM</vt:lpstr>
      <vt:lpstr>'65'!DESCRIP_ITEM</vt:lpstr>
      <vt:lpstr>'66'!DESCRIP_ITEM</vt:lpstr>
      <vt:lpstr>'67'!DESCRIP_ITEM</vt:lpstr>
      <vt:lpstr>'68'!DESCRIP_ITEM</vt:lpstr>
      <vt:lpstr>'69'!DESCRIP_ITEM</vt:lpstr>
      <vt:lpstr>'7'!DESCRIP_ITEM</vt:lpstr>
      <vt:lpstr>'70'!DESCRIP_ITEM</vt:lpstr>
      <vt:lpstr>'71'!DESCRIP_ITEM</vt:lpstr>
      <vt:lpstr>'72'!DESCRIP_ITEM</vt:lpstr>
      <vt:lpstr>'73'!DESCRIP_ITEM</vt:lpstr>
      <vt:lpstr>'74'!DESCRIP_ITEM</vt:lpstr>
      <vt:lpstr>'75'!DESCRIP_ITEM</vt:lpstr>
      <vt:lpstr>'76'!DESCRIP_ITEM</vt:lpstr>
      <vt:lpstr>'77'!DESCRIP_ITEM</vt:lpstr>
      <vt:lpstr>'78'!DESCRIP_ITEM</vt:lpstr>
      <vt:lpstr>'79'!DESCRIP_ITEM</vt:lpstr>
      <vt:lpstr>'8'!DESCRIP_ITEM</vt:lpstr>
      <vt:lpstr>'80'!DESCRIP_ITEM</vt:lpstr>
      <vt:lpstr>'9'!DESCRIP_ITEM</vt:lpstr>
      <vt:lpstr>DESCRIP_ITEM</vt:lpstr>
      <vt:lpstr>DESCRIPCION_DE_TABLA1</vt:lpstr>
      <vt:lpstr>DESCRIPCION_DE_TABLA22</vt:lpstr>
      <vt:lpstr>DESCUENTOS_LEGALES</vt:lpstr>
      <vt:lpstr>DURCION_PROYECTO</vt:lpstr>
      <vt:lpstr>'1'!Empresas</vt:lpstr>
      <vt:lpstr>'10'!Empresas</vt:lpstr>
      <vt:lpstr>'11'!Empresas</vt:lpstr>
      <vt:lpstr>'12'!Empresas</vt:lpstr>
      <vt:lpstr>'13'!Empresas</vt:lpstr>
      <vt:lpstr>'14'!Empresas</vt:lpstr>
      <vt:lpstr>'15'!Empresas</vt:lpstr>
      <vt:lpstr>'16'!Empresas</vt:lpstr>
      <vt:lpstr>'17'!Empresas</vt:lpstr>
      <vt:lpstr>'18'!Empresas</vt:lpstr>
      <vt:lpstr>'19'!Empresas</vt:lpstr>
      <vt:lpstr>'2'!Empresas</vt:lpstr>
      <vt:lpstr>'20'!Empresas</vt:lpstr>
      <vt:lpstr>'21'!Empresas</vt:lpstr>
      <vt:lpstr>'22'!Empresas</vt:lpstr>
      <vt:lpstr>'23'!Empresas</vt:lpstr>
      <vt:lpstr>'24'!Empresas</vt:lpstr>
      <vt:lpstr>'25'!Empresas</vt:lpstr>
      <vt:lpstr>'26'!Empresas</vt:lpstr>
      <vt:lpstr>'27'!Empresas</vt:lpstr>
      <vt:lpstr>'28'!Empresas</vt:lpstr>
      <vt:lpstr>'29'!Empresas</vt:lpstr>
      <vt:lpstr>'3'!Empresas</vt:lpstr>
      <vt:lpstr>'30'!Empresas</vt:lpstr>
      <vt:lpstr>'31'!Empresas</vt:lpstr>
      <vt:lpstr>'32'!Empresas</vt:lpstr>
      <vt:lpstr>'33'!Empresas</vt:lpstr>
      <vt:lpstr>'34'!Empresas</vt:lpstr>
      <vt:lpstr>'35'!Empresas</vt:lpstr>
      <vt:lpstr>'36'!Empresas</vt:lpstr>
      <vt:lpstr>'37'!Empresas</vt:lpstr>
      <vt:lpstr>'38'!Empresas</vt:lpstr>
      <vt:lpstr>'39'!Empresas</vt:lpstr>
      <vt:lpstr>'4'!Empresas</vt:lpstr>
      <vt:lpstr>'40'!Empresas</vt:lpstr>
      <vt:lpstr>'41'!Empresas</vt:lpstr>
      <vt:lpstr>'42'!Empresas</vt:lpstr>
      <vt:lpstr>'43'!Empresas</vt:lpstr>
      <vt:lpstr>'44'!Empresas</vt:lpstr>
      <vt:lpstr>'45'!Empresas</vt:lpstr>
      <vt:lpstr>'46'!Empresas</vt:lpstr>
      <vt:lpstr>'47'!Empresas</vt:lpstr>
      <vt:lpstr>'48'!Empresas</vt:lpstr>
      <vt:lpstr>'49'!Empresas</vt:lpstr>
      <vt:lpstr>'5'!Empresas</vt:lpstr>
      <vt:lpstr>'50'!Empresas</vt:lpstr>
      <vt:lpstr>'51'!Empresas</vt:lpstr>
      <vt:lpstr>'52'!Empresas</vt:lpstr>
      <vt:lpstr>'53'!Empresas</vt:lpstr>
      <vt:lpstr>'54'!Empresas</vt:lpstr>
      <vt:lpstr>'55'!Empresas</vt:lpstr>
      <vt:lpstr>'56'!Empresas</vt:lpstr>
      <vt:lpstr>'57'!Empresas</vt:lpstr>
      <vt:lpstr>'58'!Empresas</vt:lpstr>
      <vt:lpstr>'59'!Empresas</vt:lpstr>
      <vt:lpstr>'6'!Empresas</vt:lpstr>
      <vt:lpstr>'60'!Empresas</vt:lpstr>
      <vt:lpstr>'61'!Empresas</vt:lpstr>
      <vt:lpstr>'62'!Empresas</vt:lpstr>
      <vt:lpstr>'63'!Empresas</vt:lpstr>
      <vt:lpstr>'64'!Empresas</vt:lpstr>
      <vt:lpstr>'65'!Empresas</vt:lpstr>
      <vt:lpstr>'66'!Empresas</vt:lpstr>
      <vt:lpstr>'67'!Empresas</vt:lpstr>
      <vt:lpstr>'68'!Empresas</vt:lpstr>
      <vt:lpstr>'69'!Empresas</vt:lpstr>
      <vt:lpstr>'7'!Empresas</vt:lpstr>
      <vt:lpstr>'70'!Empresas</vt:lpstr>
      <vt:lpstr>'71'!Empresas</vt:lpstr>
      <vt:lpstr>'72'!Empresas</vt:lpstr>
      <vt:lpstr>'73'!Empresas</vt:lpstr>
      <vt:lpstr>'74'!Empresas</vt:lpstr>
      <vt:lpstr>'75'!Empresas</vt:lpstr>
      <vt:lpstr>'76'!Empresas</vt:lpstr>
      <vt:lpstr>'77'!Empresas</vt:lpstr>
      <vt:lpstr>'78'!Empresas</vt:lpstr>
      <vt:lpstr>'79'!Empresas</vt:lpstr>
      <vt:lpstr>'8'!Empresas</vt:lpstr>
      <vt:lpstr>'80'!Empresas</vt:lpstr>
      <vt:lpstr>'9'!Empresas</vt:lpstr>
      <vt:lpstr>Empresas</vt:lpstr>
      <vt:lpstr>EPP_ADMINISTRATIVOS</vt:lpstr>
      <vt:lpstr>EPP_AYUDANTES</vt:lpstr>
      <vt:lpstr>EXAMENES_MEDICO</vt:lpstr>
      <vt:lpstr>'1'!F_PRESTACIONAL</vt:lpstr>
      <vt:lpstr>'10'!F_PRESTACIONAL</vt:lpstr>
      <vt:lpstr>'11'!F_PRESTACIONAL</vt:lpstr>
      <vt:lpstr>'12'!F_PRESTACIONAL</vt:lpstr>
      <vt:lpstr>'13'!F_PRESTACIONAL</vt:lpstr>
      <vt:lpstr>'14'!F_PRESTACIONAL</vt:lpstr>
      <vt:lpstr>'15'!F_PRESTACIONAL</vt:lpstr>
      <vt:lpstr>'16'!F_PRESTACIONAL</vt:lpstr>
      <vt:lpstr>'17'!F_PRESTACIONAL</vt:lpstr>
      <vt:lpstr>'18'!F_PRESTACIONAL</vt:lpstr>
      <vt:lpstr>'19'!F_PRESTACIONAL</vt:lpstr>
      <vt:lpstr>'2'!F_PRESTACIONAL</vt:lpstr>
      <vt:lpstr>'20'!F_PRESTACIONAL</vt:lpstr>
      <vt:lpstr>'21'!F_PRESTACIONAL</vt:lpstr>
      <vt:lpstr>'22'!F_PRESTACIONAL</vt:lpstr>
      <vt:lpstr>'23'!F_PRESTACIONAL</vt:lpstr>
      <vt:lpstr>'24'!F_PRESTACIONAL</vt:lpstr>
      <vt:lpstr>'25'!F_PRESTACIONAL</vt:lpstr>
      <vt:lpstr>'26'!F_PRESTACIONAL</vt:lpstr>
      <vt:lpstr>'27'!F_PRESTACIONAL</vt:lpstr>
      <vt:lpstr>'28'!F_PRESTACIONAL</vt:lpstr>
      <vt:lpstr>'29'!F_PRESTACIONAL</vt:lpstr>
      <vt:lpstr>'3'!F_PRESTACIONAL</vt:lpstr>
      <vt:lpstr>'30'!F_PRESTACIONAL</vt:lpstr>
      <vt:lpstr>'31'!F_PRESTACIONAL</vt:lpstr>
      <vt:lpstr>'32'!F_PRESTACIONAL</vt:lpstr>
      <vt:lpstr>'33'!F_PRESTACIONAL</vt:lpstr>
      <vt:lpstr>'34'!F_PRESTACIONAL</vt:lpstr>
      <vt:lpstr>'35'!F_PRESTACIONAL</vt:lpstr>
      <vt:lpstr>'36'!F_PRESTACIONAL</vt:lpstr>
      <vt:lpstr>'37'!F_PRESTACIONAL</vt:lpstr>
      <vt:lpstr>'38'!F_PRESTACIONAL</vt:lpstr>
      <vt:lpstr>'39'!F_PRESTACIONAL</vt:lpstr>
      <vt:lpstr>'4'!F_PRESTACIONAL</vt:lpstr>
      <vt:lpstr>'40'!F_PRESTACIONAL</vt:lpstr>
      <vt:lpstr>'41'!F_PRESTACIONAL</vt:lpstr>
      <vt:lpstr>'42'!F_PRESTACIONAL</vt:lpstr>
      <vt:lpstr>'43'!F_PRESTACIONAL</vt:lpstr>
      <vt:lpstr>'44'!F_PRESTACIONAL</vt:lpstr>
      <vt:lpstr>'45'!F_PRESTACIONAL</vt:lpstr>
      <vt:lpstr>'46'!F_PRESTACIONAL</vt:lpstr>
      <vt:lpstr>'47'!F_PRESTACIONAL</vt:lpstr>
      <vt:lpstr>'48'!F_PRESTACIONAL</vt:lpstr>
      <vt:lpstr>'49'!F_PRESTACIONAL</vt:lpstr>
      <vt:lpstr>'5'!F_PRESTACIONAL</vt:lpstr>
      <vt:lpstr>'50'!F_PRESTACIONAL</vt:lpstr>
      <vt:lpstr>'51'!F_PRESTACIONAL</vt:lpstr>
      <vt:lpstr>'52'!F_PRESTACIONAL</vt:lpstr>
      <vt:lpstr>'53'!F_PRESTACIONAL</vt:lpstr>
      <vt:lpstr>'54'!F_PRESTACIONAL</vt:lpstr>
      <vt:lpstr>'55'!F_PRESTACIONAL</vt:lpstr>
      <vt:lpstr>'56'!F_PRESTACIONAL</vt:lpstr>
      <vt:lpstr>'57'!F_PRESTACIONAL</vt:lpstr>
      <vt:lpstr>'58'!F_PRESTACIONAL</vt:lpstr>
      <vt:lpstr>'59'!F_PRESTACIONAL</vt:lpstr>
      <vt:lpstr>'6'!F_PRESTACIONAL</vt:lpstr>
      <vt:lpstr>'60'!F_PRESTACIONAL</vt:lpstr>
      <vt:lpstr>'61'!F_PRESTACIONAL</vt:lpstr>
      <vt:lpstr>'62'!F_PRESTACIONAL</vt:lpstr>
      <vt:lpstr>'63'!F_PRESTACIONAL</vt:lpstr>
      <vt:lpstr>'64'!F_PRESTACIONAL</vt:lpstr>
      <vt:lpstr>'65'!F_PRESTACIONAL</vt:lpstr>
      <vt:lpstr>'66'!F_PRESTACIONAL</vt:lpstr>
      <vt:lpstr>'67'!F_PRESTACIONAL</vt:lpstr>
      <vt:lpstr>'68'!F_PRESTACIONAL</vt:lpstr>
      <vt:lpstr>'69'!F_PRESTACIONAL</vt:lpstr>
      <vt:lpstr>'7'!F_PRESTACIONAL</vt:lpstr>
      <vt:lpstr>'70'!F_PRESTACIONAL</vt:lpstr>
      <vt:lpstr>'71'!F_PRESTACIONAL</vt:lpstr>
      <vt:lpstr>'72'!F_PRESTACIONAL</vt:lpstr>
      <vt:lpstr>'73'!F_PRESTACIONAL</vt:lpstr>
      <vt:lpstr>'74'!F_PRESTACIONAL</vt:lpstr>
      <vt:lpstr>'75'!F_PRESTACIONAL</vt:lpstr>
      <vt:lpstr>'76'!F_PRESTACIONAL</vt:lpstr>
      <vt:lpstr>'77'!F_PRESTACIONAL</vt:lpstr>
      <vt:lpstr>'78'!F_PRESTACIONAL</vt:lpstr>
      <vt:lpstr>'79'!F_PRESTACIONAL</vt:lpstr>
      <vt:lpstr>'8'!F_PRESTACIONAL</vt:lpstr>
      <vt:lpstr>'80'!F_PRESTACIONAL</vt:lpstr>
      <vt:lpstr>'9'!F_PRESTACIONAL</vt:lpstr>
      <vt:lpstr>'ADMINISTRACION ELECTRICA'!F_PRESTACIONAL</vt:lpstr>
      <vt:lpstr>'ADMINISTRACION MECANICA '!F_PRESTACIONAL</vt:lpstr>
      <vt:lpstr>F_PRESTACIONAL</vt:lpstr>
      <vt:lpstr>FECHA</vt:lpstr>
      <vt:lpstr>IMPREVISTOS</vt:lpstr>
      <vt:lpstr>'1'!ITEM</vt:lpstr>
      <vt:lpstr>'10'!ITEM</vt:lpstr>
      <vt:lpstr>'11'!ITEM</vt:lpstr>
      <vt:lpstr>'12'!ITEM</vt:lpstr>
      <vt:lpstr>'13'!ITEM</vt:lpstr>
      <vt:lpstr>'14'!ITEM</vt:lpstr>
      <vt:lpstr>'15'!ITEM</vt:lpstr>
      <vt:lpstr>'16'!ITEM</vt:lpstr>
      <vt:lpstr>'17'!ITEM</vt:lpstr>
      <vt:lpstr>'18'!ITEM</vt:lpstr>
      <vt:lpstr>'19'!ITEM</vt:lpstr>
      <vt:lpstr>'2'!ITEM</vt:lpstr>
      <vt:lpstr>'20'!ITEM</vt:lpstr>
      <vt:lpstr>'21'!ITEM</vt:lpstr>
      <vt:lpstr>'22'!ITEM</vt:lpstr>
      <vt:lpstr>'23'!ITEM</vt:lpstr>
      <vt:lpstr>'24'!ITEM</vt:lpstr>
      <vt:lpstr>'25'!ITEM</vt:lpstr>
      <vt:lpstr>'26'!ITEM</vt:lpstr>
      <vt:lpstr>'27'!ITEM</vt:lpstr>
      <vt:lpstr>'28'!ITEM</vt:lpstr>
      <vt:lpstr>'29'!ITEM</vt:lpstr>
      <vt:lpstr>'3'!ITEM</vt:lpstr>
      <vt:lpstr>'30'!ITEM</vt:lpstr>
      <vt:lpstr>'31'!ITEM</vt:lpstr>
      <vt:lpstr>'32'!ITEM</vt:lpstr>
      <vt:lpstr>'33'!ITEM</vt:lpstr>
      <vt:lpstr>'34'!ITEM</vt:lpstr>
      <vt:lpstr>'35'!ITEM</vt:lpstr>
      <vt:lpstr>'36'!ITEM</vt:lpstr>
      <vt:lpstr>'37'!ITEM</vt:lpstr>
      <vt:lpstr>'38'!ITEM</vt:lpstr>
      <vt:lpstr>'39'!ITEM</vt:lpstr>
      <vt:lpstr>'4'!ITEM</vt:lpstr>
      <vt:lpstr>'40'!ITEM</vt:lpstr>
      <vt:lpstr>'41'!ITEM</vt:lpstr>
      <vt:lpstr>'42'!ITEM</vt:lpstr>
      <vt:lpstr>'43'!ITEM</vt:lpstr>
      <vt:lpstr>'44'!ITEM</vt:lpstr>
      <vt:lpstr>'45'!ITEM</vt:lpstr>
      <vt:lpstr>'46'!ITEM</vt:lpstr>
      <vt:lpstr>'47'!ITEM</vt:lpstr>
      <vt:lpstr>'48'!ITEM</vt:lpstr>
      <vt:lpstr>'49'!ITEM</vt:lpstr>
      <vt:lpstr>'5'!ITEM</vt:lpstr>
      <vt:lpstr>'50'!ITEM</vt:lpstr>
      <vt:lpstr>'51'!ITEM</vt:lpstr>
      <vt:lpstr>'52'!ITEM</vt:lpstr>
      <vt:lpstr>'53'!ITEM</vt:lpstr>
      <vt:lpstr>'54'!ITEM</vt:lpstr>
      <vt:lpstr>'55'!ITEM</vt:lpstr>
      <vt:lpstr>'56'!ITEM</vt:lpstr>
      <vt:lpstr>'57'!ITEM</vt:lpstr>
      <vt:lpstr>'58'!ITEM</vt:lpstr>
      <vt:lpstr>'59'!ITEM</vt:lpstr>
      <vt:lpstr>'6'!ITEM</vt:lpstr>
      <vt:lpstr>'60'!ITEM</vt:lpstr>
      <vt:lpstr>'61'!ITEM</vt:lpstr>
      <vt:lpstr>'62'!ITEM</vt:lpstr>
      <vt:lpstr>'63'!ITEM</vt:lpstr>
      <vt:lpstr>'64'!ITEM</vt:lpstr>
      <vt:lpstr>'65'!ITEM</vt:lpstr>
      <vt:lpstr>'66'!ITEM</vt:lpstr>
      <vt:lpstr>'67'!ITEM</vt:lpstr>
      <vt:lpstr>'68'!ITEM</vt:lpstr>
      <vt:lpstr>'69'!ITEM</vt:lpstr>
      <vt:lpstr>'7'!ITEM</vt:lpstr>
      <vt:lpstr>'70'!ITEM</vt:lpstr>
      <vt:lpstr>'71'!ITEM</vt:lpstr>
      <vt:lpstr>'72'!ITEM</vt:lpstr>
      <vt:lpstr>'73'!ITEM</vt:lpstr>
      <vt:lpstr>'74'!ITEM</vt:lpstr>
      <vt:lpstr>'75'!ITEM</vt:lpstr>
      <vt:lpstr>'76'!ITEM</vt:lpstr>
      <vt:lpstr>'77'!ITEM</vt:lpstr>
      <vt:lpstr>'78'!ITEM</vt:lpstr>
      <vt:lpstr>'79'!ITEM</vt:lpstr>
      <vt:lpstr>'8'!ITEM</vt:lpstr>
      <vt:lpstr>'80'!ITEM</vt:lpstr>
      <vt:lpstr>'9'!ITEM</vt:lpstr>
      <vt:lpstr>ITEM</vt:lpstr>
      <vt:lpstr>'1'!L_MATERIALES</vt:lpstr>
      <vt:lpstr>'10'!L_MATERIALES</vt:lpstr>
      <vt:lpstr>'11'!L_MATERIALES</vt:lpstr>
      <vt:lpstr>'12'!L_MATERIALES</vt:lpstr>
      <vt:lpstr>'13'!L_MATERIALES</vt:lpstr>
      <vt:lpstr>'14'!L_MATERIALES</vt:lpstr>
      <vt:lpstr>'15'!L_MATERIALES</vt:lpstr>
      <vt:lpstr>'16'!L_MATERIALES</vt:lpstr>
      <vt:lpstr>'17'!L_MATERIALES</vt:lpstr>
      <vt:lpstr>'18'!L_MATERIALES</vt:lpstr>
      <vt:lpstr>'19'!L_MATERIALES</vt:lpstr>
      <vt:lpstr>'2'!L_MATERIALES</vt:lpstr>
      <vt:lpstr>'20'!L_MATERIALES</vt:lpstr>
      <vt:lpstr>'21'!L_MATERIALES</vt:lpstr>
      <vt:lpstr>'22'!L_MATERIALES</vt:lpstr>
      <vt:lpstr>'23'!L_MATERIALES</vt:lpstr>
      <vt:lpstr>'24'!L_MATERIALES</vt:lpstr>
      <vt:lpstr>'25'!L_MATERIALES</vt:lpstr>
      <vt:lpstr>'26'!L_MATERIALES</vt:lpstr>
      <vt:lpstr>'27'!L_MATERIALES</vt:lpstr>
      <vt:lpstr>'28'!L_MATERIALES</vt:lpstr>
      <vt:lpstr>'29'!L_MATERIALES</vt:lpstr>
      <vt:lpstr>'3'!L_MATERIALES</vt:lpstr>
      <vt:lpstr>'30'!L_MATERIALES</vt:lpstr>
      <vt:lpstr>'31'!L_MATERIALES</vt:lpstr>
      <vt:lpstr>'32'!L_MATERIALES</vt:lpstr>
      <vt:lpstr>'33'!L_MATERIALES</vt:lpstr>
      <vt:lpstr>'34'!L_MATERIALES</vt:lpstr>
      <vt:lpstr>'35'!L_MATERIALES</vt:lpstr>
      <vt:lpstr>'36'!L_MATERIALES</vt:lpstr>
      <vt:lpstr>'37'!L_MATERIALES</vt:lpstr>
      <vt:lpstr>'38'!L_MATERIALES</vt:lpstr>
      <vt:lpstr>'39'!L_MATERIALES</vt:lpstr>
      <vt:lpstr>'4'!L_MATERIALES</vt:lpstr>
      <vt:lpstr>'40'!L_MATERIALES</vt:lpstr>
      <vt:lpstr>'41'!L_MATERIALES</vt:lpstr>
      <vt:lpstr>'42'!L_MATERIALES</vt:lpstr>
      <vt:lpstr>'43'!L_MATERIALES</vt:lpstr>
      <vt:lpstr>'44'!L_MATERIALES</vt:lpstr>
      <vt:lpstr>'45'!L_MATERIALES</vt:lpstr>
      <vt:lpstr>'46'!L_MATERIALES</vt:lpstr>
      <vt:lpstr>'47'!L_MATERIALES</vt:lpstr>
      <vt:lpstr>'48'!L_MATERIALES</vt:lpstr>
      <vt:lpstr>'49'!L_MATERIALES</vt:lpstr>
      <vt:lpstr>'5'!L_MATERIALES</vt:lpstr>
      <vt:lpstr>'50'!L_MATERIALES</vt:lpstr>
      <vt:lpstr>'51'!L_MATERIALES</vt:lpstr>
      <vt:lpstr>'52'!L_MATERIALES</vt:lpstr>
      <vt:lpstr>'53'!L_MATERIALES</vt:lpstr>
      <vt:lpstr>'54'!L_MATERIALES</vt:lpstr>
      <vt:lpstr>'55'!L_MATERIALES</vt:lpstr>
      <vt:lpstr>'56'!L_MATERIALES</vt:lpstr>
      <vt:lpstr>'57'!L_MATERIALES</vt:lpstr>
      <vt:lpstr>'58'!L_MATERIALES</vt:lpstr>
      <vt:lpstr>'59'!L_MATERIALES</vt:lpstr>
      <vt:lpstr>'6'!L_MATERIALES</vt:lpstr>
      <vt:lpstr>'60'!L_MATERIALES</vt:lpstr>
      <vt:lpstr>'61'!L_MATERIALES</vt:lpstr>
      <vt:lpstr>'62'!L_MATERIALES</vt:lpstr>
      <vt:lpstr>'63'!L_MATERIALES</vt:lpstr>
      <vt:lpstr>'64'!L_MATERIALES</vt:lpstr>
      <vt:lpstr>'65'!L_MATERIALES</vt:lpstr>
      <vt:lpstr>'66'!L_MATERIALES</vt:lpstr>
      <vt:lpstr>'67'!L_MATERIALES</vt:lpstr>
      <vt:lpstr>'68'!L_MATERIALES</vt:lpstr>
      <vt:lpstr>'69'!L_MATERIALES</vt:lpstr>
      <vt:lpstr>'7'!L_MATERIALES</vt:lpstr>
      <vt:lpstr>'70'!L_MATERIALES</vt:lpstr>
      <vt:lpstr>'71'!L_MATERIALES</vt:lpstr>
      <vt:lpstr>'72'!L_MATERIALES</vt:lpstr>
      <vt:lpstr>'73'!L_MATERIALES</vt:lpstr>
      <vt:lpstr>'74'!L_MATERIALES</vt:lpstr>
      <vt:lpstr>'75'!L_MATERIALES</vt:lpstr>
      <vt:lpstr>'76'!L_MATERIALES</vt:lpstr>
      <vt:lpstr>'77'!L_MATERIALES</vt:lpstr>
      <vt:lpstr>'78'!L_MATERIALES</vt:lpstr>
      <vt:lpstr>'79'!L_MATERIALES</vt:lpstr>
      <vt:lpstr>'8'!L_MATERIALES</vt:lpstr>
      <vt:lpstr>'80'!L_MATERIALES</vt:lpstr>
      <vt:lpstr>'9'!L_MATERIALES</vt:lpstr>
      <vt:lpstr>'ADMINISTRACION ELECTRICA'!L_MATERIALES</vt:lpstr>
      <vt:lpstr>'ADMINISTRACION MECANICA '!L_MATERIALES</vt:lpstr>
      <vt:lpstr>L_MATERIALES</vt:lpstr>
      <vt:lpstr>'1'!L_PERSONAL</vt:lpstr>
      <vt:lpstr>'10'!L_PERSONAL</vt:lpstr>
      <vt:lpstr>'11'!L_PERSONAL</vt:lpstr>
      <vt:lpstr>'12'!L_PERSONAL</vt:lpstr>
      <vt:lpstr>'13'!L_PERSONAL</vt:lpstr>
      <vt:lpstr>'14'!L_PERSONAL</vt:lpstr>
      <vt:lpstr>'15'!L_PERSONAL</vt:lpstr>
      <vt:lpstr>'16'!L_PERSONAL</vt:lpstr>
      <vt:lpstr>'17'!L_PERSONAL</vt:lpstr>
      <vt:lpstr>'18'!L_PERSONAL</vt:lpstr>
      <vt:lpstr>'19'!L_PERSONAL</vt:lpstr>
      <vt:lpstr>'2'!L_PERSONAL</vt:lpstr>
      <vt:lpstr>'20'!L_PERSONAL</vt:lpstr>
      <vt:lpstr>'21'!L_PERSONAL</vt:lpstr>
      <vt:lpstr>'22'!L_PERSONAL</vt:lpstr>
      <vt:lpstr>'23'!L_PERSONAL</vt:lpstr>
      <vt:lpstr>'24'!L_PERSONAL</vt:lpstr>
      <vt:lpstr>'25'!L_PERSONAL</vt:lpstr>
      <vt:lpstr>'26'!L_PERSONAL</vt:lpstr>
      <vt:lpstr>'27'!L_PERSONAL</vt:lpstr>
      <vt:lpstr>'28'!L_PERSONAL</vt:lpstr>
      <vt:lpstr>'29'!L_PERSONAL</vt:lpstr>
      <vt:lpstr>'3'!L_PERSONAL</vt:lpstr>
      <vt:lpstr>'30'!L_PERSONAL</vt:lpstr>
      <vt:lpstr>'31'!L_PERSONAL</vt:lpstr>
      <vt:lpstr>'32'!L_PERSONAL</vt:lpstr>
      <vt:lpstr>'33'!L_PERSONAL</vt:lpstr>
      <vt:lpstr>'34'!L_PERSONAL</vt:lpstr>
      <vt:lpstr>'35'!L_PERSONAL</vt:lpstr>
      <vt:lpstr>'36'!L_PERSONAL</vt:lpstr>
      <vt:lpstr>'37'!L_PERSONAL</vt:lpstr>
      <vt:lpstr>'38'!L_PERSONAL</vt:lpstr>
      <vt:lpstr>'39'!L_PERSONAL</vt:lpstr>
      <vt:lpstr>'4'!L_PERSONAL</vt:lpstr>
      <vt:lpstr>'40'!L_PERSONAL</vt:lpstr>
      <vt:lpstr>'41'!L_PERSONAL</vt:lpstr>
      <vt:lpstr>'42'!L_PERSONAL</vt:lpstr>
      <vt:lpstr>'43'!L_PERSONAL</vt:lpstr>
      <vt:lpstr>'44'!L_PERSONAL</vt:lpstr>
      <vt:lpstr>'45'!L_PERSONAL</vt:lpstr>
      <vt:lpstr>'46'!L_PERSONAL</vt:lpstr>
      <vt:lpstr>'47'!L_PERSONAL</vt:lpstr>
      <vt:lpstr>'48'!L_PERSONAL</vt:lpstr>
      <vt:lpstr>'49'!L_PERSONAL</vt:lpstr>
      <vt:lpstr>'5'!L_PERSONAL</vt:lpstr>
      <vt:lpstr>'50'!L_PERSONAL</vt:lpstr>
      <vt:lpstr>'51'!L_PERSONAL</vt:lpstr>
      <vt:lpstr>'52'!L_PERSONAL</vt:lpstr>
      <vt:lpstr>'53'!L_PERSONAL</vt:lpstr>
      <vt:lpstr>'54'!L_PERSONAL</vt:lpstr>
      <vt:lpstr>'55'!L_PERSONAL</vt:lpstr>
      <vt:lpstr>'56'!L_PERSONAL</vt:lpstr>
      <vt:lpstr>'57'!L_PERSONAL</vt:lpstr>
      <vt:lpstr>'58'!L_PERSONAL</vt:lpstr>
      <vt:lpstr>'59'!L_PERSONAL</vt:lpstr>
      <vt:lpstr>'6'!L_PERSONAL</vt:lpstr>
      <vt:lpstr>'60'!L_PERSONAL</vt:lpstr>
      <vt:lpstr>'61'!L_PERSONAL</vt:lpstr>
      <vt:lpstr>'62'!L_PERSONAL</vt:lpstr>
      <vt:lpstr>'63'!L_PERSONAL</vt:lpstr>
      <vt:lpstr>'64'!L_PERSONAL</vt:lpstr>
      <vt:lpstr>'65'!L_PERSONAL</vt:lpstr>
      <vt:lpstr>'66'!L_PERSONAL</vt:lpstr>
      <vt:lpstr>'67'!L_PERSONAL</vt:lpstr>
      <vt:lpstr>'68'!L_PERSONAL</vt:lpstr>
      <vt:lpstr>'69'!L_PERSONAL</vt:lpstr>
      <vt:lpstr>'7'!L_PERSONAL</vt:lpstr>
      <vt:lpstr>'70'!L_PERSONAL</vt:lpstr>
      <vt:lpstr>'71'!L_PERSONAL</vt:lpstr>
      <vt:lpstr>'72'!L_PERSONAL</vt:lpstr>
      <vt:lpstr>'73'!L_PERSONAL</vt:lpstr>
      <vt:lpstr>'74'!L_PERSONAL</vt:lpstr>
      <vt:lpstr>'75'!L_PERSONAL</vt:lpstr>
      <vt:lpstr>'76'!L_PERSONAL</vt:lpstr>
      <vt:lpstr>'77'!L_PERSONAL</vt:lpstr>
      <vt:lpstr>'78'!L_PERSONAL</vt:lpstr>
      <vt:lpstr>'79'!L_PERSONAL</vt:lpstr>
      <vt:lpstr>'8'!L_PERSONAL</vt:lpstr>
      <vt:lpstr>'80'!L_PERSONAL</vt:lpstr>
      <vt:lpstr>'9'!L_PERSONAL</vt:lpstr>
      <vt:lpstr>'ADMINISTRACION ELECTRICA'!L_PERSONAL</vt:lpstr>
      <vt:lpstr>'ADMINISTRACION MECANICA '!L_PERSONAL</vt:lpstr>
      <vt:lpstr>L_PERSONAL</vt:lpstr>
      <vt:lpstr>'1'!LISTA_MAQUINARIA</vt:lpstr>
      <vt:lpstr>'10'!LISTA_MAQUINARIA</vt:lpstr>
      <vt:lpstr>'11'!LISTA_MAQUINARIA</vt:lpstr>
      <vt:lpstr>'12'!LISTA_MAQUINARIA</vt:lpstr>
      <vt:lpstr>'13'!LISTA_MAQUINARIA</vt:lpstr>
      <vt:lpstr>'14'!LISTA_MAQUINARIA</vt:lpstr>
      <vt:lpstr>'15'!LISTA_MAQUINARIA</vt:lpstr>
      <vt:lpstr>'16'!LISTA_MAQUINARIA</vt:lpstr>
      <vt:lpstr>'17'!LISTA_MAQUINARIA</vt:lpstr>
      <vt:lpstr>'18'!LISTA_MAQUINARIA</vt:lpstr>
      <vt:lpstr>'19'!LISTA_MAQUINARIA</vt:lpstr>
      <vt:lpstr>'2'!LISTA_MAQUINARIA</vt:lpstr>
      <vt:lpstr>'20'!LISTA_MAQUINARIA</vt:lpstr>
      <vt:lpstr>'21'!LISTA_MAQUINARIA</vt:lpstr>
      <vt:lpstr>'22'!LISTA_MAQUINARIA</vt:lpstr>
      <vt:lpstr>'23'!LISTA_MAQUINARIA</vt:lpstr>
      <vt:lpstr>'24'!LISTA_MAQUINARIA</vt:lpstr>
      <vt:lpstr>'25'!LISTA_MAQUINARIA</vt:lpstr>
      <vt:lpstr>'26'!LISTA_MAQUINARIA</vt:lpstr>
      <vt:lpstr>'27'!LISTA_MAQUINARIA</vt:lpstr>
      <vt:lpstr>'28'!LISTA_MAQUINARIA</vt:lpstr>
      <vt:lpstr>'29'!LISTA_MAQUINARIA</vt:lpstr>
      <vt:lpstr>'3'!LISTA_MAQUINARIA</vt:lpstr>
      <vt:lpstr>'30'!LISTA_MAQUINARIA</vt:lpstr>
      <vt:lpstr>'31'!LISTA_MAQUINARIA</vt:lpstr>
      <vt:lpstr>'32'!LISTA_MAQUINARIA</vt:lpstr>
      <vt:lpstr>'33'!LISTA_MAQUINARIA</vt:lpstr>
      <vt:lpstr>'34'!LISTA_MAQUINARIA</vt:lpstr>
      <vt:lpstr>'35'!LISTA_MAQUINARIA</vt:lpstr>
      <vt:lpstr>'36'!LISTA_MAQUINARIA</vt:lpstr>
      <vt:lpstr>'37'!LISTA_MAQUINARIA</vt:lpstr>
      <vt:lpstr>'38'!LISTA_MAQUINARIA</vt:lpstr>
      <vt:lpstr>'39'!LISTA_MAQUINARIA</vt:lpstr>
      <vt:lpstr>'4'!LISTA_MAQUINARIA</vt:lpstr>
      <vt:lpstr>'40'!LISTA_MAQUINARIA</vt:lpstr>
      <vt:lpstr>'41'!LISTA_MAQUINARIA</vt:lpstr>
      <vt:lpstr>'42'!LISTA_MAQUINARIA</vt:lpstr>
      <vt:lpstr>'43'!LISTA_MAQUINARIA</vt:lpstr>
      <vt:lpstr>'44'!LISTA_MAQUINARIA</vt:lpstr>
      <vt:lpstr>'45'!LISTA_MAQUINARIA</vt:lpstr>
      <vt:lpstr>'46'!LISTA_MAQUINARIA</vt:lpstr>
      <vt:lpstr>'47'!LISTA_MAQUINARIA</vt:lpstr>
      <vt:lpstr>'48'!LISTA_MAQUINARIA</vt:lpstr>
      <vt:lpstr>'49'!LISTA_MAQUINARIA</vt:lpstr>
      <vt:lpstr>'5'!LISTA_MAQUINARIA</vt:lpstr>
      <vt:lpstr>'50'!LISTA_MAQUINARIA</vt:lpstr>
      <vt:lpstr>'51'!LISTA_MAQUINARIA</vt:lpstr>
      <vt:lpstr>'52'!LISTA_MAQUINARIA</vt:lpstr>
      <vt:lpstr>'53'!LISTA_MAQUINARIA</vt:lpstr>
      <vt:lpstr>'54'!LISTA_MAQUINARIA</vt:lpstr>
      <vt:lpstr>'55'!LISTA_MAQUINARIA</vt:lpstr>
      <vt:lpstr>'56'!LISTA_MAQUINARIA</vt:lpstr>
      <vt:lpstr>'57'!LISTA_MAQUINARIA</vt:lpstr>
      <vt:lpstr>'58'!LISTA_MAQUINARIA</vt:lpstr>
      <vt:lpstr>'59'!LISTA_MAQUINARIA</vt:lpstr>
      <vt:lpstr>'6'!LISTA_MAQUINARIA</vt:lpstr>
      <vt:lpstr>'60'!LISTA_MAQUINARIA</vt:lpstr>
      <vt:lpstr>'61'!LISTA_MAQUINARIA</vt:lpstr>
      <vt:lpstr>'62'!LISTA_MAQUINARIA</vt:lpstr>
      <vt:lpstr>'63'!LISTA_MAQUINARIA</vt:lpstr>
      <vt:lpstr>'64'!LISTA_MAQUINARIA</vt:lpstr>
      <vt:lpstr>'65'!LISTA_MAQUINARIA</vt:lpstr>
      <vt:lpstr>'66'!LISTA_MAQUINARIA</vt:lpstr>
      <vt:lpstr>'67'!LISTA_MAQUINARIA</vt:lpstr>
      <vt:lpstr>'68'!LISTA_MAQUINARIA</vt:lpstr>
      <vt:lpstr>'69'!LISTA_MAQUINARIA</vt:lpstr>
      <vt:lpstr>'7'!LISTA_MAQUINARIA</vt:lpstr>
      <vt:lpstr>'70'!LISTA_MAQUINARIA</vt:lpstr>
      <vt:lpstr>'71'!LISTA_MAQUINARIA</vt:lpstr>
      <vt:lpstr>'72'!LISTA_MAQUINARIA</vt:lpstr>
      <vt:lpstr>'73'!LISTA_MAQUINARIA</vt:lpstr>
      <vt:lpstr>'74'!LISTA_MAQUINARIA</vt:lpstr>
      <vt:lpstr>'75'!LISTA_MAQUINARIA</vt:lpstr>
      <vt:lpstr>'76'!LISTA_MAQUINARIA</vt:lpstr>
      <vt:lpstr>'77'!LISTA_MAQUINARIA</vt:lpstr>
      <vt:lpstr>'78'!LISTA_MAQUINARIA</vt:lpstr>
      <vt:lpstr>'79'!LISTA_MAQUINARIA</vt:lpstr>
      <vt:lpstr>'8'!LISTA_MAQUINARIA</vt:lpstr>
      <vt:lpstr>'80'!LISTA_MAQUINARIA</vt:lpstr>
      <vt:lpstr>'9'!LISTA_MAQUINARIA</vt:lpstr>
      <vt:lpstr>'ADMINISTRACION ELECTRICA'!LISTA_MAQUINARIA</vt:lpstr>
      <vt:lpstr>'ADMINISTRACION MECANICA '!LISTA_MAQUINARIA</vt:lpstr>
      <vt:lpstr>LISTA_MAQUINARIA</vt:lpstr>
      <vt:lpstr>'1'!M_T</vt:lpstr>
      <vt:lpstr>'10'!M_T</vt:lpstr>
      <vt:lpstr>'11'!M_T</vt:lpstr>
      <vt:lpstr>'12'!M_T</vt:lpstr>
      <vt:lpstr>'13'!M_T</vt:lpstr>
      <vt:lpstr>'14'!M_T</vt:lpstr>
      <vt:lpstr>'15'!M_T</vt:lpstr>
      <vt:lpstr>'16'!M_T</vt:lpstr>
      <vt:lpstr>'17'!M_T</vt:lpstr>
      <vt:lpstr>'18'!M_T</vt:lpstr>
      <vt:lpstr>'19'!M_T</vt:lpstr>
      <vt:lpstr>'2'!M_T</vt:lpstr>
      <vt:lpstr>'20'!M_T</vt:lpstr>
      <vt:lpstr>'21'!M_T</vt:lpstr>
      <vt:lpstr>'22'!M_T</vt:lpstr>
      <vt:lpstr>'23'!M_T</vt:lpstr>
      <vt:lpstr>'24'!M_T</vt:lpstr>
      <vt:lpstr>'25'!M_T</vt:lpstr>
      <vt:lpstr>'26'!M_T</vt:lpstr>
      <vt:lpstr>'27'!M_T</vt:lpstr>
      <vt:lpstr>'28'!M_T</vt:lpstr>
      <vt:lpstr>'29'!M_T</vt:lpstr>
      <vt:lpstr>'3'!M_T</vt:lpstr>
      <vt:lpstr>'30'!M_T</vt:lpstr>
      <vt:lpstr>'31'!M_T</vt:lpstr>
      <vt:lpstr>'32'!M_T</vt:lpstr>
      <vt:lpstr>'33'!M_T</vt:lpstr>
      <vt:lpstr>'34'!M_T</vt:lpstr>
      <vt:lpstr>'35'!M_T</vt:lpstr>
      <vt:lpstr>'36'!M_T</vt:lpstr>
      <vt:lpstr>'37'!M_T</vt:lpstr>
      <vt:lpstr>'38'!M_T</vt:lpstr>
      <vt:lpstr>'39'!M_T</vt:lpstr>
      <vt:lpstr>'4'!M_T</vt:lpstr>
      <vt:lpstr>'40'!M_T</vt:lpstr>
      <vt:lpstr>'41'!M_T</vt:lpstr>
      <vt:lpstr>'42'!M_T</vt:lpstr>
      <vt:lpstr>'43'!M_T</vt:lpstr>
      <vt:lpstr>'44'!M_T</vt:lpstr>
      <vt:lpstr>'45'!M_T</vt:lpstr>
      <vt:lpstr>'46'!M_T</vt:lpstr>
      <vt:lpstr>'47'!M_T</vt:lpstr>
      <vt:lpstr>'48'!M_T</vt:lpstr>
      <vt:lpstr>'49'!M_T</vt:lpstr>
      <vt:lpstr>'5'!M_T</vt:lpstr>
      <vt:lpstr>'50'!M_T</vt:lpstr>
      <vt:lpstr>'51'!M_T</vt:lpstr>
      <vt:lpstr>'52'!M_T</vt:lpstr>
      <vt:lpstr>'53'!M_T</vt:lpstr>
      <vt:lpstr>'54'!M_T</vt:lpstr>
      <vt:lpstr>'55'!M_T</vt:lpstr>
      <vt:lpstr>'56'!M_T</vt:lpstr>
      <vt:lpstr>'57'!M_T</vt:lpstr>
      <vt:lpstr>'58'!M_T</vt:lpstr>
      <vt:lpstr>'59'!M_T</vt:lpstr>
      <vt:lpstr>'6'!M_T</vt:lpstr>
      <vt:lpstr>'60'!M_T</vt:lpstr>
      <vt:lpstr>'61'!M_T</vt:lpstr>
      <vt:lpstr>'62'!M_T</vt:lpstr>
      <vt:lpstr>'63'!M_T</vt:lpstr>
      <vt:lpstr>'64'!M_T</vt:lpstr>
      <vt:lpstr>'65'!M_T</vt:lpstr>
      <vt:lpstr>'66'!M_T</vt:lpstr>
      <vt:lpstr>'67'!M_T</vt:lpstr>
      <vt:lpstr>'68'!M_T</vt:lpstr>
      <vt:lpstr>'69'!M_T</vt:lpstr>
      <vt:lpstr>'7'!M_T</vt:lpstr>
      <vt:lpstr>'70'!M_T</vt:lpstr>
      <vt:lpstr>'71'!M_T</vt:lpstr>
      <vt:lpstr>'72'!M_T</vt:lpstr>
      <vt:lpstr>'73'!M_T</vt:lpstr>
      <vt:lpstr>'74'!M_T</vt:lpstr>
      <vt:lpstr>'75'!M_T</vt:lpstr>
      <vt:lpstr>'76'!M_T</vt:lpstr>
      <vt:lpstr>'77'!M_T</vt:lpstr>
      <vt:lpstr>'78'!M_T</vt:lpstr>
      <vt:lpstr>'79'!M_T</vt:lpstr>
      <vt:lpstr>'8'!M_T</vt:lpstr>
      <vt:lpstr>'80'!M_T</vt:lpstr>
      <vt:lpstr>'9'!M_T</vt:lpstr>
      <vt:lpstr>M_T</vt:lpstr>
      <vt:lpstr>NOMBRE_DEL_PROYECTO</vt:lpstr>
      <vt:lpstr>OBLIGACIONES_NO_OPERATIVO</vt:lpstr>
      <vt:lpstr>OBLIGACIONES_OPERATIVO</vt:lpstr>
      <vt:lpstr>'1'!P_OFERTA</vt:lpstr>
      <vt:lpstr>'10'!P_OFERTA</vt:lpstr>
      <vt:lpstr>'11'!P_OFERTA</vt:lpstr>
      <vt:lpstr>'12'!P_OFERTA</vt:lpstr>
      <vt:lpstr>'13'!P_OFERTA</vt:lpstr>
      <vt:lpstr>'14'!P_OFERTA</vt:lpstr>
      <vt:lpstr>'15'!P_OFERTA</vt:lpstr>
      <vt:lpstr>'16'!P_OFERTA</vt:lpstr>
      <vt:lpstr>'17'!P_OFERTA</vt:lpstr>
      <vt:lpstr>'18'!P_OFERTA</vt:lpstr>
      <vt:lpstr>'19'!P_OFERTA</vt:lpstr>
      <vt:lpstr>'2'!P_OFERTA</vt:lpstr>
      <vt:lpstr>'20'!P_OFERTA</vt:lpstr>
      <vt:lpstr>'21'!P_OFERTA</vt:lpstr>
      <vt:lpstr>'22'!P_OFERTA</vt:lpstr>
      <vt:lpstr>'23'!P_OFERTA</vt:lpstr>
      <vt:lpstr>'24'!P_OFERTA</vt:lpstr>
      <vt:lpstr>'25'!P_OFERTA</vt:lpstr>
      <vt:lpstr>'26'!P_OFERTA</vt:lpstr>
      <vt:lpstr>'27'!P_OFERTA</vt:lpstr>
      <vt:lpstr>'28'!P_OFERTA</vt:lpstr>
      <vt:lpstr>'29'!P_OFERTA</vt:lpstr>
      <vt:lpstr>'3'!P_OFERTA</vt:lpstr>
      <vt:lpstr>'30'!P_OFERTA</vt:lpstr>
      <vt:lpstr>'31'!P_OFERTA</vt:lpstr>
      <vt:lpstr>'32'!P_OFERTA</vt:lpstr>
      <vt:lpstr>'33'!P_OFERTA</vt:lpstr>
      <vt:lpstr>'34'!P_OFERTA</vt:lpstr>
      <vt:lpstr>'35'!P_OFERTA</vt:lpstr>
      <vt:lpstr>'36'!P_OFERTA</vt:lpstr>
      <vt:lpstr>'37'!P_OFERTA</vt:lpstr>
      <vt:lpstr>'38'!P_OFERTA</vt:lpstr>
      <vt:lpstr>'39'!P_OFERTA</vt:lpstr>
      <vt:lpstr>'4'!P_OFERTA</vt:lpstr>
      <vt:lpstr>'40'!P_OFERTA</vt:lpstr>
      <vt:lpstr>'41'!P_OFERTA</vt:lpstr>
      <vt:lpstr>'42'!P_OFERTA</vt:lpstr>
      <vt:lpstr>'43'!P_OFERTA</vt:lpstr>
      <vt:lpstr>'44'!P_OFERTA</vt:lpstr>
      <vt:lpstr>'45'!P_OFERTA</vt:lpstr>
      <vt:lpstr>'46'!P_OFERTA</vt:lpstr>
      <vt:lpstr>'47'!P_OFERTA</vt:lpstr>
      <vt:lpstr>'48'!P_OFERTA</vt:lpstr>
      <vt:lpstr>'49'!P_OFERTA</vt:lpstr>
      <vt:lpstr>'5'!P_OFERTA</vt:lpstr>
      <vt:lpstr>'50'!P_OFERTA</vt:lpstr>
      <vt:lpstr>'51'!P_OFERTA</vt:lpstr>
      <vt:lpstr>'52'!P_OFERTA</vt:lpstr>
      <vt:lpstr>'53'!P_OFERTA</vt:lpstr>
      <vt:lpstr>'54'!P_OFERTA</vt:lpstr>
      <vt:lpstr>'55'!P_OFERTA</vt:lpstr>
      <vt:lpstr>'56'!P_OFERTA</vt:lpstr>
      <vt:lpstr>'57'!P_OFERTA</vt:lpstr>
      <vt:lpstr>'58'!P_OFERTA</vt:lpstr>
      <vt:lpstr>'59'!P_OFERTA</vt:lpstr>
      <vt:lpstr>'6'!P_OFERTA</vt:lpstr>
      <vt:lpstr>'60'!P_OFERTA</vt:lpstr>
      <vt:lpstr>'61'!P_OFERTA</vt:lpstr>
      <vt:lpstr>'62'!P_OFERTA</vt:lpstr>
      <vt:lpstr>'63'!P_OFERTA</vt:lpstr>
      <vt:lpstr>'64'!P_OFERTA</vt:lpstr>
      <vt:lpstr>'65'!P_OFERTA</vt:lpstr>
      <vt:lpstr>'66'!P_OFERTA</vt:lpstr>
      <vt:lpstr>'67'!P_OFERTA</vt:lpstr>
      <vt:lpstr>'68'!P_OFERTA</vt:lpstr>
      <vt:lpstr>'69'!P_OFERTA</vt:lpstr>
      <vt:lpstr>'7'!P_OFERTA</vt:lpstr>
      <vt:lpstr>'70'!P_OFERTA</vt:lpstr>
      <vt:lpstr>'71'!P_OFERTA</vt:lpstr>
      <vt:lpstr>'72'!P_OFERTA</vt:lpstr>
      <vt:lpstr>'73'!P_OFERTA</vt:lpstr>
      <vt:lpstr>'74'!P_OFERTA</vt:lpstr>
      <vt:lpstr>'75'!P_OFERTA</vt:lpstr>
      <vt:lpstr>'76'!P_OFERTA</vt:lpstr>
      <vt:lpstr>'77'!P_OFERTA</vt:lpstr>
      <vt:lpstr>'78'!P_OFERTA</vt:lpstr>
      <vt:lpstr>'79'!P_OFERTA</vt:lpstr>
      <vt:lpstr>'8'!P_OFERTA</vt:lpstr>
      <vt:lpstr>'80'!P_OFERTA</vt:lpstr>
      <vt:lpstr>'9'!P_OFERTA</vt:lpstr>
      <vt:lpstr>P_OFERTA</vt:lpstr>
      <vt:lpstr>PAIS</vt:lpstr>
      <vt:lpstr>PORCENTAJE_INCIDENCIA</vt:lpstr>
      <vt:lpstr>PORCENTAJE_UTILIDAD_PROYECTADA</vt:lpstr>
      <vt:lpstr>DASH!Print_Area</vt:lpstr>
      <vt:lpstr>'FACTOR PRESTACIONAL'!Print_Area</vt:lpstr>
      <vt:lpstr>MATERIALES!Print_Area</vt:lpstr>
      <vt:lpstr>OFERTA!Print_Area</vt:lpstr>
      <vt:lpstr>RESULTADO_PROYECTADO</vt:lpstr>
      <vt:lpstr>SALARIO_MINIMO_CLP</vt:lpstr>
      <vt:lpstr>'ADMINISTRACION ELECTRICA'!Sub_eq1</vt:lpstr>
      <vt:lpstr>'ADMINISTRACION MECANICA '!Sub_eq1</vt:lpstr>
      <vt:lpstr>Sub_eq1</vt:lpstr>
      <vt:lpstr>'ADMINISTRACION ELECTRICA'!Sub_eq10</vt:lpstr>
      <vt:lpstr>'ADMINISTRACION MECANICA '!Sub_eq10</vt:lpstr>
      <vt:lpstr>Sub_eq10</vt:lpstr>
      <vt:lpstr>'ADMINISTRACION ELECTRICA'!Sub_eq11</vt:lpstr>
      <vt:lpstr>'ADMINISTRACION MECANICA '!Sub_eq11</vt:lpstr>
      <vt:lpstr>Sub_eq11</vt:lpstr>
      <vt:lpstr>'ADMINISTRACION ELECTRICA'!Sub_eq12</vt:lpstr>
      <vt:lpstr>'ADMINISTRACION MECANICA '!Sub_eq12</vt:lpstr>
      <vt:lpstr>Sub_eq12</vt:lpstr>
      <vt:lpstr>'ADMINISTRACION ELECTRICA'!Sub_eq13</vt:lpstr>
      <vt:lpstr>'ADMINISTRACION MECANICA '!Sub_eq13</vt:lpstr>
      <vt:lpstr>Sub_eq13</vt:lpstr>
      <vt:lpstr>'ADMINISTRACION ELECTRICA'!Sub_eq14</vt:lpstr>
      <vt:lpstr>'ADMINISTRACION MECANICA '!Sub_eq14</vt:lpstr>
      <vt:lpstr>Sub_eq14</vt:lpstr>
      <vt:lpstr>'ADMINISTRACION ELECTRICA'!Sub_eq15</vt:lpstr>
      <vt:lpstr>'ADMINISTRACION MECANICA '!Sub_eq15</vt:lpstr>
      <vt:lpstr>Sub_eq15</vt:lpstr>
      <vt:lpstr>'ADMINISTRACION ELECTRICA'!Sub_eq16</vt:lpstr>
      <vt:lpstr>'ADMINISTRACION MECANICA '!Sub_eq16</vt:lpstr>
      <vt:lpstr>Sub_eq16</vt:lpstr>
      <vt:lpstr>'ADMINISTRACION ELECTRICA'!Sub_eq17</vt:lpstr>
      <vt:lpstr>'ADMINISTRACION MECANICA '!Sub_eq17</vt:lpstr>
      <vt:lpstr>Sub_eq17</vt:lpstr>
      <vt:lpstr>'ADMINISTRACION ELECTRICA'!Sub_eq18</vt:lpstr>
      <vt:lpstr>'ADMINISTRACION MECANICA '!Sub_eq18</vt:lpstr>
      <vt:lpstr>Sub_eq18</vt:lpstr>
      <vt:lpstr>'ADMINISTRACION ELECTRICA'!Sub_eq2</vt:lpstr>
      <vt:lpstr>'ADMINISTRACION MECANICA '!Sub_eq2</vt:lpstr>
      <vt:lpstr>Sub_eq2</vt:lpstr>
      <vt:lpstr>'ADMINISTRACION ELECTRICA'!Sub_eq3</vt:lpstr>
      <vt:lpstr>'ADMINISTRACION MECANICA '!Sub_eq3</vt:lpstr>
      <vt:lpstr>Sub_eq3</vt:lpstr>
      <vt:lpstr>'ADMINISTRACION ELECTRICA'!Sub_eq4</vt:lpstr>
      <vt:lpstr>'ADMINISTRACION MECANICA '!Sub_eq4</vt:lpstr>
      <vt:lpstr>Sub_eq4</vt:lpstr>
      <vt:lpstr>'ADMINISTRACION ELECTRICA'!Sub_eq5</vt:lpstr>
      <vt:lpstr>'ADMINISTRACION MECANICA '!Sub_eq5</vt:lpstr>
      <vt:lpstr>Sub_eq5</vt:lpstr>
      <vt:lpstr>'ADMINISTRACION ELECTRICA'!Sub_eq6</vt:lpstr>
      <vt:lpstr>'ADMINISTRACION MECANICA '!Sub_eq6</vt:lpstr>
      <vt:lpstr>Sub_eq6</vt:lpstr>
      <vt:lpstr>'ADMINISTRACION ELECTRICA'!Sub_eq7</vt:lpstr>
      <vt:lpstr>'ADMINISTRACION MECANICA '!Sub_eq7</vt:lpstr>
      <vt:lpstr>Sub_eq7</vt:lpstr>
      <vt:lpstr>'ADMINISTRACION ELECTRICA'!Sub_eq8</vt:lpstr>
      <vt:lpstr>'ADMINISTRACION MECANICA '!Sub_eq8</vt:lpstr>
      <vt:lpstr>Sub_eq8</vt:lpstr>
      <vt:lpstr>'ADMINISTRACION ELECTRICA'!Sub_eq9</vt:lpstr>
      <vt:lpstr>'ADMINISTRACION MECANICA '!Sub_eq9</vt:lpstr>
      <vt:lpstr>Sub_eq9</vt:lpstr>
      <vt:lpstr>'ADMINISTRACION ELECTRICA'!Sub_pe1</vt:lpstr>
      <vt:lpstr>'ADMINISTRACION MECANICA '!Sub_pe1</vt:lpstr>
      <vt:lpstr>Sub_pe1</vt:lpstr>
      <vt:lpstr>'ADMINISTRACION ELECTRICA'!Sub_pe10</vt:lpstr>
      <vt:lpstr>'ADMINISTRACION MECANICA '!Sub_pe10</vt:lpstr>
      <vt:lpstr>Sub_pe10</vt:lpstr>
      <vt:lpstr>'ADMINISTRACION ELECTRICA'!Sub_pe11</vt:lpstr>
      <vt:lpstr>'ADMINISTRACION MECANICA '!Sub_pe11</vt:lpstr>
      <vt:lpstr>Sub_pe11</vt:lpstr>
      <vt:lpstr>'ADMINISTRACION ELECTRICA'!Sub_pe12</vt:lpstr>
      <vt:lpstr>'ADMINISTRACION MECANICA '!Sub_pe12</vt:lpstr>
      <vt:lpstr>Sub_pe12</vt:lpstr>
      <vt:lpstr>'ADMINISTRACION ELECTRICA'!Sub_pe13</vt:lpstr>
      <vt:lpstr>'ADMINISTRACION MECANICA '!Sub_pe13</vt:lpstr>
      <vt:lpstr>Sub_pe13</vt:lpstr>
      <vt:lpstr>'ADMINISTRACION ELECTRICA'!Sub_pe14</vt:lpstr>
      <vt:lpstr>'ADMINISTRACION MECANICA '!Sub_pe14</vt:lpstr>
      <vt:lpstr>Sub_pe14</vt:lpstr>
      <vt:lpstr>'ADMINISTRACION ELECTRICA'!Sub_pe15</vt:lpstr>
      <vt:lpstr>'ADMINISTRACION MECANICA '!Sub_pe15</vt:lpstr>
      <vt:lpstr>Sub_pe15</vt:lpstr>
      <vt:lpstr>'ADMINISTRACION ELECTRICA'!Sub_pe16</vt:lpstr>
      <vt:lpstr>'ADMINISTRACION MECANICA '!Sub_pe16</vt:lpstr>
      <vt:lpstr>Sub_pe16</vt:lpstr>
      <vt:lpstr>'ADMINISTRACION ELECTRICA'!Sub_pe17</vt:lpstr>
      <vt:lpstr>'ADMINISTRACION MECANICA '!Sub_pe17</vt:lpstr>
      <vt:lpstr>Sub_pe17</vt:lpstr>
      <vt:lpstr>'ADMINISTRACION ELECTRICA'!Sub_pe18</vt:lpstr>
      <vt:lpstr>'ADMINISTRACION MECANICA '!Sub_pe18</vt:lpstr>
      <vt:lpstr>Sub_pe18</vt:lpstr>
      <vt:lpstr>'ADMINISTRACION ELECTRICA'!Sub_pe2</vt:lpstr>
      <vt:lpstr>'ADMINISTRACION MECANICA '!Sub_pe2</vt:lpstr>
      <vt:lpstr>Sub_pe2</vt:lpstr>
      <vt:lpstr>'ADMINISTRACION ELECTRICA'!Sub_pe3</vt:lpstr>
      <vt:lpstr>'ADMINISTRACION MECANICA '!Sub_pe3</vt:lpstr>
      <vt:lpstr>Sub_pe3</vt:lpstr>
      <vt:lpstr>'ADMINISTRACION ELECTRICA'!Sub_pe4</vt:lpstr>
      <vt:lpstr>'ADMINISTRACION MECANICA '!Sub_pe4</vt:lpstr>
      <vt:lpstr>Sub_pe4</vt:lpstr>
      <vt:lpstr>'ADMINISTRACION ELECTRICA'!Sub_pe5</vt:lpstr>
      <vt:lpstr>'ADMINISTRACION MECANICA '!Sub_pe5</vt:lpstr>
      <vt:lpstr>Sub_pe5</vt:lpstr>
      <vt:lpstr>'ADMINISTRACION ELECTRICA'!Sub_pe6</vt:lpstr>
      <vt:lpstr>'ADMINISTRACION MECANICA '!Sub_pe6</vt:lpstr>
      <vt:lpstr>Sub_pe6</vt:lpstr>
      <vt:lpstr>'ADMINISTRACION ELECTRICA'!Sub_pe7</vt:lpstr>
      <vt:lpstr>'ADMINISTRACION MECANICA '!Sub_pe7</vt:lpstr>
      <vt:lpstr>Sub_pe7</vt:lpstr>
      <vt:lpstr>'ADMINISTRACION ELECTRICA'!Sub_pe8</vt:lpstr>
      <vt:lpstr>'ADMINISTRACION MECANICA '!Sub_pe8</vt:lpstr>
      <vt:lpstr>Sub_pe8</vt:lpstr>
      <vt:lpstr>'ADMINISTRACION ELECTRICA'!Sub_pe9</vt:lpstr>
      <vt:lpstr>'ADMINISTRACION MECANICA '!Sub_pe9</vt:lpstr>
      <vt:lpstr>Sub_pe9</vt:lpstr>
      <vt:lpstr>'ADMINISTRACION ELECTRICA'!Sub_trans1</vt:lpstr>
      <vt:lpstr>'ADMINISTRACION MECANICA '!Sub_trans1</vt:lpstr>
      <vt:lpstr>Sub_trans1</vt:lpstr>
      <vt:lpstr>'ADMINISTRACION ELECTRICA'!Sub_trans10</vt:lpstr>
      <vt:lpstr>'ADMINISTRACION MECANICA '!Sub_trans10</vt:lpstr>
      <vt:lpstr>Sub_trans10</vt:lpstr>
      <vt:lpstr>'ADMINISTRACION ELECTRICA'!Sub_trans11</vt:lpstr>
      <vt:lpstr>'ADMINISTRACION MECANICA '!Sub_trans11</vt:lpstr>
      <vt:lpstr>Sub_trans11</vt:lpstr>
      <vt:lpstr>'ADMINISTRACION ELECTRICA'!Sub_trans12</vt:lpstr>
      <vt:lpstr>'ADMINISTRACION MECANICA '!Sub_trans12</vt:lpstr>
      <vt:lpstr>Sub_trans12</vt:lpstr>
      <vt:lpstr>'ADMINISTRACION ELECTRICA'!Sub_trans13</vt:lpstr>
      <vt:lpstr>'ADMINISTRACION MECANICA '!Sub_trans13</vt:lpstr>
      <vt:lpstr>Sub_trans13</vt:lpstr>
      <vt:lpstr>'ADMINISTRACION ELECTRICA'!Sub_trans14</vt:lpstr>
      <vt:lpstr>'ADMINISTRACION MECANICA '!Sub_trans14</vt:lpstr>
      <vt:lpstr>Sub_trans14</vt:lpstr>
      <vt:lpstr>'ADMINISTRACION ELECTRICA'!Sub_trans15</vt:lpstr>
      <vt:lpstr>'ADMINISTRACION MECANICA '!Sub_trans15</vt:lpstr>
      <vt:lpstr>Sub_trans15</vt:lpstr>
      <vt:lpstr>'ADMINISTRACION ELECTRICA'!Sub_trans16</vt:lpstr>
      <vt:lpstr>'ADMINISTRACION MECANICA '!Sub_trans16</vt:lpstr>
      <vt:lpstr>Sub_trans16</vt:lpstr>
      <vt:lpstr>'ADMINISTRACION ELECTRICA'!Sub_trans17</vt:lpstr>
      <vt:lpstr>'ADMINISTRACION MECANICA '!Sub_trans17</vt:lpstr>
      <vt:lpstr>Sub_trans17</vt:lpstr>
      <vt:lpstr>'ADMINISTRACION ELECTRICA'!Sub_trans18</vt:lpstr>
      <vt:lpstr>'ADMINISTRACION MECANICA '!Sub_trans18</vt:lpstr>
      <vt:lpstr>Sub_trans18</vt:lpstr>
      <vt:lpstr>'ADMINISTRACION ELECTRICA'!Sub_trans2</vt:lpstr>
      <vt:lpstr>'ADMINISTRACION MECANICA '!Sub_trans2</vt:lpstr>
      <vt:lpstr>Sub_trans2</vt:lpstr>
      <vt:lpstr>'ADMINISTRACION ELECTRICA'!Sub_trans3</vt:lpstr>
      <vt:lpstr>'ADMINISTRACION MECANICA '!Sub_trans3</vt:lpstr>
      <vt:lpstr>Sub_trans3</vt:lpstr>
      <vt:lpstr>'ADMINISTRACION ELECTRICA'!Sub_trans4</vt:lpstr>
      <vt:lpstr>'ADMINISTRACION MECANICA '!Sub_trans4</vt:lpstr>
      <vt:lpstr>Sub_trans4</vt:lpstr>
      <vt:lpstr>'ADMINISTRACION ELECTRICA'!Sub_trans5</vt:lpstr>
      <vt:lpstr>'ADMINISTRACION MECANICA '!Sub_trans5</vt:lpstr>
      <vt:lpstr>Sub_trans5</vt:lpstr>
      <vt:lpstr>'ADMINISTRACION ELECTRICA'!Sub_trans6</vt:lpstr>
      <vt:lpstr>'ADMINISTRACION MECANICA '!Sub_trans6</vt:lpstr>
      <vt:lpstr>Sub_trans6</vt:lpstr>
      <vt:lpstr>'ADMINISTRACION ELECTRICA'!Sub_trans7</vt:lpstr>
      <vt:lpstr>'ADMINISTRACION MECANICA '!Sub_trans7</vt:lpstr>
      <vt:lpstr>Sub_trans7</vt:lpstr>
      <vt:lpstr>'ADMINISTRACION ELECTRICA'!Sub_trans8</vt:lpstr>
      <vt:lpstr>'ADMINISTRACION MECANICA '!Sub_trans8</vt:lpstr>
      <vt:lpstr>Sub_trans8</vt:lpstr>
      <vt:lpstr>'ADMINISTRACION ELECTRICA'!Sub_trans9</vt:lpstr>
      <vt:lpstr>'ADMINISTRACION MECANICA '!Sub_trans9</vt:lpstr>
      <vt:lpstr>Sub_trans9</vt:lpstr>
      <vt:lpstr>'ADMINISTRACION ELECTRICA'!Subpe1</vt:lpstr>
      <vt:lpstr>'ADMINISTRACION MECANICA '!Subpe1</vt:lpstr>
      <vt:lpstr>Subpe1</vt:lpstr>
      <vt:lpstr>'1'!T_MANODEOBRA</vt:lpstr>
      <vt:lpstr>'10'!T_MANODEOBRA</vt:lpstr>
      <vt:lpstr>'11'!T_MANODEOBRA</vt:lpstr>
      <vt:lpstr>'12'!T_MANODEOBRA</vt:lpstr>
      <vt:lpstr>'13'!T_MANODEOBRA</vt:lpstr>
      <vt:lpstr>'14'!T_MANODEOBRA</vt:lpstr>
      <vt:lpstr>'15'!T_MANODEOBRA</vt:lpstr>
      <vt:lpstr>'16'!T_MANODEOBRA</vt:lpstr>
      <vt:lpstr>'17'!T_MANODEOBRA</vt:lpstr>
      <vt:lpstr>'18'!T_MANODEOBRA</vt:lpstr>
      <vt:lpstr>'19'!T_MANODEOBRA</vt:lpstr>
      <vt:lpstr>'2'!T_MANODEOBRA</vt:lpstr>
      <vt:lpstr>'20'!T_MANODEOBRA</vt:lpstr>
      <vt:lpstr>'21'!T_MANODEOBRA</vt:lpstr>
      <vt:lpstr>'22'!T_MANODEOBRA</vt:lpstr>
      <vt:lpstr>'23'!T_MANODEOBRA</vt:lpstr>
      <vt:lpstr>'24'!T_MANODEOBRA</vt:lpstr>
      <vt:lpstr>'25'!T_MANODEOBRA</vt:lpstr>
      <vt:lpstr>'26'!T_MANODEOBRA</vt:lpstr>
      <vt:lpstr>'27'!T_MANODEOBRA</vt:lpstr>
      <vt:lpstr>'28'!T_MANODEOBRA</vt:lpstr>
      <vt:lpstr>'29'!T_MANODEOBRA</vt:lpstr>
      <vt:lpstr>'3'!T_MANODEOBRA</vt:lpstr>
      <vt:lpstr>'30'!T_MANODEOBRA</vt:lpstr>
      <vt:lpstr>'31'!T_MANODEOBRA</vt:lpstr>
      <vt:lpstr>'32'!T_MANODEOBRA</vt:lpstr>
      <vt:lpstr>'33'!T_MANODEOBRA</vt:lpstr>
      <vt:lpstr>'34'!T_MANODEOBRA</vt:lpstr>
      <vt:lpstr>'35'!T_MANODEOBRA</vt:lpstr>
      <vt:lpstr>'36'!T_MANODEOBRA</vt:lpstr>
      <vt:lpstr>'37'!T_MANODEOBRA</vt:lpstr>
      <vt:lpstr>'38'!T_MANODEOBRA</vt:lpstr>
      <vt:lpstr>'39'!T_MANODEOBRA</vt:lpstr>
      <vt:lpstr>'4'!T_MANODEOBRA</vt:lpstr>
      <vt:lpstr>'40'!T_MANODEOBRA</vt:lpstr>
      <vt:lpstr>'41'!T_MANODEOBRA</vt:lpstr>
      <vt:lpstr>'42'!T_MANODEOBRA</vt:lpstr>
      <vt:lpstr>'43'!T_MANODEOBRA</vt:lpstr>
      <vt:lpstr>'44'!T_MANODEOBRA</vt:lpstr>
      <vt:lpstr>'45'!T_MANODEOBRA</vt:lpstr>
      <vt:lpstr>'46'!T_MANODEOBRA</vt:lpstr>
      <vt:lpstr>'47'!T_MANODEOBRA</vt:lpstr>
      <vt:lpstr>'48'!T_MANODEOBRA</vt:lpstr>
      <vt:lpstr>'49'!T_MANODEOBRA</vt:lpstr>
      <vt:lpstr>'5'!T_MANODEOBRA</vt:lpstr>
      <vt:lpstr>'50'!T_MANODEOBRA</vt:lpstr>
      <vt:lpstr>'51'!T_MANODEOBRA</vt:lpstr>
      <vt:lpstr>'52'!T_MANODEOBRA</vt:lpstr>
      <vt:lpstr>'53'!T_MANODEOBRA</vt:lpstr>
      <vt:lpstr>'54'!T_MANODEOBRA</vt:lpstr>
      <vt:lpstr>'55'!T_MANODEOBRA</vt:lpstr>
      <vt:lpstr>'56'!T_MANODEOBRA</vt:lpstr>
      <vt:lpstr>'57'!T_MANODEOBRA</vt:lpstr>
      <vt:lpstr>'58'!T_MANODEOBRA</vt:lpstr>
      <vt:lpstr>'59'!T_MANODEOBRA</vt:lpstr>
      <vt:lpstr>'6'!T_MANODEOBRA</vt:lpstr>
      <vt:lpstr>'60'!T_MANODEOBRA</vt:lpstr>
      <vt:lpstr>'61'!T_MANODEOBRA</vt:lpstr>
      <vt:lpstr>'62'!T_MANODEOBRA</vt:lpstr>
      <vt:lpstr>'63'!T_MANODEOBRA</vt:lpstr>
      <vt:lpstr>'64'!T_MANODEOBRA</vt:lpstr>
      <vt:lpstr>'65'!T_MANODEOBRA</vt:lpstr>
      <vt:lpstr>'66'!T_MANODEOBRA</vt:lpstr>
      <vt:lpstr>'67'!T_MANODEOBRA</vt:lpstr>
      <vt:lpstr>'68'!T_MANODEOBRA</vt:lpstr>
      <vt:lpstr>'69'!T_MANODEOBRA</vt:lpstr>
      <vt:lpstr>'7'!T_MANODEOBRA</vt:lpstr>
      <vt:lpstr>'70'!T_MANODEOBRA</vt:lpstr>
      <vt:lpstr>'71'!T_MANODEOBRA</vt:lpstr>
      <vt:lpstr>'72'!T_MANODEOBRA</vt:lpstr>
      <vt:lpstr>'73'!T_MANODEOBRA</vt:lpstr>
      <vt:lpstr>'74'!T_MANODEOBRA</vt:lpstr>
      <vt:lpstr>'75'!T_MANODEOBRA</vt:lpstr>
      <vt:lpstr>'76'!T_MANODEOBRA</vt:lpstr>
      <vt:lpstr>'77'!T_MANODEOBRA</vt:lpstr>
      <vt:lpstr>'78'!T_MANODEOBRA</vt:lpstr>
      <vt:lpstr>'79'!T_MANODEOBRA</vt:lpstr>
      <vt:lpstr>'8'!T_MANODEOBRA</vt:lpstr>
      <vt:lpstr>'80'!T_MANODEOBRA</vt:lpstr>
      <vt:lpstr>'9'!T_MANODEOBRA</vt:lpstr>
      <vt:lpstr>'ADMINISTRACION ELECTRICA'!T_MANODEOBRA</vt:lpstr>
      <vt:lpstr>'ADMINISTRACION MECANICA '!T_MANODEOBRA</vt:lpstr>
      <vt:lpstr>T_MANODEOBRA</vt:lpstr>
      <vt:lpstr>'1'!T_MAQUINARIA</vt:lpstr>
      <vt:lpstr>'10'!T_MAQUINARIA</vt:lpstr>
      <vt:lpstr>'11'!T_MAQUINARIA</vt:lpstr>
      <vt:lpstr>'12'!T_MAQUINARIA</vt:lpstr>
      <vt:lpstr>'13'!T_MAQUINARIA</vt:lpstr>
      <vt:lpstr>'14'!T_MAQUINARIA</vt:lpstr>
      <vt:lpstr>'15'!T_MAQUINARIA</vt:lpstr>
      <vt:lpstr>'16'!T_MAQUINARIA</vt:lpstr>
      <vt:lpstr>'17'!T_MAQUINARIA</vt:lpstr>
      <vt:lpstr>'18'!T_MAQUINARIA</vt:lpstr>
      <vt:lpstr>'19'!T_MAQUINARIA</vt:lpstr>
      <vt:lpstr>'2'!T_MAQUINARIA</vt:lpstr>
      <vt:lpstr>'20'!T_MAQUINARIA</vt:lpstr>
      <vt:lpstr>'21'!T_MAQUINARIA</vt:lpstr>
      <vt:lpstr>'22'!T_MAQUINARIA</vt:lpstr>
      <vt:lpstr>'23'!T_MAQUINARIA</vt:lpstr>
      <vt:lpstr>'24'!T_MAQUINARIA</vt:lpstr>
      <vt:lpstr>'25'!T_MAQUINARIA</vt:lpstr>
      <vt:lpstr>'26'!T_MAQUINARIA</vt:lpstr>
      <vt:lpstr>'27'!T_MAQUINARIA</vt:lpstr>
      <vt:lpstr>'28'!T_MAQUINARIA</vt:lpstr>
      <vt:lpstr>'29'!T_MAQUINARIA</vt:lpstr>
      <vt:lpstr>'3'!T_MAQUINARIA</vt:lpstr>
      <vt:lpstr>'30'!T_MAQUINARIA</vt:lpstr>
      <vt:lpstr>'31'!T_MAQUINARIA</vt:lpstr>
      <vt:lpstr>'32'!T_MAQUINARIA</vt:lpstr>
      <vt:lpstr>'33'!T_MAQUINARIA</vt:lpstr>
      <vt:lpstr>'34'!T_MAQUINARIA</vt:lpstr>
      <vt:lpstr>'35'!T_MAQUINARIA</vt:lpstr>
      <vt:lpstr>'36'!T_MAQUINARIA</vt:lpstr>
      <vt:lpstr>'37'!T_MAQUINARIA</vt:lpstr>
      <vt:lpstr>'38'!T_MAQUINARIA</vt:lpstr>
      <vt:lpstr>'39'!T_MAQUINARIA</vt:lpstr>
      <vt:lpstr>'4'!T_MAQUINARIA</vt:lpstr>
      <vt:lpstr>'40'!T_MAQUINARIA</vt:lpstr>
      <vt:lpstr>'41'!T_MAQUINARIA</vt:lpstr>
      <vt:lpstr>'42'!T_MAQUINARIA</vt:lpstr>
      <vt:lpstr>'43'!T_MAQUINARIA</vt:lpstr>
      <vt:lpstr>'44'!T_MAQUINARIA</vt:lpstr>
      <vt:lpstr>'45'!T_MAQUINARIA</vt:lpstr>
      <vt:lpstr>'46'!T_MAQUINARIA</vt:lpstr>
      <vt:lpstr>'47'!T_MAQUINARIA</vt:lpstr>
      <vt:lpstr>'48'!T_MAQUINARIA</vt:lpstr>
      <vt:lpstr>'49'!T_MAQUINARIA</vt:lpstr>
      <vt:lpstr>'5'!T_MAQUINARIA</vt:lpstr>
      <vt:lpstr>'50'!T_MAQUINARIA</vt:lpstr>
      <vt:lpstr>'51'!T_MAQUINARIA</vt:lpstr>
      <vt:lpstr>'52'!T_MAQUINARIA</vt:lpstr>
      <vt:lpstr>'53'!T_MAQUINARIA</vt:lpstr>
      <vt:lpstr>'54'!T_MAQUINARIA</vt:lpstr>
      <vt:lpstr>'55'!T_MAQUINARIA</vt:lpstr>
      <vt:lpstr>'56'!T_MAQUINARIA</vt:lpstr>
      <vt:lpstr>'57'!T_MAQUINARIA</vt:lpstr>
      <vt:lpstr>'58'!T_MAQUINARIA</vt:lpstr>
      <vt:lpstr>'59'!T_MAQUINARIA</vt:lpstr>
      <vt:lpstr>'6'!T_MAQUINARIA</vt:lpstr>
      <vt:lpstr>'60'!T_MAQUINARIA</vt:lpstr>
      <vt:lpstr>'61'!T_MAQUINARIA</vt:lpstr>
      <vt:lpstr>'62'!T_MAQUINARIA</vt:lpstr>
      <vt:lpstr>'63'!T_MAQUINARIA</vt:lpstr>
      <vt:lpstr>'64'!T_MAQUINARIA</vt:lpstr>
      <vt:lpstr>'65'!T_MAQUINARIA</vt:lpstr>
      <vt:lpstr>'66'!T_MAQUINARIA</vt:lpstr>
      <vt:lpstr>'67'!T_MAQUINARIA</vt:lpstr>
      <vt:lpstr>'68'!T_MAQUINARIA</vt:lpstr>
      <vt:lpstr>'69'!T_MAQUINARIA</vt:lpstr>
      <vt:lpstr>'7'!T_MAQUINARIA</vt:lpstr>
      <vt:lpstr>'70'!T_MAQUINARIA</vt:lpstr>
      <vt:lpstr>'71'!T_MAQUINARIA</vt:lpstr>
      <vt:lpstr>'72'!T_MAQUINARIA</vt:lpstr>
      <vt:lpstr>'73'!T_MAQUINARIA</vt:lpstr>
      <vt:lpstr>'74'!T_MAQUINARIA</vt:lpstr>
      <vt:lpstr>'75'!T_MAQUINARIA</vt:lpstr>
      <vt:lpstr>'76'!T_MAQUINARIA</vt:lpstr>
      <vt:lpstr>'77'!T_MAQUINARIA</vt:lpstr>
      <vt:lpstr>'78'!T_MAQUINARIA</vt:lpstr>
      <vt:lpstr>'79'!T_MAQUINARIA</vt:lpstr>
      <vt:lpstr>'8'!T_MAQUINARIA</vt:lpstr>
      <vt:lpstr>'80'!T_MAQUINARIA</vt:lpstr>
      <vt:lpstr>'9'!T_MAQUINARIA</vt:lpstr>
      <vt:lpstr>'ADMINISTRACION ELECTRICA'!T_MAQUINARIA</vt:lpstr>
      <vt:lpstr>'ADMINISTRACION MECANICA '!T_MAQUINARIA</vt:lpstr>
      <vt:lpstr>T_MAQUINARIA</vt:lpstr>
      <vt:lpstr>'1'!T_MATERIALES</vt:lpstr>
      <vt:lpstr>'10'!T_MATERIALES</vt:lpstr>
      <vt:lpstr>'11'!T_MATERIALES</vt:lpstr>
      <vt:lpstr>'12'!T_MATERIALES</vt:lpstr>
      <vt:lpstr>'13'!T_MATERIALES</vt:lpstr>
      <vt:lpstr>'14'!T_MATERIALES</vt:lpstr>
      <vt:lpstr>'15'!T_MATERIALES</vt:lpstr>
      <vt:lpstr>'16'!T_MATERIALES</vt:lpstr>
      <vt:lpstr>'17'!T_MATERIALES</vt:lpstr>
      <vt:lpstr>'18'!T_MATERIALES</vt:lpstr>
      <vt:lpstr>'19'!T_MATERIALES</vt:lpstr>
      <vt:lpstr>'2'!T_MATERIALES</vt:lpstr>
      <vt:lpstr>'20'!T_MATERIALES</vt:lpstr>
      <vt:lpstr>'21'!T_MATERIALES</vt:lpstr>
      <vt:lpstr>'22'!T_MATERIALES</vt:lpstr>
      <vt:lpstr>'23'!T_MATERIALES</vt:lpstr>
      <vt:lpstr>'24'!T_MATERIALES</vt:lpstr>
      <vt:lpstr>'25'!T_MATERIALES</vt:lpstr>
      <vt:lpstr>'26'!T_MATERIALES</vt:lpstr>
      <vt:lpstr>'27'!T_MATERIALES</vt:lpstr>
      <vt:lpstr>'28'!T_MATERIALES</vt:lpstr>
      <vt:lpstr>'29'!T_MATERIALES</vt:lpstr>
      <vt:lpstr>'3'!T_MATERIALES</vt:lpstr>
      <vt:lpstr>'30'!T_MATERIALES</vt:lpstr>
      <vt:lpstr>'31'!T_MATERIALES</vt:lpstr>
      <vt:lpstr>'32'!T_MATERIALES</vt:lpstr>
      <vt:lpstr>'33'!T_MATERIALES</vt:lpstr>
      <vt:lpstr>'34'!T_MATERIALES</vt:lpstr>
      <vt:lpstr>'35'!T_MATERIALES</vt:lpstr>
      <vt:lpstr>'36'!T_MATERIALES</vt:lpstr>
      <vt:lpstr>'37'!T_MATERIALES</vt:lpstr>
      <vt:lpstr>'38'!T_MATERIALES</vt:lpstr>
      <vt:lpstr>'39'!T_MATERIALES</vt:lpstr>
      <vt:lpstr>'4'!T_MATERIALES</vt:lpstr>
      <vt:lpstr>'40'!T_MATERIALES</vt:lpstr>
      <vt:lpstr>'41'!T_MATERIALES</vt:lpstr>
      <vt:lpstr>'42'!T_MATERIALES</vt:lpstr>
      <vt:lpstr>'43'!T_MATERIALES</vt:lpstr>
      <vt:lpstr>'44'!T_MATERIALES</vt:lpstr>
      <vt:lpstr>'45'!T_MATERIALES</vt:lpstr>
      <vt:lpstr>'46'!T_MATERIALES</vt:lpstr>
      <vt:lpstr>'47'!T_MATERIALES</vt:lpstr>
      <vt:lpstr>'48'!T_MATERIALES</vt:lpstr>
      <vt:lpstr>'49'!T_MATERIALES</vt:lpstr>
      <vt:lpstr>'5'!T_MATERIALES</vt:lpstr>
      <vt:lpstr>'50'!T_MATERIALES</vt:lpstr>
      <vt:lpstr>'51'!T_MATERIALES</vt:lpstr>
      <vt:lpstr>'52'!T_MATERIALES</vt:lpstr>
      <vt:lpstr>'53'!T_MATERIALES</vt:lpstr>
      <vt:lpstr>'54'!T_MATERIALES</vt:lpstr>
      <vt:lpstr>'55'!T_MATERIALES</vt:lpstr>
      <vt:lpstr>'56'!T_MATERIALES</vt:lpstr>
      <vt:lpstr>'57'!T_MATERIALES</vt:lpstr>
      <vt:lpstr>'58'!T_MATERIALES</vt:lpstr>
      <vt:lpstr>'59'!T_MATERIALES</vt:lpstr>
      <vt:lpstr>'6'!T_MATERIALES</vt:lpstr>
      <vt:lpstr>'60'!T_MATERIALES</vt:lpstr>
      <vt:lpstr>'61'!T_MATERIALES</vt:lpstr>
      <vt:lpstr>'62'!T_MATERIALES</vt:lpstr>
      <vt:lpstr>'63'!T_MATERIALES</vt:lpstr>
      <vt:lpstr>'64'!T_MATERIALES</vt:lpstr>
      <vt:lpstr>'65'!T_MATERIALES</vt:lpstr>
      <vt:lpstr>'66'!T_MATERIALES</vt:lpstr>
      <vt:lpstr>'67'!T_MATERIALES</vt:lpstr>
      <vt:lpstr>'68'!T_MATERIALES</vt:lpstr>
      <vt:lpstr>'69'!T_MATERIALES</vt:lpstr>
      <vt:lpstr>'7'!T_MATERIALES</vt:lpstr>
      <vt:lpstr>'70'!T_MATERIALES</vt:lpstr>
      <vt:lpstr>'71'!T_MATERIALES</vt:lpstr>
      <vt:lpstr>'72'!T_MATERIALES</vt:lpstr>
      <vt:lpstr>'73'!T_MATERIALES</vt:lpstr>
      <vt:lpstr>'74'!T_MATERIALES</vt:lpstr>
      <vt:lpstr>'75'!T_MATERIALES</vt:lpstr>
      <vt:lpstr>'76'!T_MATERIALES</vt:lpstr>
      <vt:lpstr>'77'!T_MATERIALES</vt:lpstr>
      <vt:lpstr>'78'!T_MATERIALES</vt:lpstr>
      <vt:lpstr>'79'!T_MATERIALES</vt:lpstr>
      <vt:lpstr>'8'!T_MATERIALES</vt:lpstr>
      <vt:lpstr>'80'!T_MATERIALES</vt:lpstr>
      <vt:lpstr>'9'!T_MATERIALES</vt:lpstr>
      <vt:lpstr>'ADMINISTRACION ELECTRICA'!T_MATERIALES</vt:lpstr>
      <vt:lpstr>'ADMINISTRACION MECANICA '!T_MATERIALES</vt:lpstr>
      <vt:lpstr>T_MATERIALES</vt:lpstr>
      <vt:lpstr>'ADMINISTRACION ELECTRICA'!TOTAL_ADMINISTRACION</vt:lpstr>
      <vt:lpstr>'ADMINISTRACION MECANICA '!TOTAL_ADMINISTRACION</vt:lpstr>
      <vt:lpstr>TOTAL_ADMINISTRACION</vt:lpstr>
      <vt:lpstr>TRANSPORTE</vt:lpstr>
      <vt:lpstr>TRANSPORTE_NO_OPERATIVOS</vt:lpstr>
      <vt:lpstr>'1'!U_ITEM</vt:lpstr>
      <vt:lpstr>'10'!U_ITEM</vt:lpstr>
      <vt:lpstr>'11'!U_ITEM</vt:lpstr>
      <vt:lpstr>'12'!U_ITEM</vt:lpstr>
      <vt:lpstr>'13'!U_ITEM</vt:lpstr>
      <vt:lpstr>'14'!U_ITEM</vt:lpstr>
      <vt:lpstr>'15'!U_ITEM</vt:lpstr>
      <vt:lpstr>'16'!U_ITEM</vt:lpstr>
      <vt:lpstr>'17'!U_ITEM</vt:lpstr>
      <vt:lpstr>'18'!U_ITEM</vt:lpstr>
      <vt:lpstr>'19'!U_ITEM</vt:lpstr>
      <vt:lpstr>'2'!U_ITEM</vt:lpstr>
      <vt:lpstr>'20'!U_ITEM</vt:lpstr>
      <vt:lpstr>'21'!U_ITEM</vt:lpstr>
      <vt:lpstr>'22'!U_ITEM</vt:lpstr>
      <vt:lpstr>'23'!U_ITEM</vt:lpstr>
      <vt:lpstr>'24'!U_ITEM</vt:lpstr>
      <vt:lpstr>'25'!U_ITEM</vt:lpstr>
      <vt:lpstr>'26'!U_ITEM</vt:lpstr>
      <vt:lpstr>'27'!U_ITEM</vt:lpstr>
      <vt:lpstr>'28'!U_ITEM</vt:lpstr>
      <vt:lpstr>'29'!U_ITEM</vt:lpstr>
      <vt:lpstr>'3'!U_ITEM</vt:lpstr>
      <vt:lpstr>'30'!U_ITEM</vt:lpstr>
      <vt:lpstr>'31'!U_ITEM</vt:lpstr>
      <vt:lpstr>'32'!U_ITEM</vt:lpstr>
      <vt:lpstr>'33'!U_ITEM</vt:lpstr>
      <vt:lpstr>'34'!U_ITEM</vt:lpstr>
      <vt:lpstr>'35'!U_ITEM</vt:lpstr>
      <vt:lpstr>'36'!U_ITEM</vt:lpstr>
      <vt:lpstr>'37'!U_ITEM</vt:lpstr>
      <vt:lpstr>'38'!U_ITEM</vt:lpstr>
      <vt:lpstr>'39'!U_ITEM</vt:lpstr>
      <vt:lpstr>'4'!U_ITEM</vt:lpstr>
      <vt:lpstr>'40'!U_ITEM</vt:lpstr>
      <vt:lpstr>'41'!U_ITEM</vt:lpstr>
      <vt:lpstr>'42'!U_ITEM</vt:lpstr>
      <vt:lpstr>'43'!U_ITEM</vt:lpstr>
      <vt:lpstr>'44'!U_ITEM</vt:lpstr>
      <vt:lpstr>'45'!U_ITEM</vt:lpstr>
      <vt:lpstr>'46'!U_ITEM</vt:lpstr>
      <vt:lpstr>'47'!U_ITEM</vt:lpstr>
      <vt:lpstr>'48'!U_ITEM</vt:lpstr>
      <vt:lpstr>'49'!U_ITEM</vt:lpstr>
      <vt:lpstr>'5'!U_ITEM</vt:lpstr>
      <vt:lpstr>'50'!U_ITEM</vt:lpstr>
      <vt:lpstr>'51'!U_ITEM</vt:lpstr>
      <vt:lpstr>'52'!U_ITEM</vt:lpstr>
      <vt:lpstr>'53'!U_ITEM</vt:lpstr>
      <vt:lpstr>'54'!U_ITEM</vt:lpstr>
      <vt:lpstr>'55'!U_ITEM</vt:lpstr>
      <vt:lpstr>'56'!U_ITEM</vt:lpstr>
      <vt:lpstr>'57'!U_ITEM</vt:lpstr>
      <vt:lpstr>'58'!U_ITEM</vt:lpstr>
      <vt:lpstr>'59'!U_ITEM</vt:lpstr>
      <vt:lpstr>'6'!U_ITEM</vt:lpstr>
      <vt:lpstr>'60'!U_ITEM</vt:lpstr>
      <vt:lpstr>'61'!U_ITEM</vt:lpstr>
      <vt:lpstr>'62'!U_ITEM</vt:lpstr>
      <vt:lpstr>'63'!U_ITEM</vt:lpstr>
      <vt:lpstr>'64'!U_ITEM</vt:lpstr>
      <vt:lpstr>'65'!U_ITEM</vt:lpstr>
      <vt:lpstr>'66'!U_ITEM</vt:lpstr>
      <vt:lpstr>'67'!U_ITEM</vt:lpstr>
      <vt:lpstr>'68'!U_ITEM</vt:lpstr>
      <vt:lpstr>'69'!U_ITEM</vt:lpstr>
      <vt:lpstr>'7'!U_ITEM</vt:lpstr>
      <vt:lpstr>'70'!U_ITEM</vt:lpstr>
      <vt:lpstr>'71'!U_ITEM</vt:lpstr>
      <vt:lpstr>'72'!U_ITEM</vt:lpstr>
      <vt:lpstr>'73'!U_ITEM</vt:lpstr>
      <vt:lpstr>'74'!U_ITEM</vt:lpstr>
      <vt:lpstr>'75'!U_ITEM</vt:lpstr>
      <vt:lpstr>'76'!U_ITEM</vt:lpstr>
      <vt:lpstr>'77'!U_ITEM</vt:lpstr>
      <vt:lpstr>'78'!U_ITEM</vt:lpstr>
      <vt:lpstr>'79'!U_ITEM</vt:lpstr>
      <vt:lpstr>'8'!U_ITEM</vt:lpstr>
      <vt:lpstr>'80'!U_ITEM</vt:lpstr>
      <vt:lpstr>'9'!U_ITEM</vt:lpstr>
      <vt:lpstr>U_ITEM</vt:lpstr>
      <vt:lpstr>'1'!U_MANODEOBRA</vt:lpstr>
      <vt:lpstr>'10'!U_MANODEOBRA</vt:lpstr>
      <vt:lpstr>'11'!U_MANODEOBRA</vt:lpstr>
      <vt:lpstr>'12'!U_MANODEOBRA</vt:lpstr>
      <vt:lpstr>'13'!U_MANODEOBRA</vt:lpstr>
      <vt:lpstr>'14'!U_MANODEOBRA</vt:lpstr>
      <vt:lpstr>'15'!U_MANODEOBRA</vt:lpstr>
      <vt:lpstr>'16'!U_MANODEOBRA</vt:lpstr>
      <vt:lpstr>'17'!U_MANODEOBRA</vt:lpstr>
      <vt:lpstr>'18'!U_MANODEOBRA</vt:lpstr>
      <vt:lpstr>'19'!U_MANODEOBRA</vt:lpstr>
      <vt:lpstr>'2'!U_MANODEOBRA</vt:lpstr>
      <vt:lpstr>'20'!U_MANODEOBRA</vt:lpstr>
      <vt:lpstr>'21'!U_MANODEOBRA</vt:lpstr>
      <vt:lpstr>'22'!U_MANODEOBRA</vt:lpstr>
      <vt:lpstr>'23'!U_MANODEOBRA</vt:lpstr>
      <vt:lpstr>'24'!U_MANODEOBRA</vt:lpstr>
      <vt:lpstr>'25'!U_MANODEOBRA</vt:lpstr>
      <vt:lpstr>'26'!U_MANODEOBRA</vt:lpstr>
      <vt:lpstr>'27'!U_MANODEOBRA</vt:lpstr>
      <vt:lpstr>'28'!U_MANODEOBRA</vt:lpstr>
      <vt:lpstr>'29'!U_MANODEOBRA</vt:lpstr>
      <vt:lpstr>'3'!U_MANODEOBRA</vt:lpstr>
      <vt:lpstr>'30'!U_MANODEOBRA</vt:lpstr>
      <vt:lpstr>'31'!U_MANODEOBRA</vt:lpstr>
      <vt:lpstr>'32'!U_MANODEOBRA</vt:lpstr>
      <vt:lpstr>'33'!U_MANODEOBRA</vt:lpstr>
      <vt:lpstr>'34'!U_MANODEOBRA</vt:lpstr>
      <vt:lpstr>'35'!U_MANODEOBRA</vt:lpstr>
      <vt:lpstr>'36'!U_MANODEOBRA</vt:lpstr>
      <vt:lpstr>'37'!U_MANODEOBRA</vt:lpstr>
      <vt:lpstr>'38'!U_MANODEOBRA</vt:lpstr>
      <vt:lpstr>'39'!U_MANODEOBRA</vt:lpstr>
      <vt:lpstr>'4'!U_MANODEOBRA</vt:lpstr>
      <vt:lpstr>'40'!U_MANODEOBRA</vt:lpstr>
      <vt:lpstr>'41'!U_MANODEOBRA</vt:lpstr>
      <vt:lpstr>'42'!U_MANODEOBRA</vt:lpstr>
      <vt:lpstr>'43'!U_MANODEOBRA</vt:lpstr>
      <vt:lpstr>'44'!U_MANODEOBRA</vt:lpstr>
      <vt:lpstr>'45'!U_MANODEOBRA</vt:lpstr>
      <vt:lpstr>'46'!U_MANODEOBRA</vt:lpstr>
      <vt:lpstr>'47'!U_MANODEOBRA</vt:lpstr>
      <vt:lpstr>'48'!U_MANODEOBRA</vt:lpstr>
      <vt:lpstr>'49'!U_MANODEOBRA</vt:lpstr>
      <vt:lpstr>'5'!U_MANODEOBRA</vt:lpstr>
      <vt:lpstr>'50'!U_MANODEOBRA</vt:lpstr>
      <vt:lpstr>'51'!U_MANODEOBRA</vt:lpstr>
      <vt:lpstr>'52'!U_MANODEOBRA</vt:lpstr>
      <vt:lpstr>'53'!U_MANODEOBRA</vt:lpstr>
      <vt:lpstr>'54'!U_MANODEOBRA</vt:lpstr>
      <vt:lpstr>'55'!U_MANODEOBRA</vt:lpstr>
      <vt:lpstr>'56'!U_MANODEOBRA</vt:lpstr>
      <vt:lpstr>'57'!U_MANODEOBRA</vt:lpstr>
      <vt:lpstr>'58'!U_MANODEOBRA</vt:lpstr>
      <vt:lpstr>'59'!U_MANODEOBRA</vt:lpstr>
      <vt:lpstr>'6'!U_MANODEOBRA</vt:lpstr>
      <vt:lpstr>'60'!U_MANODEOBRA</vt:lpstr>
      <vt:lpstr>'61'!U_MANODEOBRA</vt:lpstr>
      <vt:lpstr>'62'!U_MANODEOBRA</vt:lpstr>
      <vt:lpstr>'63'!U_MANODEOBRA</vt:lpstr>
      <vt:lpstr>'64'!U_MANODEOBRA</vt:lpstr>
      <vt:lpstr>'65'!U_MANODEOBRA</vt:lpstr>
      <vt:lpstr>'66'!U_MANODEOBRA</vt:lpstr>
      <vt:lpstr>'67'!U_MANODEOBRA</vt:lpstr>
      <vt:lpstr>'68'!U_MANODEOBRA</vt:lpstr>
      <vt:lpstr>'69'!U_MANODEOBRA</vt:lpstr>
      <vt:lpstr>'7'!U_MANODEOBRA</vt:lpstr>
      <vt:lpstr>'70'!U_MANODEOBRA</vt:lpstr>
      <vt:lpstr>'71'!U_MANODEOBRA</vt:lpstr>
      <vt:lpstr>'72'!U_MANODEOBRA</vt:lpstr>
      <vt:lpstr>'73'!U_MANODEOBRA</vt:lpstr>
      <vt:lpstr>'74'!U_MANODEOBRA</vt:lpstr>
      <vt:lpstr>'75'!U_MANODEOBRA</vt:lpstr>
      <vt:lpstr>'76'!U_MANODEOBRA</vt:lpstr>
      <vt:lpstr>'77'!U_MANODEOBRA</vt:lpstr>
      <vt:lpstr>'78'!U_MANODEOBRA</vt:lpstr>
      <vt:lpstr>'79'!U_MANODEOBRA</vt:lpstr>
      <vt:lpstr>'8'!U_MANODEOBRA</vt:lpstr>
      <vt:lpstr>'80'!U_MANODEOBRA</vt:lpstr>
      <vt:lpstr>'9'!U_MANODEOBRA</vt:lpstr>
      <vt:lpstr>'ADMINISTRACION ELECTRICA'!U_MANODEOBRA</vt:lpstr>
      <vt:lpstr>'ADMINISTRACION MECANICA '!U_MANODEOBRA</vt:lpstr>
      <vt:lpstr>U_MANODEOBRA</vt:lpstr>
      <vt:lpstr>'1'!U_MAQUINARIA</vt:lpstr>
      <vt:lpstr>'10'!U_MAQUINARIA</vt:lpstr>
      <vt:lpstr>'11'!U_MAQUINARIA</vt:lpstr>
      <vt:lpstr>'12'!U_MAQUINARIA</vt:lpstr>
      <vt:lpstr>'13'!U_MAQUINARIA</vt:lpstr>
      <vt:lpstr>'14'!U_MAQUINARIA</vt:lpstr>
      <vt:lpstr>'15'!U_MAQUINARIA</vt:lpstr>
      <vt:lpstr>'16'!U_MAQUINARIA</vt:lpstr>
      <vt:lpstr>'17'!U_MAQUINARIA</vt:lpstr>
      <vt:lpstr>'18'!U_MAQUINARIA</vt:lpstr>
      <vt:lpstr>'19'!U_MAQUINARIA</vt:lpstr>
      <vt:lpstr>'2'!U_MAQUINARIA</vt:lpstr>
      <vt:lpstr>'20'!U_MAQUINARIA</vt:lpstr>
      <vt:lpstr>'21'!U_MAQUINARIA</vt:lpstr>
      <vt:lpstr>'22'!U_MAQUINARIA</vt:lpstr>
      <vt:lpstr>'23'!U_MAQUINARIA</vt:lpstr>
      <vt:lpstr>'24'!U_MAQUINARIA</vt:lpstr>
      <vt:lpstr>'25'!U_MAQUINARIA</vt:lpstr>
      <vt:lpstr>'26'!U_MAQUINARIA</vt:lpstr>
      <vt:lpstr>'27'!U_MAQUINARIA</vt:lpstr>
      <vt:lpstr>'28'!U_MAQUINARIA</vt:lpstr>
      <vt:lpstr>'29'!U_MAQUINARIA</vt:lpstr>
      <vt:lpstr>'3'!U_MAQUINARIA</vt:lpstr>
      <vt:lpstr>'30'!U_MAQUINARIA</vt:lpstr>
      <vt:lpstr>'31'!U_MAQUINARIA</vt:lpstr>
      <vt:lpstr>'32'!U_MAQUINARIA</vt:lpstr>
      <vt:lpstr>'33'!U_MAQUINARIA</vt:lpstr>
      <vt:lpstr>'34'!U_MAQUINARIA</vt:lpstr>
      <vt:lpstr>'35'!U_MAQUINARIA</vt:lpstr>
      <vt:lpstr>'36'!U_MAQUINARIA</vt:lpstr>
      <vt:lpstr>'37'!U_MAQUINARIA</vt:lpstr>
      <vt:lpstr>'38'!U_MAQUINARIA</vt:lpstr>
      <vt:lpstr>'39'!U_MAQUINARIA</vt:lpstr>
      <vt:lpstr>'4'!U_MAQUINARIA</vt:lpstr>
      <vt:lpstr>'40'!U_MAQUINARIA</vt:lpstr>
      <vt:lpstr>'41'!U_MAQUINARIA</vt:lpstr>
      <vt:lpstr>'42'!U_MAQUINARIA</vt:lpstr>
      <vt:lpstr>'43'!U_MAQUINARIA</vt:lpstr>
      <vt:lpstr>'44'!U_MAQUINARIA</vt:lpstr>
      <vt:lpstr>'45'!U_MAQUINARIA</vt:lpstr>
      <vt:lpstr>'46'!U_MAQUINARIA</vt:lpstr>
      <vt:lpstr>'47'!U_MAQUINARIA</vt:lpstr>
      <vt:lpstr>'48'!U_MAQUINARIA</vt:lpstr>
      <vt:lpstr>'49'!U_MAQUINARIA</vt:lpstr>
      <vt:lpstr>'5'!U_MAQUINARIA</vt:lpstr>
      <vt:lpstr>'50'!U_MAQUINARIA</vt:lpstr>
      <vt:lpstr>'51'!U_MAQUINARIA</vt:lpstr>
      <vt:lpstr>'52'!U_MAQUINARIA</vt:lpstr>
      <vt:lpstr>'53'!U_MAQUINARIA</vt:lpstr>
      <vt:lpstr>'54'!U_MAQUINARIA</vt:lpstr>
      <vt:lpstr>'55'!U_MAQUINARIA</vt:lpstr>
      <vt:lpstr>'56'!U_MAQUINARIA</vt:lpstr>
      <vt:lpstr>'57'!U_MAQUINARIA</vt:lpstr>
      <vt:lpstr>'58'!U_MAQUINARIA</vt:lpstr>
      <vt:lpstr>'59'!U_MAQUINARIA</vt:lpstr>
      <vt:lpstr>'6'!U_MAQUINARIA</vt:lpstr>
      <vt:lpstr>'60'!U_MAQUINARIA</vt:lpstr>
      <vt:lpstr>'61'!U_MAQUINARIA</vt:lpstr>
      <vt:lpstr>'62'!U_MAQUINARIA</vt:lpstr>
      <vt:lpstr>'63'!U_MAQUINARIA</vt:lpstr>
      <vt:lpstr>'64'!U_MAQUINARIA</vt:lpstr>
      <vt:lpstr>'65'!U_MAQUINARIA</vt:lpstr>
      <vt:lpstr>'66'!U_MAQUINARIA</vt:lpstr>
      <vt:lpstr>'67'!U_MAQUINARIA</vt:lpstr>
      <vt:lpstr>'68'!U_MAQUINARIA</vt:lpstr>
      <vt:lpstr>'69'!U_MAQUINARIA</vt:lpstr>
      <vt:lpstr>'7'!U_MAQUINARIA</vt:lpstr>
      <vt:lpstr>'70'!U_MAQUINARIA</vt:lpstr>
      <vt:lpstr>'71'!U_MAQUINARIA</vt:lpstr>
      <vt:lpstr>'72'!U_MAQUINARIA</vt:lpstr>
      <vt:lpstr>'73'!U_MAQUINARIA</vt:lpstr>
      <vt:lpstr>'74'!U_MAQUINARIA</vt:lpstr>
      <vt:lpstr>'75'!U_MAQUINARIA</vt:lpstr>
      <vt:lpstr>'76'!U_MAQUINARIA</vt:lpstr>
      <vt:lpstr>'77'!U_MAQUINARIA</vt:lpstr>
      <vt:lpstr>'78'!U_MAQUINARIA</vt:lpstr>
      <vt:lpstr>'79'!U_MAQUINARIA</vt:lpstr>
      <vt:lpstr>'8'!U_MAQUINARIA</vt:lpstr>
      <vt:lpstr>'80'!U_MAQUINARIA</vt:lpstr>
      <vt:lpstr>'9'!U_MAQUINARIA</vt:lpstr>
      <vt:lpstr>'ADMINISTRACION ELECTRICA'!U_MAQUINARIA</vt:lpstr>
      <vt:lpstr>'ADMINISTRACION MECANICA '!U_MAQUINARIA</vt:lpstr>
      <vt:lpstr>U_MAQUINARIA</vt:lpstr>
      <vt:lpstr>'1'!U_MATERIAL</vt:lpstr>
      <vt:lpstr>'10'!U_MATERIAL</vt:lpstr>
      <vt:lpstr>'11'!U_MATERIAL</vt:lpstr>
      <vt:lpstr>'12'!U_MATERIAL</vt:lpstr>
      <vt:lpstr>'13'!U_MATERIAL</vt:lpstr>
      <vt:lpstr>'14'!U_MATERIAL</vt:lpstr>
      <vt:lpstr>'15'!U_MATERIAL</vt:lpstr>
      <vt:lpstr>'16'!U_MATERIAL</vt:lpstr>
      <vt:lpstr>'17'!U_MATERIAL</vt:lpstr>
      <vt:lpstr>'18'!U_MATERIAL</vt:lpstr>
      <vt:lpstr>'19'!U_MATERIAL</vt:lpstr>
      <vt:lpstr>'2'!U_MATERIAL</vt:lpstr>
      <vt:lpstr>'20'!U_MATERIAL</vt:lpstr>
      <vt:lpstr>'21'!U_MATERIAL</vt:lpstr>
      <vt:lpstr>'22'!U_MATERIAL</vt:lpstr>
      <vt:lpstr>'23'!U_MATERIAL</vt:lpstr>
      <vt:lpstr>'24'!U_MATERIAL</vt:lpstr>
      <vt:lpstr>'25'!U_MATERIAL</vt:lpstr>
      <vt:lpstr>'26'!U_MATERIAL</vt:lpstr>
      <vt:lpstr>'27'!U_MATERIAL</vt:lpstr>
      <vt:lpstr>'28'!U_MATERIAL</vt:lpstr>
      <vt:lpstr>'29'!U_MATERIAL</vt:lpstr>
      <vt:lpstr>'3'!U_MATERIAL</vt:lpstr>
      <vt:lpstr>'30'!U_MATERIAL</vt:lpstr>
      <vt:lpstr>'31'!U_MATERIAL</vt:lpstr>
      <vt:lpstr>'32'!U_MATERIAL</vt:lpstr>
      <vt:lpstr>'33'!U_MATERIAL</vt:lpstr>
      <vt:lpstr>'34'!U_MATERIAL</vt:lpstr>
      <vt:lpstr>'35'!U_MATERIAL</vt:lpstr>
      <vt:lpstr>'36'!U_MATERIAL</vt:lpstr>
      <vt:lpstr>'37'!U_MATERIAL</vt:lpstr>
      <vt:lpstr>'38'!U_MATERIAL</vt:lpstr>
      <vt:lpstr>'39'!U_MATERIAL</vt:lpstr>
      <vt:lpstr>'4'!U_MATERIAL</vt:lpstr>
      <vt:lpstr>'40'!U_MATERIAL</vt:lpstr>
      <vt:lpstr>'41'!U_MATERIAL</vt:lpstr>
      <vt:lpstr>'42'!U_MATERIAL</vt:lpstr>
      <vt:lpstr>'43'!U_MATERIAL</vt:lpstr>
      <vt:lpstr>'44'!U_MATERIAL</vt:lpstr>
      <vt:lpstr>'45'!U_MATERIAL</vt:lpstr>
      <vt:lpstr>'46'!U_MATERIAL</vt:lpstr>
      <vt:lpstr>'47'!U_MATERIAL</vt:lpstr>
      <vt:lpstr>'48'!U_MATERIAL</vt:lpstr>
      <vt:lpstr>'49'!U_MATERIAL</vt:lpstr>
      <vt:lpstr>'5'!U_MATERIAL</vt:lpstr>
      <vt:lpstr>'50'!U_MATERIAL</vt:lpstr>
      <vt:lpstr>'51'!U_MATERIAL</vt:lpstr>
      <vt:lpstr>'52'!U_MATERIAL</vt:lpstr>
      <vt:lpstr>'53'!U_MATERIAL</vt:lpstr>
      <vt:lpstr>'54'!U_MATERIAL</vt:lpstr>
      <vt:lpstr>'55'!U_MATERIAL</vt:lpstr>
      <vt:lpstr>'56'!U_MATERIAL</vt:lpstr>
      <vt:lpstr>'57'!U_MATERIAL</vt:lpstr>
      <vt:lpstr>'58'!U_MATERIAL</vt:lpstr>
      <vt:lpstr>'59'!U_MATERIAL</vt:lpstr>
      <vt:lpstr>'6'!U_MATERIAL</vt:lpstr>
      <vt:lpstr>'60'!U_MATERIAL</vt:lpstr>
      <vt:lpstr>'61'!U_MATERIAL</vt:lpstr>
      <vt:lpstr>'62'!U_MATERIAL</vt:lpstr>
      <vt:lpstr>'63'!U_MATERIAL</vt:lpstr>
      <vt:lpstr>'64'!U_MATERIAL</vt:lpstr>
      <vt:lpstr>'65'!U_MATERIAL</vt:lpstr>
      <vt:lpstr>'66'!U_MATERIAL</vt:lpstr>
      <vt:lpstr>'67'!U_MATERIAL</vt:lpstr>
      <vt:lpstr>'68'!U_MATERIAL</vt:lpstr>
      <vt:lpstr>'69'!U_MATERIAL</vt:lpstr>
      <vt:lpstr>'7'!U_MATERIAL</vt:lpstr>
      <vt:lpstr>'70'!U_MATERIAL</vt:lpstr>
      <vt:lpstr>'71'!U_MATERIAL</vt:lpstr>
      <vt:lpstr>'72'!U_MATERIAL</vt:lpstr>
      <vt:lpstr>'73'!U_MATERIAL</vt:lpstr>
      <vt:lpstr>'74'!U_MATERIAL</vt:lpstr>
      <vt:lpstr>'75'!U_MATERIAL</vt:lpstr>
      <vt:lpstr>'76'!U_MATERIAL</vt:lpstr>
      <vt:lpstr>'77'!U_MATERIAL</vt:lpstr>
      <vt:lpstr>'78'!U_MATERIAL</vt:lpstr>
      <vt:lpstr>'79'!U_MATERIAL</vt:lpstr>
      <vt:lpstr>'8'!U_MATERIAL</vt:lpstr>
      <vt:lpstr>'80'!U_MATERIAL</vt:lpstr>
      <vt:lpstr>'9'!U_MATERIAL</vt:lpstr>
      <vt:lpstr>'ADMINISTRACION ELECTRICA'!U_MATERIAL</vt:lpstr>
      <vt:lpstr>'ADMINISTRACION MECANICA '!U_MATERIAL</vt:lpstr>
      <vt:lpstr>U_MATERIAL</vt:lpstr>
      <vt:lpstr>UTILIDAD</vt:lpstr>
      <vt:lpstr>'1'!V_COMBUSTIBLE_H</vt:lpstr>
      <vt:lpstr>'10'!V_COMBUSTIBLE_H</vt:lpstr>
      <vt:lpstr>'11'!V_COMBUSTIBLE_H</vt:lpstr>
      <vt:lpstr>'12'!V_COMBUSTIBLE_H</vt:lpstr>
      <vt:lpstr>'13'!V_COMBUSTIBLE_H</vt:lpstr>
      <vt:lpstr>'14'!V_COMBUSTIBLE_H</vt:lpstr>
      <vt:lpstr>'15'!V_COMBUSTIBLE_H</vt:lpstr>
      <vt:lpstr>'16'!V_COMBUSTIBLE_H</vt:lpstr>
      <vt:lpstr>'17'!V_COMBUSTIBLE_H</vt:lpstr>
      <vt:lpstr>'18'!V_COMBUSTIBLE_H</vt:lpstr>
      <vt:lpstr>'19'!V_COMBUSTIBLE_H</vt:lpstr>
      <vt:lpstr>'2'!V_COMBUSTIBLE_H</vt:lpstr>
      <vt:lpstr>'20'!V_COMBUSTIBLE_H</vt:lpstr>
      <vt:lpstr>'21'!V_COMBUSTIBLE_H</vt:lpstr>
      <vt:lpstr>'22'!V_COMBUSTIBLE_H</vt:lpstr>
      <vt:lpstr>'23'!V_COMBUSTIBLE_H</vt:lpstr>
      <vt:lpstr>'24'!V_COMBUSTIBLE_H</vt:lpstr>
      <vt:lpstr>'25'!V_COMBUSTIBLE_H</vt:lpstr>
      <vt:lpstr>'26'!V_COMBUSTIBLE_H</vt:lpstr>
      <vt:lpstr>'27'!V_COMBUSTIBLE_H</vt:lpstr>
      <vt:lpstr>'28'!V_COMBUSTIBLE_H</vt:lpstr>
      <vt:lpstr>'29'!V_COMBUSTIBLE_H</vt:lpstr>
      <vt:lpstr>'3'!V_COMBUSTIBLE_H</vt:lpstr>
      <vt:lpstr>'30'!V_COMBUSTIBLE_H</vt:lpstr>
      <vt:lpstr>'31'!V_COMBUSTIBLE_H</vt:lpstr>
      <vt:lpstr>'32'!V_COMBUSTIBLE_H</vt:lpstr>
      <vt:lpstr>'33'!V_COMBUSTIBLE_H</vt:lpstr>
      <vt:lpstr>'34'!V_COMBUSTIBLE_H</vt:lpstr>
      <vt:lpstr>'35'!V_COMBUSTIBLE_H</vt:lpstr>
      <vt:lpstr>'36'!V_COMBUSTIBLE_H</vt:lpstr>
      <vt:lpstr>'37'!V_COMBUSTIBLE_H</vt:lpstr>
      <vt:lpstr>'38'!V_COMBUSTIBLE_H</vt:lpstr>
      <vt:lpstr>'39'!V_COMBUSTIBLE_H</vt:lpstr>
      <vt:lpstr>'4'!V_COMBUSTIBLE_H</vt:lpstr>
      <vt:lpstr>'40'!V_COMBUSTIBLE_H</vt:lpstr>
      <vt:lpstr>'41'!V_COMBUSTIBLE_H</vt:lpstr>
      <vt:lpstr>'42'!V_COMBUSTIBLE_H</vt:lpstr>
      <vt:lpstr>'43'!V_COMBUSTIBLE_H</vt:lpstr>
      <vt:lpstr>'44'!V_COMBUSTIBLE_H</vt:lpstr>
      <vt:lpstr>'45'!V_COMBUSTIBLE_H</vt:lpstr>
      <vt:lpstr>'46'!V_COMBUSTIBLE_H</vt:lpstr>
      <vt:lpstr>'47'!V_COMBUSTIBLE_H</vt:lpstr>
      <vt:lpstr>'48'!V_COMBUSTIBLE_H</vt:lpstr>
      <vt:lpstr>'49'!V_COMBUSTIBLE_H</vt:lpstr>
      <vt:lpstr>'5'!V_COMBUSTIBLE_H</vt:lpstr>
      <vt:lpstr>'50'!V_COMBUSTIBLE_H</vt:lpstr>
      <vt:lpstr>'51'!V_COMBUSTIBLE_H</vt:lpstr>
      <vt:lpstr>'52'!V_COMBUSTIBLE_H</vt:lpstr>
      <vt:lpstr>'53'!V_COMBUSTIBLE_H</vt:lpstr>
      <vt:lpstr>'54'!V_COMBUSTIBLE_H</vt:lpstr>
      <vt:lpstr>'55'!V_COMBUSTIBLE_H</vt:lpstr>
      <vt:lpstr>'56'!V_COMBUSTIBLE_H</vt:lpstr>
      <vt:lpstr>'57'!V_COMBUSTIBLE_H</vt:lpstr>
      <vt:lpstr>'58'!V_COMBUSTIBLE_H</vt:lpstr>
      <vt:lpstr>'59'!V_COMBUSTIBLE_H</vt:lpstr>
      <vt:lpstr>'6'!V_COMBUSTIBLE_H</vt:lpstr>
      <vt:lpstr>'60'!V_COMBUSTIBLE_H</vt:lpstr>
      <vt:lpstr>'61'!V_COMBUSTIBLE_H</vt:lpstr>
      <vt:lpstr>'62'!V_COMBUSTIBLE_H</vt:lpstr>
      <vt:lpstr>'63'!V_COMBUSTIBLE_H</vt:lpstr>
      <vt:lpstr>'64'!V_COMBUSTIBLE_H</vt:lpstr>
      <vt:lpstr>'65'!V_COMBUSTIBLE_H</vt:lpstr>
      <vt:lpstr>'66'!V_COMBUSTIBLE_H</vt:lpstr>
      <vt:lpstr>'67'!V_COMBUSTIBLE_H</vt:lpstr>
      <vt:lpstr>'68'!V_COMBUSTIBLE_H</vt:lpstr>
      <vt:lpstr>'69'!V_COMBUSTIBLE_H</vt:lpstr>
      <vt:lpstr>'7'!V_COMBUSTIBLE_H</vt:lpstr>
      <vt:lpstr>'70'!V_COMBUSTIBLE_H</vt:lpstr>
      <vt:lpstr>'71'!V_COMBUSTIBLE_H</vt:lpstr>
      <vt:lpstr>'72'!V_COMBUSTIBLE_H</vt:lpstr>
      <vt:lpstr>'73'!V_COMBUSTIBLE_H</vt:lpstr>
      <vt:lpstr>'74'!V_COMBUSTIBLE_H</vt:lpstr>
      <vt:lpstr>'75'!V_COMBUSTIBLE_H</vt:lpstr>
      <vt:lpstr>'76'!V_COMBUSTIBLE_H</vt:lpstr>
      <vt:lpstr>'77'!V_COMBUSTIBLE_H</vt:lpstr>
      <vt:lpstr>'78'!V_COMBUSTIBLE_H</vt:lpstr>
      <vt:lpstr>'79'!V_COMBUSTIBLE_H</vt:lpstr>
      <vt:lpstr>'8'!V_COMBUSTIBLE_H</vt:lpstr>
      <vt:lpstr>'80'!V_COMBUSTIBLE_H</vt:lpstr>
      <vt:lpstr>'9'!V_COMBUSTIBLE_H</vt:lpstr>
      <vt:lpstr>'ADMINISTRACION ELECTRICA'!V_COMBUSTIBLE_H</vt:lpstr>
      <vt:lpstr>'ADMINISTRACION MECANICA '!V_COMBUSTIBLE_H</vt:lpstr>
      <vt:lpstr>V_COMBUSTIBLE_H</vt:lpstr>
      <vt:lpstr>'1'!V_GALON</vt:lpstr>
      <vt:lpstr>'10'!V_GALON</vt:lpstr>
      <vt:lpstr>'11'!V_GALON</vt:lpstr>
      <vt:lpstr>'12'!V_GALON</vt:lpstr>
      <vt:lpstr>'13'!V_GALON</vt:lpstr>
      <vt:lpstr>'14'!V_GALON</vt:lpstr>
      <vt:lpstr>'15'!V_GALON</vt:lpstr>
      <vt:lpstr>'16'!V_GALON</vt:lpstr>
      <vt:lpstr>'17'!V_GALON</vt:lpstr>
      <vt:lpstr>'18'!V_GALON</vt:lpstr>
      <vt:lpstr>'19'!V_GALON</vt:lpstr>
      <vt:lpstr>'2'!V_GALON</vt:lpstr>
      <vt:lpstr>'20'!V_GALON</vt:lpstr>
      <vt:lpstr>'21'!V_GALON</vt:lpstr>
      <vt:lpstr>'22'!V_GALON</vt:lpstr>
      <vt:lpstr>'23'!V_GALON</vt:lpstr>
      <vt:lpstr>'24'!V_GALON</vt:lpstr>
      <vt:lpstr>'25'!V_GALON</vt:lpstr>
      <vt:lpstr>'26'!V_GALON</vt:lpstr>
      <vt:lpstr>'27'!V_GALON</vt:lpstr>
      <vt:lpstr>'28'!V_GALON</vt:lpstr>
      <vt:lpstr>'29'!V_GALON</vt:lpstr>
      <vt:lpstr>'3'!V_GALON</vt:lpstr>
      <vt:lpstr>'30'!V_GALON</vt:lpstr>
      <vt:lpstr>'31'!V_GALON</vt:lpstr>
      <vt:lpstr>'32'!V_GALON</vt:lpstr>
      <vt:lpstr>'33'!V_GALON</vt:lpstr>
      <vt:lpstr>'34'!V_GALON</vt:lpstr>
      <vt:lpstr>'35'!V_GALON</vt:lpstr>
      <vt:lpstr>'36'!V_GALON</vt:lpstr>
      <vt:lpstr>'37'!V_GALON</vt:lpstr>
      <vt:lpstr>'38'!V_GALON</vt:lpstr>
      <vt:lpstr>'39'!V_GALON</vt:lpstr>
      <vt:lpstr>'4'!V_GALON</vt:lpstr>
      <vt:lpstr>'40'!V_GALON</vt:lpstr>
      <vt:lpstr>'41'!V_GALON</vt:lpstr>
      <vt:lpstr>'42'!V_GALON</vt:lpstr>
      <vt:lpstr>'43'!V_GALON</vt:lpstr>
      <vt:lpstr>'44'!V_GALON</vt:lpstr>
      <vt:lpstr>'45'!V_GALON</vt:lpstr>
      <vt:lpstr>'46'!V_GALON</vt:lpstr>
      <vt:lpstr>'47'!V_GALON</vt:lpstr>
      <vt:lpstr>'48'!V_GALON</vt:lpstr>
      <vt:lpstr>'49'!V_GALON</vt:lpstr>
      <vt:lpstr>'5'!V_GALON</vt:lpstr>
      <vt:lpstr>'50'!V_GALON</vt:lpstr>
      <vt:lpstr>'51'!V_GALON</vt:lpstr>
      <vt:lpstr>'52'!V_GALON</vt:lpstr>
      <vt:lpstr>'53'!V_GALON</vt:lpstr>
      <vt:lpstr>'54'!V_GALON</vt:lpstr>
      <vt:lpstr>'55'!V_GALON</vt:lpstr>
      <vt:lpstr>'56'!V_GALON</vt:lpstr>
      <vt:lpstr>'57'!V_GALON</vt:lpstr>
      <vt:lpstr>'58'!V_GALON</vt:lpstr>
      <vt:lpstr>'59'!V_GALON</vt:lpstr>
      <vt:lpstr>'6'!V_GALON</vt:lpstr>
      <vt:lpstr>'60'!V_GALON</vt:lpstr>
      <vt:lpstr>'61'!V_GALON</vt:lpstr>
      <vt:lpstr>'62'!V_GALON</vt:lpstr>
      <vt:lpstr>'63'!V_GALON</vt:lpstr>
      <vt:lpstr>'64'!V_GALON</vt:lpstr>
      <vt:lpstr>'65'!V_GALON</vt:lpstr>
      <vt:lpstr>'66'!V_GALON</vt:lpstr>
      <vt:lpstr>'67'!V_GALON</vt:lpstr>
      <vt:lpstr>'68'!V_GALON</vt:lpstr>
      <vt:lpstr>'69'!V_GALON</vt:lpstr>
      <vt:lpstr>'7'!V_GALON</vt:lpstr>
      <vt:lpstr>'70'!V_GALON</vt:lpstr>
      <vt:lpstr>'71'!V_GALON</vt:lpstr>
      <vt:lpstr>'72'!V_GALON</vt:lpstr>
      <vt:lpstr>'73'!V_GALON</vt:lpstr>
      <vt:lpstr>'74'!V_GALON</vt:lpstr>
      <vt:lpstr>'75'!V_GALON</vt:lpstr>
      <vt:lpstr>'76'!V_GALON</vt:lpstr>
      <vt:lpstr>'77'!V_GALON</vt:lpstr>
      <vt:lpstr>'78'!V_GALON</vt:lpstr>
      <vt:lpstr>'79'!V_GALON</vt:lpstr>
      <vt:lpstr>'8'!V_GALON</vt:lpstr>
      <vt:lpstr>'80'!V_GALON</vt:lpstr>
      <vt:lpstr>'9'!V_GALON</vt:lpstr>
      <vt:lpstr>'ADMINISTRACION ELECTRICA'!V_GALON</vt:lpstr>
      <vt:lpstr>'ADMINISTRACION MECANICA '!V_GALON</vt:lpstr>
      <vt:lpstr>V_GALON</vt:lpstr>
      <vt:lpstr>'1'!V_H_MANODEOBRA</vt:lpstr>
      <vt:lpstr>'10'!V_H_MANODEOBRA</vt:lpstr>
      <vt:lpstr>'11'!V_H_MANODEOBRA</vt:lpstr>
      <vt:lpstr>'12'!V_H_MANODEOBRA</vt:lpstr>
      <vt:lpstr>'13'!V_H_MANODEOBRA</vt:lpstr>
      <vt:lpstr>'14'!V_H_MANODEOBRA</vt:lpstr>
      <vt:lpstr>'15'!V_H_MANODEOBRA</vt:lpstr>
      <vt:lpstr>'16'!V_H_MANODEOBRA</vt:lpstr>
      <vt:lpstr>'17'!V_H_MANODEOBRA</vt:lpstr>
      <vt:lpstr>'18'!V_H_MANODEOBRA</vt:lpstr>
      <vt:lpstr>'19'!V_H_MANODEOBRA</vt:lpstr>
      <vt:lpstr>'2'!V_H_MANODEOBRA</vt:lpstr>
      <vt:lpstr>'20'!V_H_MANODEOBRA</vt:lpstr>
      <vt:lpstr>'21'!V_H_MANODEOBRA</vt:lpstr>
      <vt:lpstr>'22'!V_H_MANODEOBRA</vt:lpstr>
      <vt:lpstr>'23'!V_H_MANODEOBRA</vt:lpstr>
      <vt:lpstr>'24'!V_H_MANODEOBRA</vt:lpstr>
      <vt:lpstr>'25'!V_H_MANODEOBRA</vt:lpstr>
      <vt:lpstr>'26'!V_H_MANODEOBRA</vt:lpstr>
      <vt:lpstr>'27'!V_H_MANODEOBRA</vt:lpstr>
      <vt:lpstr>'28'!V_H_MANODEOBRA</vt:lpstr>
      <vt:lpstr>'29'!V_H_MANODEOBRA</vt:lpstr>
      <vt:lpstr>'3'!V_H_MANODEOBRA</vt:lpstr>
      <vt:lpstr>'30'!V_H_MANODEOBRA</vt:lpstr>
      <vt:lpstr>'31'!V_H_MANODEOBRA</vt:lpstr>
      <vt:lpstr>'32'!V_H_MANODEOBRA</vt:lpstr>
      <vt:lpstr>'33'!V_H_MANODEOBRA</vt:lpstr>
      <vt:lpstr>'34'!V_H_MANODEOBRA</vt:lpstr>
      <vt:lpstr>'35'!V_H_MANODEOBRA</vt:lpstr>
      <vt:lpstr>'36'!V_H_MANODEOBRA</vt:lpstr>
      <vt:lpstr>'37'!V_H_MANODEOBRA</vt:lpstr>
      <vt:lpstr>'38'!V_H_MANODEOBRA</vt:lpstr>
      <vt:lpstr>'39'!V_H_MANODEOBRA</vt:lpstr>
      <vt:lpstr>'4'!V_H_MANODEOBRA</vt:lpstr>
      <vt:lpstr>'40'!V_H_MANODEOBRA</vt:lpstr>
      <vt:lpstr>'41'!V_H_MANODEOBRA</vt:lpstr>
      <vt:lpstr>'42'!V_H_MANODEOBRA</vt:lpstr>
      <vt:lpstr>'43'!V_H_MANODEOBRA</vt:lpstr>
      <vt:lpstr>'44'!V_H_MANODEOBRA</vt:lpstr>
      <vt:lpstr>'45'!V_H_MANODEOBRA</vt:lpstr>
      <vt:lpstr>'46'!V_H_MANODEOBRA</vt:lpstr>
      <vt:lpstr>'47'!V_H_MANODEOBRA</vt:lpstr>
      <vt:lpstr>'48'!V_H_MANODEOBRA</vt:lpstr>
      <vt:lpstr>'49'!V_H_MANODEOBRA</vt:lpstr>
      <vt:lpstr>'5'!V_H_MANODEOBRA</vt:lpstr>
      <vt:lpstr>'50'!V_H_MANODEOBRA</vt:lpstr>
      <vt:lpstr>'51'!V_H_MANODEOBRA</vt:lpstr>
      <vt:lpstr>'52'!V_H_MANODEOBRA</vt:lpstr>
      <vt:lpstr>'53'!V_H_MANODEOBRA</vt:lpstr>
      <vt:lpstr>'54'!V_H_MANODEOBRA</vt:lpstr>
      <vt:lpstr>'55'!V_H_MANODEOBRA</vt:lpstr>
      <vt:lpstr>'56'!V_H_MANODEOBRA</vt:lpstr>
      <vt:lpstr>'57'!V_H_MANODEOBRA</vt:lpstr>
      <vt:lpstr>'58'!V_H_MANODEOBRA</vt:lpstr>
      <vt:lpstr>'59'!V_H_MANODEOBRA</vt:lpstr>
      <vt:lpstr>'6'!V_H_MANODEOBRA</vt:lpstr>
      <vt:lpstr>'60'!V_H_MANODEOBRA</vt:lpstr>
      <vt:lpstr>'61'!V_H_MANODEOBRA</vt:lpstr>
      <vt:lpstr>'62'!V_H_MANODEOBRA</vt:lpstr>
      <vt:lpstr>'63'!V_H_MANODEOBRA</vt:lpstr>
      <vt:lpstr>'64'!V_H_MANODEOBRA</vt:lpstr>
      <vt:lpstr>'65'!V_H_MANODEOBRA</vt:lpstr>
      <vt:lpstr>'66'!V_H_MANODEOBRA</vt:lpstr>
      <vt:lpstr>'67'!V_H_MANODEOBRA</vt:lpstr>
      <vt:lpstr>'68'!V_H_MANODEOBRA</vt:lpstr>
      <vt:lpstr>'69'!V_H_MANODEOBRA</vt:lpstr>
      <vt:lpstr>'7'!V_H_MANODEOBRA</vt:lpstr>
      <vt:lpstr>'70'!V_H_MANODEOBRA</vt:lpstr>
      <vt:lpstr>'71'!V_H_MANODEOBRA</vt:lpstr>
      <vt:lpstr>'72'!V_H_MANODEOBRA</vt:lpstr>
      <vt:lpstr>'73'!V_H_MANODEOBRA</vt:lpstr>
      <vt:lpstr>'74'!V_H_MANODEOBRA</vt:lpstr>
      <vt:lpstr>'75'!V_H_MANODEOBRA</vt:lpstr>
      <vt:lpstr>'76'!V_H_MANODEOBRA</vt:lpstr>
      <vt:lpstr>'77'!V_H_MANODEOBRA</vt:lpstr>
      <vt:lpstr>'78'!V_H_MANODEOBRA</vt:lpstr>
      <vt:lpstr>'79'!V_H_MANODEOBRA</vt:lpstr>
      <vt:lpstr>'8'!V_H_MANODEOBRA</vt:lpstr>
      <vt:lpstr>'80'!V_H_MANODEOBRA</vt:lpstr>
      <vt:lpstr>'9'!V_H_MANODEOBRA</vt:lpstr>
      <vt:lpstr>'ADMINISTRACION ELECTRICA'!V_H_MANODEOBRA</vt:lpstr>
      <vt:lpstr>'ADMINISTRACION MECANICA '!V_H_MANODEOBRA</vt:lpstr>
      <vt:lpstr>V_H_MANODEOBRA</vt:lpstr>
      <vt:lpstr>'1'!V_MANODEOBRA_MENSUAL</vt:lpstr>
      <vt:lpstr>'10'!V_MANODEOBRA_MENSUAL</vt:lpstr>
      <vt:lpstr>'11'!V_MANODEOBRA_MENSUAL</vt:lpstr>
      <vt:lpstr>'12'!V_MANODEOBRA_MENSUAL</vt:lpstr>
      <vt:lpstr>'13'!V_MANODEOBRA_MENSUAL</vt:lpstr>
      <vt:lpstr>'14'!V_MANODEOBRA_MENSUAL</vt:lpstr>
      <vt:lpstr>'15'!V_MANODEOBRA_MENSUAL</vt:lpstr>
      <vt:lpstr>'16'!V_MANODEOBRA_MENSUAL</vt:lpstr>
      <vt:lpstr>'17'!V_MANODEOBRA_MENSUAL</vt:lpstr>
      <vt:lpstr>'18'!V_MANODEOBRA_MENSUAL</vt:lpstr>
      <vt:lpstr>'19'!V_MANODEOBRA_MENSUAL</vt:lpstr>
      <vt:lpstr>'2'!V_MANODEOBRA_MENSUAL</vt:lpstr>
      <vt:lpstr>'20'!V_MANODEOBRA_MENSUAL</vt:lpstr>
      <vt:lpstr>'21'!V_MANODEOBRA_MENSUAL</vt:lpstr>
      <vt:lpstr>'22'!V_MANODEOBRA_MENSUAL</vt:lpstr>
      <vt:lpstr>'23'!V_MANODEOBRA_MENSUAL</vt:lpstr>
      <vt:lpstr>'24'!V_MANODEOBRA_MENSUAL</vt:lpstr>
      <vt:lpstr>'25'!V_MANODEOBRA_MENSUAL</vt:lpstr>
      <vt:lpstr>'26'!V_MANODEOBRA_MENSUAL</vt:lpstr>
      <vt:lpstr>'27'!V_MANODEOBRA_MENSUAL</vt:lpstr>
      <vt:lpstr>'28'!V_MANODEOBRA_MENSUAL</vt:lpstr>
      <vt:lpstr>'29'!V_MANODEOBRA_MENSUAL</vt:lpstr>
      <vt:lpstr>'3'!V_MANODEOBRA_MENSUAL</vt:lpstr>
      <vt:lpstr>'30'!V_MANODEOBRA_MENSUAL</vt:lpstr>
      <vt:lpstr>'31'!V_MANODEOBRA_MENSUAL</vt:lpstr>
      <vt:lpstr>'32'!V_MANODEOBRA_MENSUAL</vt:lpstr>
      <vt:lpstr>'33'!V_MANODEOBRA_MENSUAL</vt:lpstr>
      <vt:lpstr>'34'!V_MANODEOBRA_MENSUAL</vt:lpstr>
      <vt:lpstr>'35'!V_MANODEOBRA_MENSUAL</vt:lpstr>
      <vt:lpstr>'36'!V_MANODEOBRA_MENSUAL</vt:lpstr>
      <vt:lpstr>'37'!V_MANODEOBRA_MENSUAL</vt:lpstr>
      <vt:lpstr>'38'!V_MANODEOBRA_MENSUAL</vt:lpstr>
      <vt:lpstr>'39'!V_MANODEOBRA_MENSUAL</vt:lpstr>
      <vt:lpstr>'4'!V_MANODEOBRA_MENSUAL</vt:lpstr>
      <vt:lpstr>'40'!V_MANODEOBRA_MENSUAL</vt:lpstr>
      <vt:lpstr>'41'!V_MANODEOBRA_MENSUAL</vt:lpstr>
      <vt:lpstr>'42'!V_MANODEOBRA_MENSUAL</vt:lpstr>
      <vt:lpstr>'43'!V_MANODEOBRA_MENSUAL</vt:lpstr>
      <vt:lpstr>'44'!V_MANODEOBRA_MENSUAL</vt:lpstr>
      <vt:lpstr>'45'!V_MANODEOBRA_MENSUAL</vt:lpstr>
      <vt:lpstr>'46'!V_MANODEOBRA_MENSUAL</vt:lpstr>
      <vt:lpstr>'47'!V_MANODEOBRA_MENSUAL</vt:lpstr>
      <vt:lpstr>'48'!V_MANODEOBRA_MENSUAL</vt:lpstr>
      <vt:lpstr>'49'!V_MANODEOBRA_MENSUAL</vt:lpstr>
      <vt:lpstr>'5'!V_MANODEOBRA_MENSUAL</vt:lpstr>
      <vt:lpstr>'50'!V_MANODEOBRA_MENSUAL</vt:lpstr>
      <vt:lpstr>'51'!V_MANODEOBRA_MENSUAL</vt:lpstr>
      <vt:lpstr>'52'!V_MANODEOBRA_MENSUAL</vt:lpstr>
      <vt:lpstr>'53'!V_MANODEOBRA_MENSUAL</vt:lpstr>
      <vt:lpstr>'54'!V_MANODEOBRA_MENSUAL</vt:lpstr>
      <vt:lpstr>'55'!V_MANODEOBRA_MENSUAL</vt:lpstr>
      <vt:lpstr>'56'!V_MANODEOBRA_MENSUAL</vt:lpstr>
      <vt:lpstr>'57'!V_MANODEOBRA_MENSUAL</vt:lpstr>
      <vt:lpstr>'58'!V_MANODEOBRA_MENSUAL</vt:lpstr>
      <vt:lpstr>'59'!V_MANODEOBRA_MENSUAL</vt:lpstr>
      <vt:lpstr>'6'!V_MANODEOBRA_MENSUAL</vt:lpstr>
      <vt:lpstr>'60'!V_MANODEOBRA_MENSUAL</vt:lpstr>
      <vt:lpstr>'61'!V_MANODEOBRA_MENSUAL</vt:lpstr>
      <vt:lpstr>'62'!V_MANODEOBRA_MENSUAL</vt:lpstr>
      <vt:lpstr>'63'!V_MANODEOBRA_MENSUAL</vt:lpstr>
      <vt:lpstr>'64'!V_MANODEOBRA_MENSUAL</vt:lpstr>
      <vt:lpstr>'65'!V_MANODEOBRA_MENSUAL</vt:lpstr>
      <vt:lpstr>'66'!V_MANODEOBRA_MENSUAL</vt:lpstr>
      <vt:lpstr>'67'!V_MANODEOBRA_MENSUAL</vt:lpstr>
      <vt:lpstr>'68'!V_MANODEOBRA_MENSUAL</vt:lpstr>
      <vt:lpstr>'69'!V_MANODEOBRA_MENSUAL</vt:lpstr>
      <vt:lpstr>'7'!V_MANODEOBRA_MENSUAL</vt:lpstr>
      <vt:lpstr>'70'!V_MANODEOBRA_MENSUAL</vt:lpstr>
      <vt:lpstr>'71'!V_MANODEOBRA_MENSUAL</vt:lpstr>
      <vt:lpstr>'72'!V_MANODEOBRA_MENSUAL</vt:lpstr>
      <vt:lpstr>'73'!V_MANODEOBRA_MENSUAL</vt:lpstr>
      <vt:lpstr>'74'!V_MANODEOBRA_MENSUAL</vt:lpstr>
      <vt:lpstr>'75'!V_MANODEOBRA_MENSUAL</vt:lpstr>
      <vt:lpstr>'76'!V_MANODEOBRA_MENSUAL</vt:lpstr>
      <vt:lpstr>'77'!V_MANODEOBRA_MENSUAL</vt:lpstr>
      <vt:lpstr>'78'!V_MANODEOBRA_MENSUAL</vt:lpstr>
      <vt:lpstr>'79'!V_MANODEOBRA_MENSUAL</vt:lpstr>
      <vt:lpstr>'8'!V_MANODEOBRA_MENSUAL</vt:lpstr>
      <vt:lpstr>'80'!V_MANODEOBRA_MENSUAL</vt:lpstr>
      <vt:lpstr>'9'!V_MANODEOBRA_MENSUAL</vt:lpstr>
      <vt:lpstr>'ADMINISTRACION ELECTRICA'!V_MANODEOBRA_MENSUAL</vt:lpstr>
      <vt:lpstr>'ADMINISTRACION MECANICA '!V_MANODEOBRA_MENSUAL</vt:lpstr>
      <vt:lpstr>V_MANODEOBRA_MENSUAL</vt:lpstr>
      <vt:lpstr>'1'!V_MAQUINARIA</vt:lpstr>
      <vt:lpstr>'10'!V_MAQUINARIA</vt:lpstr>
      <vt:lpstr>'11'!V_MAQUINARIA</vt:lpstr>
      <vt:lpstr>'12'!V_MAQUINARIA</vt:lpstr>
      <vt:lpstr>'13'!V_MAQUINARIA</vt:lpstr>
      <vt:lpstr>'14'!V_MAQUINARIA</vt:lpstr>
      <vt:lpstr>'15'!V_MAQUINARIA</vt:lpstr>
      <vt:lpstr>'16'!V_MAQUINARIA</vt:lpstr>
      <vt:lpstr>'17'!V_MAQUINARIA</vt:lpstr>
      <vt:lpstr>'18'!V_MAQUINARIA</vt:lpstr>
      <vt:lpstr>'19'!V_MAQUINARIA</vt:lpstr>
      <vt:lpstr>'2'!V_MAQUINARIA</vt:lpstr>
      <vt:lpstr>'20'!V_MAQUINARIA</vt:lpstr>
      <vt:lpstr>'21'!V_MAQUINARIA</vt:lpstr>
      <vt:lpstr>'22'!V_MAQUINARIA</vt:lpstr>
      <vt:lpstr>'23'!V_MAQUINARIA</vt:lpstr>
      <vt:lpstr>'24'!V_MAQUINARIA</vt:lpstr>
      <vt:lpstr>'25'!V_MAQUINARIA</vt:lpstr>
      <vt:lpstr>'26'!V_MAQUINARIA</vt:lpstr>
      <vt:lpstr>'27'!V_MAQUINARIA</vt:lpstr>
      <vt:lpstr>'28'!V_MAQUINARIA</vt:lpstr>
      <vt:lpstr>'29'!V_MAQUINARIA</vt:lpstr>
      <vt:lpstr>'3'!V_MAQUINARIA</vt:lpstr>
      <vt:lpstr>'30'!V_MAQUINARIA</vt:lpstr>
      <vt:lpstr>'31'!V_MAQUINARIA</vt:lpstr>
      <vt:lpstr>'32'!V_MAQUINARIA</vt:lpstr>
      <vt:lpstr>'33'!V_MAQUINARIA</vt:lpstr>
      <vt:lpstr>'34'!V_MAQUINARIA</vt:lpstr>
      <vt:lpstr>'35'!V_MAQUINARIA</vt:lpstr>
      <vt:lpstr>'36'!V_MAQUINARIA</vt:lpstr>
      <vt:lpstr>'37'!V_MAQUINARIA</vt:lpstr>
      <vt:lpstr>'38'!V_MAQUINARIA</vt:lpstr>
      <vt:lpstr>'39'!V_MAQUINARIA</vt:lpstr>
      <vt:lpstr>'4'!V_MAQUINARIA</vt:lpstr>
      <vt:lpstr>'40'!V_MAQUINARIA</vt:lpstr>
      <vt:lpstr>'41'!V_MAQUINARIA</vt:lpstr>
      <vt:lpstr>'42'!V_MAQUINARIA</vt:lpstr>
      <vt:lpstr>'43'!V_MAQUINARIA</vt:lpstr>
      <vt:lpstr>'44'!V_MAQUINARIA</vt:lpstr>
      <vt:lpstr>'45'!V_MAQUINARIA</vt:lpstr>
      <vt:lpstr>'46'!V_MAQUINARIA</vt:lpstr>
      <vt:lpstr>'47'!V_MAQUINARIA</vt:lpstr>
      <vt:lpstr>'48'!V_MAQUINARIA</vt:lpstr>
      <vt:lpstr>'49'!V_MAQUINARIA</vt:lpstr>
      <vt:lpstr>'5'!V_MAQUINARIA</vt:lpstr>
      <vt:lpstr>'50'!V_MAQUINARIA</vt:lpstr>
      <vt:lpstr>'51'!V_MAQUINARIA</vt:lpstr>
      <vt:lpstr>'52'!V_MAQUINARIA</vt:lpstr>
      <vt:lpstr>'53'!V_MAQUINARIA</vt:lpstr>
      <vt:lpstr>'54'!V_MAQUINARIA</vt:lpstr>
      <vt:lpstr>'55'!V_MAQUINARIA</vt:lpstr>
      <vt:lpstr>'56'!V_MAQUINARIA</vt:lpstr>
      <vt:lpstr>'57'!V_MAQUINARIA</vt:lpstr>
      <vt:lpstr>'58'!V_MAQUINARIA</vt:lpstr>
      <vt:lpstr>'59'!V_MAQUINARIA</vt:lpstr>
      <vt:lpstr>'6'!V_MAQUINARIA</vt:lpstr>
      <vt:lpstr>'60'!V_MAQUINARIA</vt:lpstr>
      <vt:lpstr>'61'!V_MAQUINARIA</vt:lpstr>
      <vt:lpstr>'62'!V_MAQUINARIA</vt:lpstr>
      <vt:lpstr>'63'!V_MAQUINARIA</vt:lpstr>
      <vt:lpstr>'64'!V_MAQUINARIA</vt:lpstr>
      <vt:lpstr>'65'!V_MAQUINARIA</vt:lpstr>
      <vt:lpstr>'66'!V_MAQUINARIA</vt:lpstr>
      <vt:lpstr>'67'!V_MAQUINARIA</vt:lpstr>
      <vt:lpstr>'68'!V_MAQUINARIA</vt:lpstr>
      <vt:lpstr>'69'!V_MAQUINARIA</vt:lpstr>
      <vt:lpstr>'7'!V_MAQUINARIA</vt:lpstr>
      <vt:lpstr>'70'!V_MAQUINARIA</vt:lpstr>
      <vt:lpstr>'71'!V_MAQUINARIA</vt:lpstr>
      <vt:lpstr>'72'!V_MAQUINARIA</vt:lpstr>
      <vt:lpstr>'73'!V_MAQUINARIA</vt:lpstr>
      <vt:lpstr>'74'!V_MAQUINARIA</vt:lpstr>
      <vt:lpstr>'75'!V_MAQUINARIA</vt:lpstr>
      <vt:lpstr>'76'!V_MAQUINARIA</vt:lpstr>
      <vt:lpstr>'77'!V_MAQUINARIA</vt:lpstr>
      <vt:lpstr>'78'!V_MAQUINARIA</vt:lpstr>
      <vt:lpstr>'79'!V_MAQUINARIA</vt:lpstr>
      <vt:lpstr>'8'!V_MAQUINARIA</vt:lpstr>
      <vt:lpstr>'80'!V_MAQUINARIA</vt:lpstr>
      <vt:lpstr>'9'!V_MAQUINARIA</vt:lpstr>
      <vt:lpstr>'ADMINISTRACION ELECTRICA'!V_MAQUINARIA</vt:lpstr>
      <vt:lpstr>'ADMINISTRACION MECANICA '!V_MAQUINARIA</vt:lpstr>
      <vt:lpstr>V_MAQUINARIA</vt:lpstr>
      <vt:lpstr>'ADMINISTRACION ELECTRICA'!V_MENSUAL</vt:lpstr>
      <vt:lpstr>'ADMINISTRACION MECANICA '!V_MENSUAL</vt:lpstr>
      <vt:lpstr>V_MENSUAL</vt:lpstr>
      <vt:lpstr>'1'!V_UNITARIOMATERIAL</vt:lpstr>
      <vt:lpstr>'10'!V_UNITARIOMATERIAL</vt:lpstr>
      <vt:lpstr>'11'!V_UNITARIOMATERIAL</vt:lpstr>
      <vt:lpstr>'12'!V_UNITARIOMATERIAL</vt:lpstr>
      <vt:lpstr>'13'!V_UNITARIOMATERIAL</vt:lpstr>
      <vt:lpstr>'14'!V_UNITARIOMATERIAL</vt:lpstr>
      <vt:lpstr>'15'!V_UNITARIOMATERIAL</vt:lpstr>
      <vt:lpstr>'16'!V_UNITARIOMATERIAL</vt:lpstr>
      <vt:lpstr>'17'!V_UNITARIOMATERIAL</vt:lpstr>
      <vt:lpstr>'18'!V_UNITARIOMATERIAL</vt:lpstr>
      <vt:lpstr>'19'!V_UNITARIOMATERIAL</vt:lpstr>
      <vt:lpstr>'2'!V_UNITARIOMATERIAL</vt:lpstr>
      <vt:lpstr>'20'!V_UNITARIOMATERIAL</vt:lpstr>
      <vt:lpstr>'21'!V_UNITARIOMATERIAL</vt:lpstr>
      <vt:lpstr>'22'!V_UNITARIOMATERIAL</vt:lpstr>
      <vt:lpstr>'23'!V_UNITARIOMATERIAL</vt:lpstr>
      <vt:lpstr>'24'!V_UNITARIOMATERIAL</vt:lpstr>
      <vt:lpstr>'25'!V_UNITARIOMATERIAL</vt:lpstr>
      <vt:lpstr>'26'!V_UNITARIOMATERIAL</vt:lpstr>
      <vt:lpstr>'27'!V_UNITARIOMATERIAL</vt:lpstr>
      <vt:lpstr>'28'!V_UNITARIOMATERIAL</vt:lpstr>
      <vt:lpstr>'29'!V_UNITARIOMATERIAL</vt:lpstr>
      <vt:lpstr>'3'!V_UNITARIOMATERIAL</vt:lpstr>
      <vt:lpstr>'30'!V_UNITARIOMATERIAL</vt:lpstr>
      <vt:lpstr>'31'!V_UNITARIOMATERIAL</vt:lpstr>
      <vt:lpstr>'32'!V_UNITARIOMATERIAL</vt:lpstr>
      <vt:lpstr>'33'!V_UNITARIOMATERIAL</vt:lpstr>
      <vt:lpstr>'34'!V_UNITARIOMATERIAL</vt:lpstr>
      <vt:lpstr>'35'!V_UNITARIOMATERIAL</vt:lpstr>
      <vt:lpstr>'36'!V_UNITARIOMATERIAL</vt:lpstr>
      <vt:lpstr>'37'!V_UNITARIOMATERIAL</vt:lpstr>
      <vt:lpstr>'38'!V_UNITARIOMATERIAL</vt:lpstr>
      <vt:lpstr>'39'!V_UNITARIOMATERIAL</vt:lpstr>
      <vt:lpstr>'4'!V_UNITARIOMATERIAL</vt:lpstr>
      <vt:lpstr>'40'!V_UNITARIOMATERIAL</vt:lpstr>
      <vt:lpstr>'41'!V_UNITARIOMATERIAL</vt:lpstr>
      <vt:lpstr>'42'!V_UNITARIOMATERIAL</vt:lpstr>
      <vt:lpstr>'43'!V_UNITARIOMATERIAL</vt:lpstr>
      <vt:lpstr>'44'!V_UNITARIOMATERIAL</vt:lpstr>
      <vt:lpstr>'45'!V_UNITARIOMATERIAL</vt:lpstr>
      <vt:lpstr>'46'!V_UNITARIOMATERIAL</vt:lpstr>
      <vt:lpstr>'47'!V_UNITARIOMATERIAL</vt:lpstr>
      <vt:lpstr>'48'!V_UNITARIOMATERIAL</vt:lpstr>
      <vt:lpstr>'49'!V_UNITARIOMATERIAL</vt:lpstr>
      <vt:lpstr>'5'!V_UNITARIOMATERIAL</vt:lpstr>
      <vt:lpstr>'50'!V_UNITARIOMATERIAL</vt:lpstr>
      <vt:lpstr>'51'!V_UNITARIOMATERIAL</vt:lpstr>
      <vt:lpstr>'52'!V_UNITARIOMATERIAL</vt:lpstr>
      <vt:lpstr>'53'!V_UNITARIOMATERIAL</vt:lpstr>
      <vt:lpstr>'54'!V_UNITARIOMATERIAL</vt:lpstr>
      <vt:lpstr>'55'!V_UNITARIOMATERIAL</vt:lpstr>
      <vt:lpstr>'56'!V_UNITARIOMATERIAL</vt:lpstr>
      <vt:lpstr>'57'!V_UNITARIOMATERIAL</vt:lpstr>
      <vt:lpstr>'58'!V_UNITARIOMATERIAL</vt:lpstr>
      <vt:lpstr>'59'!V_UNITARIOMATERIAL</vt:lpstr>
      <vt:lpstr>'6'!V_UNITARIOMATERIAL</vt:lpstr>
      <vt:lpstr>'60'!V_UNITARIOMATERIAL</vt:lpstr>
      <vt:lpstr>'61'!V_UNITARIOMATERIAL</vt:lpstr>
      <vt:lpstr>'62'!V_UNITARIOMATERIAL</vt:lpstr>
      <vt:lpstr>'63'!V_UNITARIOMATERIAL</vt:lpstr>
      <vt:lpstr>'64'!V_UNITARIOMATERIAL</vt:lpstr>
      <vt:lpstr>'65'!V_UNITARIOMATERIAL</vt:lpstr>
      <vt:lpstr>'66'!V_UNITARIOMATERIAL</vt:lpstr>
      <vt:lpstr>'67'!V_UNITARIOMATERIAL</vt:lpstr>
      <vt:lpstr>'68'!V_UNITARIOMATERIAL</vt:lpstr>
      <vt:lpstr>'69'!V_UNITARIOMATERIAL</vt:lpstr>
      <vt:lpstr>'7'!V_UNITARIOMATERIAL</vt:lpstr>
      <vt:lpstr>'70'!V_UNITARIOMATERIAL</vt:lpstr>
      <vt:lpstr>'71'!V_UNITARIOMATERIAL</vt:lpstr>
      <vt:lpstr>'72'!V_UNITARIOMATERIAL</vt:lpstr>
      <vt:lpstr>'73'!V_UNITARIOMATERIAL</vt:lpstr>
      <vt:lpstr>'74'!V_UNITARIOMATERIAL</vt:lpstr>
      <vt:lpstr>'75'!V_UNITARIOMATERIAL</vt:lpstr>
      <vt:lpstr>'76'!V_UNITARIOMATERIAL</vt:lpstr>
      <vt:lpstr>'77'!V_UNITARIOMATERIAL</vt:lpstr>
      <vt:lpstr>'78'!V_UNITARIOMATERIAL</vt:lpstr>
      <vt:lpstr>'79'!V_UNITARIOMATERIAL</vt:lpstr>
      <vt:lpstr>'8'!V_UNITARIOMATERIAL</vt:lpstr>
      <vt:lpstr>'80'!V_UNITARIOMATERIAL</vt:lpstr>
      <vt:lpstr>'9'!V_UNITARIOMATERIAL</vt:lpstr>
      <vt:lpstr>'ADMINISTRACION ELECTRICA'!V_UNITARIOMATERIAL</vt:lpstr>
      <vt:lpstr>'ADMINISTRACION MECANICA '!V_UNITARIOMATERIAL</vt:lpstr>
      <vt:lpstr>V_UNITARIOMATERIAL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dc:creator>
  <cp:lastModifiedBy>hyukwoo kwon</cp:lastModifiedBy>
  <cp:lastPrinted>2023-09-20T22:37:53Z</cp:lastPrinted>
  <dcterms:created xsi:type="dcterms:W3CDTF">2021-10-13T16:13:15Z</dcterms:created>
  <dcterms:modified xsi:type="dcterms:W3CDTF">2025-03-09T15:50:18Z</dcterms:modified>
</cp:coreProperties>
</file>